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ntalhealth langen -filterret" sheetId="1" r:id="rId4"/>
    <sheet state="visible" name="Twitter Archiver Logs" sheetId="2" r:id="rId5"/>
  </sheets>
  <definedNames/>
  <calcPr/>
</workbook>
</file>

<file path=xl/sharedStrings.xml><?xml version="1.0" encoding="utf-8"?>
<sst xmlns="http://schemas.openxmlformats.org/spreadsheetml/2006/main" count="13992" uniqueCount="10920">
  <si>
    <t>Twitter Query: #mentalhealth lang:en -filter:retweets -filter:replies</t>
  </si>
  <si>
    <t>Date</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</si>
  <si>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</si>
  <si>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</si>
  <si>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</si>
  <si>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</si>
  <si>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</si>
  <si>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</si>
  <si>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</si>
  <si>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</si>
  <si>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</si>
  <si>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</si>
  <si>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</si>
  <si>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</si>
  <si>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</si>
  <si>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</si>
  <si>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</si>
  <si>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</si>
  <si>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</si>
  <si>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</si>
  <si>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</si>
  <si>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David Shorb</t>
  </si>
  <si>
    <t>Hey all! Here's something new for ya! Read about..."Why Nostalgia TV Matters."  #TV #ClassicTV #Life #MentalHealth</t>
  </si>
  <si>
    <t>https://www.lnk.xyz/HkdcPy-eU?aduc=CX9DmtC1579404277716</t>
  </si>
  <si>
    <t>United States</t>
  </si>
  <si>
    <t>I'm a #Writer, #Liberal, and Student of #Buddhism. Check out my writing on Medium. http://bit.ly/2t6ZTLu Also check out my books on Amazon. http://amzn.to/2ZrDl4c He/Him</t>
  </si>
  <si>
    <t>https://linktr.ee/dshorbauthor</t>
  </si>
  <si>
    <t>Joanie Malarchuk</t>
  </si>
  <si>
    <t>Pleas join me in supporting a good cause . I will be dancing for dollars in the Goota Dance fundraiser for the Suicide Prevention Network in Minden #Nevada #Mentalhealth #SuicidePrevention #canadianmentalhealth #addictionrecovery @BuffaloSabres @Capitals @NHL</t>
  </si>
  <si>
    <t>Northern Nevada</t>
  </si>
  <si>
    <t>Figure &amp; Power Skating Coach / Public Speaker</t>
  </si>
  <si>
    <t>http://www.malarchuk.com</t>
  </si>
  <si>
    <t>Sudesna (Sue) Ghosh 📚🐱</t>
  </si>
  <si>
    <t>Anxiety  #mentalhealth #flashfiction #anxiety #SundayThoughts</t>
  </si>
  <si>
    <t>https://sueghosh.wordpress.com/2020/01/17/anxiety/</t>
  </si>
  <si>
    <t>India</t>
  </si>
  <si>
    <t>Author of Past Marriageable Age, The Perfect Fake Boyfriend &amp; more. Cat mom. Animal lover. Mental health advocate. @UofR alum.</t>
  </si>
  <si>
    <t>https://www.amazon.com/Sudesna-Ghosh/e/B00AOPT3Z4</t>
  </si>
  <si>
    <t>Event Log</t>
  </si>
  <si>
    <t>Online Mindfulness Therapy</t>
  </si>
  <si>
    <t>Online #Mindfulness Therapy via Skype. Learn how to apply mindfulness #meditation for overcoming chronic #anxiety # #depression. See: . #mentalhealth #anxietytreatment #panicattacks #OCDtreatment #PTSDtreatment #depressiontreatment #addictiontreatm…</t>
  </si>
  <si>
    <t>This sheet will store the Twitter Archiver Logs</t>
  </si>
  <si>
    <t>Fetched 35 tweets for #mentalhealth lang:en -filter:retweets -filter:replies</t>
  </si>
  <si>
    <t>https://pdmstrong.wordpress.com</t>
  </si>
  <si>
    <t>Fetched 51 tweets for #mentalhealth lang:en -filter:retweets -filter:replies</t>
  </si>
  <si>
    <t>Fetched 64 tweets for #mentalhealth lang:en -filter:retweets -filter:replies</t>
  </si>
  <si>
    <t>Boulder CO, USA</t>
  </si>
  <si>
    <t>Peter Strong is a licensed psychotherapist specializing in Mindfulness Therapy via Skype for Anxiety, OCD, Depression, PTSD &amp; Addictions. Inquiries welcome!</t>
  </si>
  <si>
    <t>Mitu Samar</t>
  </si>
  <si>
    <t>#MentalHealth challenges are real. Accept it, Act on it. #cricketsuperstar #INDvNED I told myself, what’s all this? Let me just end my life: Praveen Kumar on struggle of #sportspersons with #mentalillness</t>
  </si>
  <si>
    <t>https://indianexpress.com/article/india/praveen-kumar-former-medium-pacer-cricket-struggle-mental-ailments-6223705/</t>
  </si>
  <si>
    <t>Mumbai</t>
  </si>
  <si>
    <t>Entrepreneur | Reputation Partner |Leadership Coach | Media Trainer</t>
  </si>
  <si>
    <t>http://www.eminenceonline.in</t>
  </si>
  <si>
    <t>Gurdeep Parhar</t>
  </si>
  <si>
    <t>Two Canadian camps receive funding to address mental health #health #mentalhealth #healthcare #goodhealth #research #healthissues #wellness #medicine</t>
  </si>
  <si>
    <t>https://bhive.nectar.social/Rnj1QZ</t>
  </si>
  <si>
    <t>British Columbia, Canada</t>
  </si>
  <si>
    <t>Clinical Professor...HealthEquity&amp;SocialJustice Pacific Coast Recovery Care &amp; Adult ADHD Enhancing: Education, Research &amp; Clinical Care</t>
  </si>
  <si>
    <t>https://www.linkedin.com/in/drgurdeepparhar/</t>
  </si>
  <si>
    <t>Dr. Chris Carreira</t>
  </si>
  <si>
    <t>The truth about psychotic and bipolar disorders  #bipolar #BPD #mentalhealth</t>
  </si>
  <si>
    <t>http://bit.ly/1GApVUO</t>
  </si>
  <si>
    <t>Windsor, Ontario</t>
  </si>
  <si>
    <t>#Clinical #Psychologist, works with #children #teens #adults #couples #families #veterans in #Windsor, #ON 226-620-0550 www.drchriscarreira</t>
  </si>
  <si>
    <t>https://www.drchriscarreira.com</t>
  </si>
  <si>
    <t>🇺🇸 R CalZada 🇺🇸</t>
  </si>
  <si>
    <t>Watching #AaronHernadez Killing Fields. All I can say is “damn bro, life couldn’t be that bad for ya” #mentalhealth</t>
  </si>
  <si>
    <t>Victoria, TX</t>
  </si>
  <si>
    <t>I am the founder of Golden Crescent Paranormal “Conquering the Darkness since 2007” 🇺🇸 Conservative ❤️ 🎚USA 🥃⚾️ cigars</t>
  </si>
  <si>
    <t>Laura Kennedy</t>
  </si>
  <si>
    <t>Strategies to Deal wuth Refusal to Attend School in Children with ASD -  #autism #ASD #mentalhealth</t>
  </si>
  <si>
    <t>http://bit.ly/1GAqYnV</t>
  </si>
  <si>
    <t>Toronto, Canada</t>
  </si>
  <si>
    <t>I am a PhD candidate in Clinical Developmental Psychology at YorkU. Aside from #psychology, I am interested in #meditation, #hypnosis, mind matters, OBE, etc.</t>
  </si>
  <si>
    <t>http://www.awaken-mind.com</t>
  </si>
  <si>
    <t>Living with Autism Spectrum Disorder  #mentalhealth #mentalillness #autism #asd</t>
  </si>
  <si>
    <t>http://psy.pub/1jnqtS7</t>
  </si>
  <si>
    <t>Olga Serkos</t>
  </si>
  <si>
    <t>Hamilton, Ontario, Canada</t>
  </si>
  <si>
    <t>PhD Candidate in Psychology at the University of Toronto. A volunteer at CPPA. My interests are: #positivepsychology #mentalhealth #parenting #autism #ADHD</t>
  </si>
  <si>
    <t>http://www.dreampositive.info</t>
  </si>
  <si>
    <t>Hanna Blaney, MD, MPH</t>
  </si>
  <si>
    <t>7+ years ago I celebrated my birthday with widows in rural south India. It has now become a widows day where widows are celebrated, fed, and given gifts. They got new saris this year! #GlobalHealth #MentalHealth</t>
  </si>
  <si>
    <t>https://pbs.twimg.com/media/EOnOwsRXUAEcZKG.jpg</t>
  </si>
  <si>
    <t>Texas, USA</t>
  </si>
  <si>
    <t>Mom, Wife to Army Otolaryngologist, Outdoor Enthusiast, Internal Medicine Resident Physician</t>
  </si>
  <si>
    <t>http://www.shelter-int.org</t>
  </si>
  <si>
    <t>Jory Elliott</t>
  </si>
  <si>
    <t>One of the most powerful things I learned during the toughest part of my mental health challenges was how the use of words influences our psyche immensely. Use words that trigger your brain to think more proactively about what you’re going through. #mentalhealth #sicknotweak RT @SickNotWeak: It's time for a language lesson on today's #Landsblog. @heylandsberg has said this almost every day: "I suffer from depression." Do you see anything wrong with that? Why do we say we suffer instead of we battle? #SickNotWeak</t>
  </si>
  <si>
    <t>https://twitter.com/sicknotweak/status/1218579072340647939
http://ow.ly/WMyq50xYHJN</t>
  </si>
  <si>
    <t>Ontario, Canada</t>
  </si>
  <si>
    <t>🧢 Coach @shfthockey - 🧠 Ambassador @liftthevisor and #LiftTheMask - 🏁 Race Car Driver @ http://northernforce.com</t>
  </si>
  <si>
    <t>Helen Deakin</t>
  </si>
  <si>
    <t>It’s late, but I’ve recently been diagnosed with Borderline Personality Disorder and I’m wondering if anyone has any advice on what to do when you first find out?! #bpd #borderline #mentalhealth #MentalHealthAwareness</t>
  </si>
  <si>
    <t>London, England</t>
  </si>
  <si>
    <t>Music law | Mental Health 🎶 Biscuit and bicycle enthusiast</t>
  </si>
  <si>
    <t>Shamah | शम:</t>
  </si>
  <si>
    <t>Who we are. What we do. How we do. #Shamah #mentalhealth #wellness #meditation #vipassana #Zen #counselling</t>
  </si>
  <si>
    <t>https://pbs.twimg.com/media/EOnN79tU4AAp8CO.jpg</t>
  </si>
  <si>
    <t>An integrative mind+body+spirit practice that uses principles from yoga, meditation &amp; counselling psychology. Founded by writer and counsellor Gayatri Jayaraman</t>
  </si>
  <si>
    <t>http://www.shamahwellness.com</t>
  </si>
  <si>
    <t>Irene Golembo</t>
  </si>
  <si>
    <t>. “Defensiveness often reveals an area of our lives where we’re in denial.” ~ Kyle Idleman . Be honest with yourself, seek the truth, become free... . #truth #defensiveness #freedom #honesty #selfdevelopment #mentalhealth #healing</t>
  </si>
  <si>
    <t>https://www.instagram.com/p/B7fC8oznkom/</t>
  </si>
  <si>
    <t>https://pbs.twimg.com/media/EOnN7G_WoAAyKk-.jpg</t>
  </si>
  <si>
    <t>Minnesota, Minnetonka</t>
  </si>
  <si>
    <t>Piano Teacher,Reiki Master,Tarot Reader, love to inspire&amp;empower people; https://www.facebook.com/holistickeys http://humbirdstar.blogspot.com</t>
  </si>
  <si>
    <t>https://holistickeys.com</t>
  </si>
  <si>
    <t>Writings and Worship</t>
  </si>
  <si>
    <t>Who struggles with an anxiety disorder? ✋🏻✋🏻 Here are a few ways to physically combat anxiety. #mentalhealth #anxietydisorder</t>
  </si>
  <si>
    <t>https://writingsandworship.com/2020/01/18/5-ways-to-physically-combat-anxiety/</t>
  </si>
  <si>
    <t>Oklahoma, USA</t>
  </si>
  <si>
    <t>📍Oklahoma || Faith • Beauty • Lifestyle • Photography • Gold Glitter • Makeup • Worship || Latest blog posts &amp; sessions 👇🏻</t>
  </si>
  <si>
    <t>http://writingsandworship.com/instagram-links/</t>
  </si>
  <si>
    <t>Jon Harvey</t>
  </si>
  <si>
    <t>Some mobile pics from my front door yesterday evening, glorious variety with no colour edits. Good Morning everyone, have a serene Sunday of Sunshine, in the sky and in life 🌞. #gardening #photography #BeKind #winter #art #savethebees #mentalhealth #SundayThoughts</t>
  </si>
  <si>
    <t>https://pbs.twimg.com/media/EOnNmm6W4AUw7Ja.jpg</t>
  </si>
  <si>
    <t>PTSD Land, Tewkesbury, England</t>
  </si>
  <si>
    <t>Lover of all life, Horse Racing 🐴, Gardening, Horticulture and of course, AC/DC 🤘🎶🎸Photos taken by me are ©Jon Harvey, even if they're rubbish 🙄</t>
  </si>
  <si>
    <t>Erin-Aspie Teacher</t>
  </si>
  <si>
    <t>My newest blog!! "Contrary to what our society pushes, having the goal to look “normal”, or “be indistinguishable from our peers”, is not a good thing." #actuallyautistic #SocietalExpectations #MentalHealth #ComplexPTSD #autism #depression #exhaustion</t>
  </si>
  <si>
    <t>https://theaspieteacher.wordpress.com/2020/01/19/autistic-energy-a-depletion-of-a-person/</t>
  </si>
  <si>
    <t>http://geekysciencemom.tumblr.com/</t>
  </si>
  <si>
    <t>NAMI California</t>
  </si>
  <si>
    <t>Together, we must work to #endstigma so that our family members get the #mentalhealth care they need.</t>
  </si>
  <si>
    <t>https://namica.org/campaign-to-end-stigma/</t>
  </si>
  <si>
    <t>https://pbs.twimg.com/media/EOmsu92U4AEBXN7.jpg</t>
  </si>
  <si>
    <t>Sacramento, California</t>
  </si>
  <si>
    <t>We are a leading organization of individuals working with mutual respect to provide help, hope and health for those affected by serious mental illness.</t>
  </si>
  <si>
    <t>http://www.namica.org</t>
  </si>
  <si>
    <t>Cory Jenk</t>
  </si>
  <si>
    <t>Yes, I took my meds today. #mentalhealth</t>
  </si>
  <si>
    <t>Greenfield, OH</t>
  </si>
  <si>
    <t>Made in the image of God, though not a god.</t>
  </si>
  <si>
    <t>http://day2dayinsanity.wordpress.com</t>
  </si>
  <si>
    <t>Ginger Lerner-Wren</t>
  </si>
  <si>
    <t>So grateful for the extraordinary leadership &amp; scholarship of Law Prof. Elyn Saks @USCGouldLaw #mentalhealth #UniteForChange #YouAreFlawless RT @flawlessgrats: We loved hearing from the inspiring Elyn Saks @USCGouldLaw at the @MHforUS #UniteForChange forum! Have you seen her @TEDTalks asking us to see people living with #mentalhealth challenges clearly, honestly &amp;amp; compassionately? Watch it now! #youareflawless</t>
  </si>
  <si>
    <t>https://twitter.com/flawlessgrats/status/1218534779794096128
http://ow.ly/BdLR30q9ZEZ</t>
  </si>
  <si>
    <t>https://pbs.twimg.com/media/EOka7JnWAAMb3kT.jpg</t>
  </si>
  <si>
    <t>Fort Lauderdale, FL</t>
  </si>
  <si>
    <t>Pioneer, America's first mental health court dedicated to the decriminalization of people with mental illness.</t>
  </si>
  <si>
    <t>The Greatest show Fundraising page</t>
  </si>
  <si>
    <t>#MentalHealthMonday #mentalillness #mentalhealth #MentalHealthAwareness #MentalHealthMatters Tonight I Wanna Cry / my life with depression  via @YouTube</t>
  </si>
  <si>
    <t>https://youtu.be/YF8QIqj9hNM</t>
  </si>
  <si>
    <t>Dublin City, Ireland</t>
  </si>
  <si>
    <t>this page is to help raise funds for mental health charity's and most important it is for people to go have a good time out and enjoy yourself.</t>
  </si>
  <si>
    <t>https://www.facebook.com/groups/578036245967821/?source_id=307683486733860</t>
  </si>
  <si>
    <t>Suhr Mesa</t>
  </si>
  <si>
    <t>#CA is a one party state. There is no competition for the best ideas. The #woke #progressive purrs. #losAngles has Typhus in the streets. The environmentalist looks away and focuses on straws. #mentalHealth #addiction</t>
  </si>
  <si>
    <t>North America</t>
  </si>
  <si>
    <t>“I predict future happiness for Americans, if they can prevent the government from wasting the labors of the people under the pretense of taking care of them.</t>
  </si>
  <si>
    <t>https://flowcharts.llnl.gov/content/assets/images/energy/us/Energy_US_2018.png</t>
  </si>
  <si>
    <t>Albina Veltman, MD</t>
  </si>
  <si>
    <t>LGBTQ Mental Health: What Every Clinician Needs to Know  #LGBT #mentalhealth #diversity</t>
  </si>
  <si>
    <t>https://www.psychiatrictimes.com/article/lgbtq-mental-health-what-every-clinician-needs-know</t>
  </si>
  <si>
    <t>Hamilton, ON, Canada</t>
  </si>
  <si>
    <t>Psychiatrist, Associate Prof. and former Diversity Chair - McMaster University; Tweet about mental health stigma, LGBTQ and other diversity issues; Tweets mine</t>
  </si>
  <si>
    <t>SunThruTheRain🌈</t>
  </si>
  <si>
    <t>I shared my experience with the @mmhpi spoke in Parliament, the difference this team already achieved in attempt to make someone with #mentalhealth be able to get #breathingspace in #crisis</t>
  </si>
  <si>
    <t>https://www.thecanary.co/uk/analysis/2020/01/18/dwp-complaints-now-up-over-1400-since-2013/</t>
  </si>
  <si>
    <t>England, United Kingdom</t>
  </si>
  <si>
    <t>Lived Experience #Depression 🌈 Now 3yrs #recovery using my voice,campaigning #raisingawareness #timetochange champion, #mediavolunteer #moneyandmentalhealth</t>
  </si>
  <si>
    <t>Pagan &amp; Khaleesi</t>
  </si>
  <si>
    <t>Human has been on Lithium for a week and starting to get out more and although I love to comfort her when she cries I'm glad shes not crying as much anymore. #bipolardisorder #mentalhealth #catsoftwitter #caturday</t>
  </si>
  <si>
    <t>https://pbs.twimg.com/media/EOnMNf6X0AEPz01.jpg</t>
  </si>
  <si>
    <t>New York, USA</t>
  </si>
  <si>
    <t>Cats against mental health stigma.</t>
  </si>
  <si>
    <t>ADHD SNAP</t>
  </si>
  <si>
    <t>And here we have the all important C's #MentalHealth #SNAPtoday</t>
  </si>
  <si>
    <t>https://pbs.twimg.com/media/EOnMKNeWAAYGWSQ.jpg</t>
  </si>
  <si>
    <t>California, USA</t>
  </si>
  <si>
    <t>Natural Nutrient Treatment For Brain Balance - Delivers Happiness &amp; Mental Clarity -For A Calm &amp; Settled State of Mind #ADHD #ODD #DMDD #Anxiety #Depression</t>
  </si>
  <si>
    <t>http://www.adhdsnap.com</t>
  </si>
  <si>
    <t>KimberleyTent</t>
  </si>
  <si>
    <t>Another good day for reading! Writers, take a break and soak it all in! Thanks Jane! #amreading #WritingCommunity #Mentalhealth #relaxing</t>
  </si>
  <si>
    <t>https://pbs.twimg.com/media/EOnMClsU4AEbwPq.jpg</t>
  </si>
  <si>
    <t>Canada</t>
  </si>
  <si>
    <t>Writer. Poet. Retired 👮‍♀️.Owner of Apothic Entertainment Books. Lover of family, travelling, music &amp;fashion.Wears a wooden Crown and scuffed up cowboy boots.</t>
  </si>
  <si>
    <t>http://www.apothicentertainmentbooks.com</t>
  </si>
  <si>
    <t>Najeh Ahmad, MD, MPH</t>
  </si>
  <si>
    <t>☀️”Sadness is but a wall between two gardens.” Whenever you feel sad, put it in words on a paper with no edits ✍️, you can feel better. #MentalHealth #SelfCare #2020Vision</t>
  </si>
  <si>
    <t>pic.twitter.com/CmpENFBzSh</t>
  </si>
  <si>
    <t>☀️Believer and champion in creating a healthy game plan to feel better, eat well and stay active. #PermanenteMedicine @physicianpulse Tweets≠medical advice</t>
  </si>
  <si>
    <t>http://kp.org/mydoctor/najehahmad</t>
  </si>
  <si>
    <t>The Tactical Breakdown Podcast</t>
  </si>
  <si>
    <t>What are your thoughts on dealing with persons in Mental Crisis? Check out this episode:  #LawEnforcement #mentalhealth #specialneeds #police #training #recruit #academy #patrol</t>
  </si>
  <si>
    <t>https://thebreakdown.ca/007</t>
  </si>
  <si>
    <t>Get actionable training and tactics from the best Law Enforcement, Military, and Emergency Response instructors in the world.</t>
  </si>
  <si>
    <t>https://thebreakdown.ca</t>
  </si>
  <si>
    <t>RosalynPalmer</t>
  </si>
  <si>
    <t>Unplugging soon myself. Timely advice #mindfulliving #wellbeingatwork #mentalhealth #goals2020 #successhabits</t>
  </si>
  <si>
    <t>https://lnkd.in/d7Kdiuq</t>
  </si>
  <si>
    <t>Newark-on-Trent, England</t>
  </si>
  <si>
    <t>Award winning therapist &amp; coach. Sharing Emotional Wellbeing advice as a broadcaster/author/speaker. Award winning book Reset! &amp; 2 Ignite! bestsellers.</t>
  </si>
  <si>
    <t>https://about.me/rosalynpalmer</t>
  </si>
  <si>
    <t>🗣</t>
  </si>
  <si>
    <t>New Study Reveals Top Workplace Wellbeing Habits To Embrace In 2020 via @forbes  #wellbeing #mentalhealth #twentytwenty</t>
  </si>
  <si>
    <t>https://www.forbes.com/sites/alankohll/2020/01/02/new-study-reveals-top-workplace-wellbeing-habits-to-embrace-in-2020/</t>
  </si>
  <si>
    <t>Mexico</t>
  </si>
  <si>
    <t>How Tech Can Help Businesses Improve Staff Mental Wellbeing via @forbes  via @forbes #wellbeing #mentalhealth</t>
  </si>
  <si>
    <t>https://www.forbes.com/sites/nicholasfearn/2020/01/16/how-tech-can-help-businesses-improve-staff-mental-wellbeing/</t>
  </si>
  <si>
    <t>MySpectrum Counseling &amp; Coaching</t>
  </si>
  <si>
    <t>STOP WORRYING. Be proud of what you've accomplished and keep working on your goals! We are with you on your process. #mentalhealth #SelfCareSaturday #selfcare</t>
  </si>
  <si>
    <t>https://pbs.twimg.com/media/EOnFmSjW4AE8y3y.png</t>
  </si>
  <si>
    <t>North Chesterfield, VA</t>
  </si>
  <si>
    <t>MySpectrum is an outpatient therapy practice that offers individual, family, and relationship counseling and coaching for every person on every spectrum.</t>
  </si>
  <si>
    <t>StandUp OurKids</t>
  </si>
  <si>
    <t>If you want to tap into that #Mentalhealth discussion join me on my personal brand page 😊👇🏼❤️ RT @derekalopez: Just recorded the 1st video lesson of the School of Standing Up. Stay tuned for more content coming soon. #schoolofstandingup #MentalHealthAwareness #Mentalhealth #mentalhealthmatters</t>
  </si>
  <si>
    <t>https://twitter.com/derekalopez/status/1218727737256370176</t>
  </si>
  <si>
    <t>https://pbs.twimg.com/media/EOnKabWU4AEHWS8.jpg</t>
  </si>
  <si>
    <t>Denver, CO</t>
  </si>
  <si>
    <t>Goal: Give Every Kid in America the Opportunity to Stand Up in School. #StandUpOurKids #TheNewClassroom</t>
  </si>
  <si>
    <t>http://www.standupourkids.com</t>
  </si>
  <si>
    <t>derekalopez</t>
  </si>
  <si>
    <t>Just recorded the 1st video lesson of the School of Standing Up. Stay tuned for more content coming soon. #schoolofstandingup #MentalHealthAwareness #Mentalhealth #mentalhealthmatters</t>
  </si>
  <si>
    <t>Podcast: #SchoolOfStandingUp | Husband | Father of 3 | Psychological Abuse Survivor | Founder of @standupourkids | Entrepreneur | #SelfTalk Advocate</t>
  </si>
  <si>
    <t>https://www.youtube.com/channel/UCEWmLI3diGEgNYHVIHChfOg</t>
  </si>
  <si>
    <t>on patrol 🔍</t>
  </si>
  <si>
    <t>My #MentalIllness makes me hate the people I care the most about. #mentalhealth #bpd #depression #mmj</t>
  </si>
  <si>
    <t>pic.twitter.com/V3vRPbjbEe</t>
  </si>
  <si>
    <t>✝️💚🐶🌱 | #JesusChrist will defeat all #MentalHealth ailments; IN THE HALL! | #CatholicTwitter #AnimalsOfTwitter #MentalHealthTwitter #mmj</t>
  </si>
  <si>
    <t>http://instagram.com/tonys_creatures</t>
  </si>
  <si>
    <t>Our first workshop series for #2020 is #DigitalCocaine. If you're grappling with #screenaddiction, this one is for you. Email or call/Whassap to register #Mumbai. #mentalhealth #wellness #workshop #mumbai #counselling</t>
  </si>
  <si>
    <t>https://pbs.twimg.com/media/EOnKVjDVUAE4SBo.jpg</t>
  </si>
  <si>
    <t>Christof Wittig</t>
  </si>
  <si>
    <t>#proudinvestor in Cerebral, now out of stealth, to improve access to #mentalhealth</t>
  </si>
  <si>
    <t>https://medium.com/@kylerobertson41/why-we-launched-cerebral-a-mental-health-telemedicine-company-f6593ff22f2a</t>
  </si>
  <si>
    <t>San Francisco, CA</t>
  </si>
  <si>
    <t>Chief Hornet</t>
  </si>
  <si>
    <t>http://www.christofwittig.com</t>
  </si>
  <si>
    <t>TBIHotline.org</t>
  </si>
  <si>
    <t>#TBI #Concussion #SuicideAwareness #mentalhealth Important to note that after suffering from a traumatic brain injury that Studies have shown that the risks for cognitive problems increase such as memory and emotional regulation, increase rates of depression and insomnia.  RT @heycatch1: Student athletes with concussions more at risk for suicide, study finds</t>
  </si>
  <si>
    <t>https://twitter.com/heycatch1/status/1218557482793988096
https://www.wsbtv.com/news/local/atlanta/student-athletes-with-concussions-more-risk-suicide-study-finds/ZV47JPG3AVGIBEAOROZJNNBK7A/</t>
  </si>
  <si>
    <t>https://pbs.twimg.com/media/EOnJlfZWAAAkhAD.jpg</t>
  </si>
  <si>
    <t>TBI, Neurology, CSF, Fibromyalgia. Headache, Stroke, Vision, OT, Research, Support, Help, Information, Ideas, Medical News, Inspiration &amp; Share. Follow👈</t>
  </si>
  <si>
    <t>https://www.tbihotline.org</t>
  </si>
  <si>
    <t>Munyah</t>
  </si>
  <si>
    <t>By tackling #MentalHealth we’re harnessing the #PowerTo make a positive impact on the world. Thanks @BofA_News for keeping me informed on #WEF20.</t>
  </si>
  <si>
    <t>Zimbabwe</t>
  </si>
  <si>
    <t>My story is simple! Learning &amp; Creating 🙏🏿💫 I am EVERYTHING &amp; ANYTHING!</t>
  </si>
  <si>
    <t>Karen Goslin</t>
  </si>
  <si>
    <t>"They learn that it’s not only about the end goal; it’s also about the process." Here's why no marriage is truly a failure 👉  (via @stilllearning2b) #personalgrowth #mentalhealth</t>
  </si>
  <si>
    <t>https://buff.ly/2FrIlMK</t>
  </si>
  <si>
    <t>https://pbs.twimg.com/media/EOnIoiRXUAED33t.jpg</t>
  </si>
  <si>
    <t>Toronto</t>
  </si>
  <si>
    <t>Straight-talking psychotherapist here to help you achieve your goals and deal with life’s curveballs.</t>
  </si>
  <si>
    <t>http://www.karenrsw.com</t>
  </si>
  <si>
    <t>CelesteTheTherapist™️</t>
  </si>
  <si>
    <t>#California I'm coming to you!!! Save the date!!! #shiftingTheWayYouThink #LA #AgouraHills #beverlyhills #Inglewood #Glendale #Bell #Maywood #mentalhealth</t>
  </si>
  <si>
    <t>https://pbs.twimg.com/media/EOnIhiDWAAEUfLF.png</t>
  </si>
  <si>
    <t>Boston, MA</t>
  </si>
  <si>
    <t>Therapist | Podcast Host | Author -#RelationshipGoals &amp; #365DOIL</t>
  </si>
  <si>
    <t>http://celestethetherapist.com/</t>
  </si>
  <si>
    <t>Mrs. Entrepreneur</t>
  </si>
  <si>
    <t>Please keep me and my dad in your prayers! He is doing OK, but I definitely need strength in helping him get back to 100%. I had a great day today at his job. 🙏🏽💕 #strokeawareness #mentalhealth #caregiver #PhysicalTherapy #loved #entrepreneur #worklifebalance</t>
  </si>
  <si>
    <t>Texas &amp; all over world!</t>
  </si>
  <si>
    <t>*Wife *Corporate Designer *Home Stager/Interior Decorator *1908 💗💚 *Like the site below to see home décor deals and our design projects.</t>
  </si>
  <si>
    <t>https://m.facebook.com/captivatinghomecollection</t>
  </si>
  <si>
    <t>VenusinFurs</t>
  </si>
  <si>
    <t>The #AaronHernandezDocumentary #aaronhernandeznetflix doc is so sad and such a cautionary tale about #mentalhealth #fame #concussion and #repressed #homosexuality. Truly #heartbreaking to watch .</t>
  </si>
  <si>
    <t>NYC</t>
  </si>
  <si>
    <t>None needed.</t>
  </si>
  <si>
    <t>Hey Diddle Diddle</t>
  </si>
  <si>
    <t>Be sure to check out  for the popular dramatic tv series! Showcases character with #socialanxiety. #mentalhealth.</t>
  </si>
  <si>
    <t>http://www.whereismadmax.com</t>
  </si>
  <si>
    <t>New York, NY</t>
  </si>
  <si>
    <t>Critically-acclaimed feature film centering around a person with Social Anxiety Disorder. https://itunes.apple.com/us/movie/hey-diddle-diddle-2009/id349283564</t>
  </si>
  <si>
    <t>Libero Magazine</t>
  </si>
  <si>
    <t>ICYMI: "New Year’s Resolutions: a New Approach" // LINK:  #liberomagazine #mentalhealth #mh</t>
  </si>
  <si>
    <t>https://ift.tt/2G2qrAt</t>
  </si>
  <si>
    <t>https://pbs.twimg.com/media/EOnHQoNWoAAuiI7.png</t>
  </si>
  <si>
    <t>Vancouver, Canada  | Worldwide</t>
  </si>
  <si>
    <t>#Nonprofit peer-support #mentalhealth magazine written by people like YOU!💚 SHARE YOUR STORY / WRITE FOR US: https://liberomagazine.com/submit</t>
  </si>
  <si>
    <t>http://www.liberomagazine.com</t>
  </si>
  <si>
    <t>Wesley Jackson Wade</t>
  </si>
  <si>
    <t>Finally getting around to posting these pics from Studio A (where Mister Roger's was filmed). I had the privilege of speaking about #MentalHealth, "soft skills" (I call them critical skills), &amp; career development. Thank you, @wqed! #PackCareers was in the building!</t>
  </si>
  <si>
    <t>https://pbs.twimg.com/media/EOnGzuQXsAMuvuz.jpg</t>
  </si>
  <si>
    <t>North Carolina</t>
  </si>
  <si>
    <t>Career Counselor w/ @NCStateCareer for @NCStateSciences | Licensed Clinical Addictions Specialist | Clinical #MentalHealth Counselor | Opinions = me |✌🏾❤️&amp;✊🏾</t>
  </si>
  <si>
    <t>http://www.linkedin.com/in/wjwade</t>
  </si>
  <si>
    <t>Lori Folkerson</t>
  </si>
  <si>
    <t>I have committed myself to doing Yoga at least once a week. I was never fond of Yoga, but am now enjoying the effects of it. #selfcare #yoga #mentalhealth #flexibility RT @WomensHealthMag: This yoga flow is a crazy-good cardio workout. ✨🧘‍♀️</t>
  </si>
  <si>
    <t>https://twitter.com/WomensHealthMag/status/1218633659567099904</t>
  </si>
  <si>
    <t>pic.twitter.com/f5A3AjfCCT</t>
  </si>
  <si>
    <t>Guelph, Ontario</t>
  </si>
  <si>
    <t>Health/Wellness Advocate. HR Professional, Entrepreneur, Small Business Owner, Guelph Multi-Cultural Festival Board Member</t>
  </si>
  <si>
    <t>http://lorilynn.usana.com</t>
  </si>
  <si>
    <t>LosePounds_NotChad</t>
  </si>
  <si>
    <t>I’m a hot mess after 5pm. #mentalhealth #seasonalaffectivedisorder</t>
  </si>
  <si>
    <t>Washington, USA</t>
  </si>
  <si>
    <t>Alt account to document my weight loss, health and mental health journey</t>
  </si>
  <si>
    <t>👤</t>
  </si>
  <si>
    <t>Watch the film via Amazon!  #social #anxiety #film #mentalhealth</t>
  </si>
  <si>
    <t>http://amzn.to/1sUGwJM</t>
  </si>
  <si>
    <t>Devina Kaur™ ~ SEXY BRILLIANT™</t>
  </si>
  <si>
    <t>At @SexyBrilliantbr our mission to share more LOVE in the world with the radical idea that we can accept &amp; love ourselves just the way we are! FREE resources on 👇🏼  . . #SEXYBRILLIANT #Speaker #MentalHealth #SocialMedia #WomenWhoCode #Marketing #india</t>
  </si>
  <si>
    <t>http://www.SexyBrilliant.com</t>
  </si>
  <si>
    <t>https://pbs.twimg.com/media/EOnF6KhWAAAQ4a0.jpg</t>
  </si>
  <si>
    <t>Speaker &amp; Founder of @SexyBrilliantBR Global Revolution ~ Coming Soon 1st Book: #TooFatTooLoudTooAmbitious in SEXY BRILLIANT series @TFTLTA + #SexyBrilliant</t>
  </si>
  <si>
    <t>CarveYourOwnPath</t>
  </si>
  <si>
    <t>Finish the sentence: My depression looks like __________. #blizzard2020 #mentalhealth #therapy #depression #advocate #notcrazy #anxiety #selflove #awareness #cyop #garyveechallenge</t>
  </si>
  <si>
    <t>Akron, OH</t>
  </si>
  <si>
    <t>Holistic Mental Heath Counseling &amp; Integrated Wellness Services. Thoughts/Opinions shared here are my own, not to be taken as therapeutic advice.</t>
  </si>
  <si>
    <t>http://www.carvemypath.org</t>
  </si>
  <si>
    <t>Jen</t>
  </si>
  <si>
    <t>Our mental health is so important! Don't feel ashamed. Get it out so you can move forward. #mentalillness #mentalhealth Uj3wgTpbR0CYh5phMEatUg</t>
  </si>
  <si>
    <t>https://Uj3wgTpbR0CYh5phMEatUg.now9.site</t>
  </si>
  <si>
    <t>Detroit</t>
  </si>
  <si>
    <t>Live your life for YOU!!! Thx in advance for following me :) Married mother of four, just trying to enjoy life and all this Earth has to offer!!!</t>
  </si>
  <si>
    <t>https://m.facebook.com/BellMarkets4U/</t>
  </si>
  <si>
    <t>Sagar karandikar</t>
  </si>
  <si>
    <t>#TMM2020 #BeBetter Running for physical health as well as mental health💝 #MentalHealth #MentalHealthMattere</t>
  </si>
  <si>
    <t>https://pbs.twimg.com/media/EOnFW41XUAA9bQ8.jpg</t>
  </si>
  <si>
    <t>Youtuber+Marvelकर Adamant,Very Condescending,Self Obssesed,Mild Narcissistic and loves Movies+Series+food more than anything. Anti-Feminist+Anti-Secular</t>
  </si>
  <si>
    <t>Rhonda Dernoga</t>
  </si>
  <si>
    <t>When did you decide you had to be the one that holds your family together? #thejourneybue #mentalhealth #depression #anxiety #emotions</t>
  </si>
  <si>
    <t>Author</t>
  </si>
  <si>
    <t>Sarah Geringer</t>
  </si>
  <si>
    <t>Find hope and help as a depressed wife with these three important steps. #mentalhealth #depression  via @sarahgeringer</t>
  </si>
  <si>
    <t>https://buff.ly/2RDO5I3</t>
  </si>
  <si>
    <t>https://pbs.twimg.com/media/EOnFbt6XUAEBwE3.jpg</t>
  </si>
  <si>
    <t>Missouri, USA</t>
  </si>
  <si>
    <t>Christian author, speaker and artist rep. by @mslazurek. Published with Leafwood, Oct. '19. Devotion writer for @proverbs31org. INFJ, En 1w9 #semowriter</t>
  </si>
  <si>
    <t>http://sarahgeringer.com</t>
  </si>
  <si>
    <t>Wysa</t>
  </si>
  <si>
    <t>It takes effort to step out of our comfort zone and meet new people, but we need to push ourselves. Let's beat loneliness with some laughter and spread smile. Wysa is always there for you -&gt;  #loneliness #mentalhealth #selfcare #healing</t>
  </si>
  <si>
    <t>https://app.wysa.io/install</t>
  </si>
  <si>
    <t>https://pbs.twimg.com/media/EOnFbmLXUAAenMw.jpg</t>
  </si>
  <si>
    <t>London and Bangalore</t>
  </si>
  <si>
    <t>Wysa is your 4 am friend and life coach in an anonymous AI bot. It's written by therapists to help you build resilience. Talk to Wysa today!</t>
  </si>
  <si>
    <t>When did you begin to believe you were not enough just being you? #thejourneybue #mentalhealth #depression #anxiety #emotions</t>
  </si>
  <si>
    <t>Isabelle Côté</t>
  </si>
  <si>
    <t>Half of Canadians have too few local psychiatrists, or none at all. How can we mend the mental-health gap? #Mentalhealth #MentalHealthMatters #Canada</t>
  </si>
  <si>
    <t>https://www.theglobeandmail.com/canada/article-half-of-canadians-have-too-few-local-psychiatrists-or-none-at-all/</t>
  </si>
  <si>
    <t>Vancouver</t>
  </si>
  <si>
    <t>Lecturer @SFUEducation / Teacher Training/French Immersion/FSL/CSF/ Sciences Hum./Compétences interculturelles/French Facilitator New West #SD40/ Views are mine</t>
  </si>
  <si>
    <t>Dr. Nick Engerer</t>
  </si>
  <si>
    <t>You do you Meghan! Every person has the right to prioritiae their #mentalhealth and #wellness. No one should accept a #stress driven lifestyle, no matter the cost of the change. #megexit #weloveyoumeghan</t>
  </si>
  <si>
    <t>Byron Bay, New South Wales</t>
  </si>
  <si>
    <t>I like to think of life as an optimisation experiment, which for me is currently focused on #longevity &amp; #healthspan! [subscribe to my blog👇🏻]. CTO at Solcast</t>
  </si>
  <si>
    <t>http://www.nickengerer.org/longevity/subscribe</t>
  </si>
  <si>
    <t>Hedgy Thoughts ™</t>
  </si>
  <si>
    <t>Find the fighter in you. #mentalhealthawareness #mentalhealth #positivity #positivevibes #motivation #happy #trust #trustyourself #future #yourownvoice #fighter</t>
  </si>
  <si>
    <t>https://pbs.twimg.com/media/EOnEwixW4AEdSPI.jpg</t>
  </si>
  <si>
    <t>Two friends coming together to bring positivity to this cruel world. Please share/RT anything that speaks to you and turn on our notifications!IG:Hedgythoughts</t>
  </si>
  <si>
    <t>Psycamore Psychiatric</t>
  </si>
  <si>
    <t>Are you remembering to take time for yourself? If you haven't, be intentional about it tomorrow. You deserve it! #weekendvibes #mentalhealth #mentalhealthawareness</t>
  </si>
  <si>
    <t>https://pbs.twimg.com/media/EOnEYf2WAAEUeKb.jpg</t>
  </si>
  <si>
    <t>Mississippi, USA</t>
  </si>
  <si>
    <t>3 locations: Flowood 601.939.5993 Southaven 662.349.2818 Biloxi 228.385.7744 Child (Flowood Only) Adolescent - After School Adult - Day and Evening</t>
  </si>
  <si>
    <t>http://psycamore.com/</t>
  </si>
  <si>
    <t>Prathyush Sambaturu</t>
  </si>
  <si>
    <t>If you have make a trade off between work and health. Always side with health! No ifs and buts. #phdchat #Mentalhealth @AcademicChatter</t>
  </si>
  <si>
    <t>Charlottesville, VA</t>
  </si>
  <si>
    <t>PhD student @UVA @UVA_BI | Approximation Algorithms | Network Science | AI | Ex @virginia_tech, @iiit_hyderabad | history, politics, music.</t>
  </si>
  <si>
    <t>https://sites.google.com/a/virginia.edu/prathyush_sambaturu/</t>
  </si>
  <si>
    <t>Kirsten from ObtainingBliss</t>
  </si>
  <si>
    <t>So very true. #selfawareness #soulwork #authenticity #innerwork #highlysensitiveperson #empath #mentalhealth #mentalhealthawareness #spiritualityandmentalhealth #healing #soulgrowth #spiritualawareness…</t>
  </si>
  <si>
    <t>https://www.instagram.com/p/B7e_27CgFuh/?igshid=1w5tigy5k0nq8</t>
  </si>
  <si>
    <t>Minnesota, USA</t>
  </si>
  <si>
    <t>#TraumaInformedLifeCoach | #Blogger | #NarcAbuseSurvivor Helping Women find their #Bliss http://www.obtainingbliss.com</t>
  </si>
  <si>
    <t>http://www.ObtainingBliss.com</t>
  </si>
  <si>
    <t>Lindsey</t>
  </si>
  <si>
    <t>I never realized how rough depression was until it hit me very hard. Now I struggle with simple things, like brushing my teething and taking my contacts out at night. And it’s all because I don’t want to get out of my bed. #mentalhealth</t>
  </si>
  <si>
    <t>Having a Twitter is easier than having a diary.</t>
  </si>
  <si>
    <t>EMS of Virginia</t>
  </si>
  <si>
    <t>It's the weekend and you are your #1 priority. Do what makes you eel better, reconnect with your inner self. #selfcare #SelfCareSaturday #mentalhealth #weekendplans</t>
  </si>
  <si>
    <t>https://pbs.twimg.com/media/EOnBMtTW4AAPwiZ.png</t>
  </si>
  <si>
    <t>707 North Courthouse Rd North Chesterfield, VA, 23236</t>
  </si>
  <si>
    <t>Each Mind Matters, that's why EMS strives to work with each individual and family on their Mental Health needs. Based in the greater Richmond area since 2005.</t>
  </si>
  <si>
    <t>http://www.emsofvirginia.com</t>
  </si>
  <si>
    <t>🚴‍♀️ AnneGuzman 🇨🇦</t>
  </si>
  <si>
    <t>Great read on #happiness. Especially like the practical advice about literally re-writing your story.  #mindset #nutrition #mentalhealth</t>
  </si>
  <si>
    <t>https://www.nytimes.com/guides/well/how-to-be-happy</t>
  </si>
  <si>
    <t>Hamilton, Canada</t>
  </si>
  <si>
    <t>Performance Nutrition | Owner http://NSAG.CA | Learner | Bone Health is COOL! | #Cycling 🚴‍♀️ 🍁☕️Linkedin:http://linkedin.com/in/anne-l-guzm…</t>
  </si>
  <si>
    <t>http://nutritionsolutionsanneguzman.com</t>
  </si>
  <si>
    <t>Painted Brain</t>
  </si>
  <si>
    <t>If you believe in yourself anything is possible. #endthestigma #mentalhealth #mentalhealthwarriors</t>
  </si>
  <si>
    <t>http://ow.ly/yNRO50xOg48</t>
  </si>
  <si>
    <t>https://pbs.twimg.com/media/EOnCAe2XUAA8CFq.jpg</t>
  </si>
  <si>
    <t>Los Angeles, CA</t>
  </si>
  <si>
    <t>Join on http://instagram.com/ThePaintedBrain http://facebook.com/PaintedBrainLA @PeerTechAcademy | blog: @PaintedBraiNews</t>
  </si>
  <si>
    <t>http://paintedbrain.org</t>
  </si>
  <si>
    <t>Dr. John Pokea</t>
  </si>
  <si>
    <t>Understanding Social Phobia (Social Anxiety Disorder)  #mentalhealth #mentalillness</t>
  </si>
  <si>
    <t>http://psy.pub/1kbPf6l</t>
  </si>
  <si>
    <t>London, Ontario, Canada</t>
  </si>
  <si>
    <t>Clinical psychologist in private practice, University of Toronto graduate, interested in #autism, #adhd and other #mentalhealth topics. Psychology blogger.</t>
  </si>
  <si>
    <t>http://drpokea.com</t>
  </si>
  <si>
    <t>Harness Magazine</t>
  </si>
  <si>
    <t>#MentalHealth - "The Attack" "Fragmented #heart Fractured #mind Faults down to the soul’s last line Snapped Secretive Self beating out of time..." Read Here:</t>
  </si>
  <si>
    <t>https://www.harnessmagazine.com/the-attack/</t>
  </si>
  <si>
    <t>Columbus, OH</t>
  </si>
  <si>
    <t>Harness Magazine delivers real advice and real stories from everyday women. All readers welcome. Writers 18+ 🔅</t>
  </si>
  <si>
    <t>https://msha.ke/harnessmagazine</t>
  </si>
  <si>
    <t>AnonymousLimbo</t>
  </si>
  <si>
    <t>#MentalHealth Is it still Imposter Syndrome outside the workplace? Recently heard about it and it makes sense, but all the articles I find are about while at work. But if your whole life seems one big charade?</t>
  </si>
  <si>
    <t>Nothing to see here.</t>
  </si>
  <si>
    <t>AustraliaLatestNews.com</t>
  </si>
  <si>
    <t>Mental Health, a Lowering Platform.  #psychology #psychiatry #psychiatric #mental #mind #thought #learning #education #mentalhealth #doctor</t>
  </si>
  <si>
    <t>http://AustraliaLatestNews.com</t>
  </si>
  <si>
    <t>https://pbs.twimg.com/media/EOnBj_9UwAEYorH.jpg</t>
  </si>
  <si>
    <t>Adelaide, South Australia</t>
  </si>
  <si>
    <t>Australian news and analysis. Latest Australian News. Your source for detailed alternate information!</t>
  </si>
  <si>
    <t>http://www.AustraliaLatestNews.com</t>
  </si>
  <si>
    <t>Melissa Higgins LCSW</t>
  </si>
  <si>
    <t>Help! My Kid's In a Slump -  #centerfortherapy #counseling #therapy #newjersey #mentalhealth #teen #teens #teentherapy #teencounseling #onlinetherapy #videotherapy #onlinevideotherapy #melissahigginslcsw</t>
  </si>
  <si>
    <t>https://mailchi.mp/centerfortherapy/help-my-kids-in-a-slump</t>
  </si>
  <si>
    <t>https://pbs.twimg.com/media/EOnBeqFU0AM16v3.jpg</t>
  </si>
  <si>
    <t>New Jersey</t>
  </si>
  <si>
    <t>Psychotherapist, Business Owner, The Center for Therapy &amp; Counseling Services, New Jersey</t>
  </si>
  <si>
    <t>http://www.centerfortherapy.net</t>
  </si>
  <si>
    <t>Francesco D Sergi</t>
  </si>
  <si>
    <t>But more than that, it’s a recognition that we need to pay more attention to mental health as a profession and take it more seriously. We need more robust therapies and treatments for #mentalhealth problems</t>
  </si>
  <si>
    <t>MD-PRIME candidate at @UCSFMedicine. Class of 2023</t>
  </si>
  <si>
    <t>matthew naylor</t>
  </si>
  <si>
    <t>Hey guys, I know #mentalhealth numbers are rapidly increasing, but don't worry. I have shared a post on facebook which emotionally blackmails anxious people to share it to their own walls, so everyone will feel much better soon. I'll still vote for austerity parties though.</t>
  </si>
  <si>
    <t>Crediton, Devon</t>
  </si>
  <si>
    <t>Public Figurine. Teacher. Poet.</t>
  </si>
  <si>
    <t>BeWellGSU</t>
  </si>
  <si>
    <t>#DYK you can complete an anonymous "Well-Being Check" &amp; also be connected to helpful resources at #GeorgiaStateUniversity Complete a brief check in TODAY:  #HealthyStateGSU #BeWellGSU #MentalHealth</t>
  </si>
  <si>
    <t>https://screening.mentalhealthscreening.org/gsu</t>
  </si>
  <si>
    <t>https://pbs.twimg.com/media/EOm_txnUYAAWxdu.jpg</t>
  </si>
  <si>
    <t>75 Piedmont Ave NW, Atlanta</t>
  </si>
  <si>
    <t>#BeWellGSU Be Well. Do Well. We represent Georgia State University's Counseling &amp; Testing Center, Student Health Clinic &amp; Student Health Promotion.</t>
  </si>
  <si>
    <t>http://healthpromotion.gsu.edu</t>
  </si>
  <si>
    <t>Teena Swager </t>
  </si>
  <si>
    <t>How to overcome your fears and move on.  #fear #anxiety #mentalhealth</t>
  </si>
  <si>
    <t>https://www.calmmoment.com/wellbeing/how-to-overcome-your-fears-and-move-on/</t>
  </si>
  <si>
    <t>Psychologist, Counseling, MentalHealth Advocate, Human Resources, Loves to cook, Animal and nature lover, Cat lover, Health and fitness.</t>
  </si>
  <si>
    <t>Dr. Florin Sandu</t>
  </si>
  <si>
    <t>Your sleep cycle is more important than you think! 😴 🧠 #Health #sleep #mentalhealth #medicine #Doctor #healthcare #bed #heal #patholgy #life #motivation #biology #study #md #dr #Physician #Psychiatry #lifestyle #medical #nature #Students #medicos #med #physical #psychology RT @NIH: Sacrificing sleep to fit in everything we need to do can negatively affect both our physical and mental health. Read about the benefits of slumber and how to ensure you get a good night’s sleep:  #NIH #NIHhealthy2020 #sleep</t>
  </si>
  <si>
    <t>https://twitter.com/nih/status/1216447760469237760
https://newsinhealth.nih.gov/2013/04/benefits-slumber</t>
  </si>
  <si>
    <t>pic.twitter.com/64jMcjrKy2</t>
  </si>
  <si>
    <t>Florin Sandu M.D. Psychiatrist #StayPositive</t>
  </si>
  <si>
    <t>https://vero.co/doctorflorinsandu</t>
  </si>
  <si>
    <t>Julie*Anna</t>
  </si>
  <si>
    <t>My #NewYearsResolution for this year is to focus on my #MentalHealth: I was SO #Anxious last year about where my life was going that I overplanned EVERYTHING but this year I just want to take things as they come at me and see where life takes me! #Anxiety #Resolutions #NewYear</t>
  </si>
  <si>
    <t>Toronto, ON, Canada</t>
  </si>
  <si>
    <t>*Veg, SXE, Torontonian, Health-Nut, Fitness-Freak, Behavior Analyst, Traveller, Hopeless Romantic, Disney-Lover, Tolkienite, Pierced, Tattooed, Metalhead, Nerd*</t>
  </si>
  <si>
    <t>https://www.facebook.com/darkangelik</t>
  </si>
  <si>
    <t>BigSte</t>
  </si>
  <si>
    <t>We getting there slowly, patience is the biggest grind of all! #gymmotivation #SundayMotivation #PositiveVibesOnly #mentalhealth #physicalhealth #Wellbeing #bodybuilding</t>
  </si>
  <si>
    <t>https://pbs.twimg.com/media/EOm-79KX4AAaWSk.jpg</t>
  </si>
  <si>
    <t>Birmingham, England</t>
  </si>
  <si>
    <t>-UK - Bodybuilding</t>
  </si>
  <si>
    <t>EfficientGov</t>
  </si>
  <si>
    <t>Should New Jersey Schools Screen Every Teenager for #Depression? The Debate Is Starting | EfficientGov  #mentalhealth #suicide</t>
  </si>
  <si>
    <t>https://buff.ly/2R6FJL9</t>
  </si>
  <si>
    <t>https://pbs.twimg.com/media/EOm-kPCU4AAWeOR.jpg</t>
  </si>
  <si>
    <t>News and resources for efficient local government and grant information for forward-thinking municipal officials. http://efficientgov.com/subscribe</t>
  </si>
  <si>
    <t>http://www.efficientgov.com</t>
  </si>
  <si>
    <t>Hannah Bassett</t>
  </si>
  <si>
    <t>NEW POST: Burnout Vs Depression. How do we tell them apart? #Mentalhealth #mentalwellness #mentalillness #MentalHealthAwareness #mind</t>
  </si>
  <si>
    <t>https://madewithlove99.wordpress.com/2020/01/12/burnout-vs-depression</t>
  </si>
  <si>
    <t>Sex positivity|Empowering women|Mental Health|Self Development|Feminism</t>
  </si>
  <si>
    <t>http://www.madewithlove99.wordpress.com</t>
  </si>
  <si>
    <t>Browne Law Office PC</t>
  </si>
  <si>
    <t>Family seeks an answer as to how their son could have taken his own life while he was in a #hospital psychiatric unit under #suicide watch. #mentalhealth RT @CBCToronto: A young man dies while on suicide watch, but there's not a single courtroom in Toronto to hear the case</t>
  </si>
  <si>
    <t>https://twitter.com/cbctoronto/status/1218108034792161287
https://ift.tt/2ubnSt6</t>
  </si>
  <si>
    <t>https://pbs.twimg.com/media/EOeWzYcWAAA4P1V.jpg</t>
  </si>
  <si>
    <t>#Oakville #Toronto #HamOnt🇨🇦</t>
  </si>
  <si>
    <t>CRIMINAL DEFENCE/ #MENTALHEALTHLAW #MHLAW/ABORIGINAL LAW/ Trials + Appeals / Joan SMYTHE BROWNE + Russell BROWNE / 1-877-R-BRO-LAW /The truth will set you free.</t>
  </si>
  <si>
    <t>http://www.brownelawoffice.ca</t>
  </si>
  <si>
    <t>Great reminders for parents #parenting #anxiety #children #mentalhealth RT @MsMaynes: Anxiety is sneaky. This chart is a good reminder that anxiety presents differently in every individual, (and even if there are far more then 8 ways for anxiety to present itself). It also leaves out somatic symptoms like tummy aches, headaches, and tiredness. #mentalhealth</t>
  </si>
  <si>
    <t>https://twitter.com/msmaynes/status/1217683298656210946</t>
  </si>
  <si>
    <t>https://pbs.twimg.com/media/EOYUgIKUcAAKRKS.jpg</t>
  </si>
  <si>
    <t>OtterlyHopeful</t>
  </si>
  <si>
    <t>Your future needs you. Take a deep breath. Hang on. 💕 💕 💕 #MentalHealth #MentalIllness #MentalHealthAwareness #Depression #Depressed #Anxiety #Anxious #Bipolar #SuicidePrevention #SuicideAwareness #Suicidal</t>
  </si>
  <si>
    <t>Spark hope. Spread positivity. 💚🍃 Find us on Instagram and FB @otterlyhopeful. You are welcome to share our images, just give attribution.💫</t>
  </si>
  <si>
    <t>Shawn Parker Jr.</t>
  </si>
  <si>
    <t>Signs and Treatment of Social Anxiety Disorder (Social Phobia)  #mentalhealth #mentalillness</t>
  </si>
  <si>
    <t>Toronto, Ontario</t>
  </si>
  <si>
    <t>PhD Candidate in #Neuropsychology, artist, health freak, and daydreamer. Volunteer in CPPN. Interested in #psychology #mentalhealth #autism #adhd</t>
  </si>
  <si>
    <t>http://www.dreampositive.info/</t>
  </si>
  <si>
    <t>❄In a Winter Wizard Way❄</t>
  </si>
  <si>
    <t>The wait is over! Going live on Twitch for more #GamingThruGrief &amp; #MentalHealth goodness! Tonight will be at least part of Stage 2: 💥💣🔥 A N G E R 🔥💣💥 ⬇️⬇️ Join me for more RiME! ⬇️⬇️</t>
  </si>
  <si>
    <t>https://twitch.tv/WizardWayKris</t>
  </si>
  <si>
    <t>Tampa, FL</t>
  </si>
  <si>
    <t>🌈 Non-Binary 🏝 Floridian 🐍 Slytherpuff 📚 Professor ⚡ #WUtubers 💫 #WizUWitches 🔮 http://patreon.com/WizardWayKris 💻 WizardWayKris@gmail.com</t>
  </si>
  <si>
    <t>https://www.youtube.com/c/WizardWay</t>
  </si>
  <si>
    <t>🇺🇸QAnon76er@Wwg1wga</t>
  </si>
  <si>
    <t>#SaturdayThoughts #SaturdayVibes #SaturdayMotivation #WakeUpAmerica #NancyPelosiFakeNews #RecallGavinNewsom #UFC246 #ThinBlueLine #MentalHealth This Is a Much Watch Video. Try to watch to the end Because Cops that protect our liberty are Not Allowed To Change The Channel👇 RT @BobRoon12515016: #RecallGavinNewsom #JackMurphyTrumpRally</t>
  </si>
  <si>
    <t>https://twitter.com/BobRoon12515016/status/1217827433895776257
https://twitter.com/BobRoon12515016/status/1210408956922744832</t>
  </si>
  <si>
    <t>Earth</t>
  </si>
  <si>
    <t>World Traveler,Cyborg,Artist, Historian,Alchemist, Lover of The Mind Q+ Free Thinking = Thought Criminal #WWG1WGA🇺🇸 #RecallGavinNewsom http://Qmap.pub 🗝</t>
  </si>
  <si>
    <t>Online #Mindfulness Therapy through Skype. Learn how to apply mindfulness #meditation for overcoming emotional suffering. Go to: . #mentalhealth #anxietytreatment #panicattacks #OCDtreatment #PTSDtreatment #depressiontreatment #addictiontreatment</t>
  </si>
  <si>
    <t>Eating Enlightenment</t>
  </si>
  <si>
    <t>My Health Care Transformation Journey From Binge Eating Wrestler To Zen Monk And Beyond #overeating #eatingdisorder #obesity #diet #weightloss #bodyimage #mentalhealth</t>
  </si>
  <si>
    <t>http://zpr.io/thSZw</t>
  </si>
  <si>
    <t>https://pbs.twimg.com/media/EOm8T9jXsAYDgnA.png</t>
  </si>
  <si>
    <t>San Jose, CA</t>
  </si>
  <si>
    <t>You know Emotional Eating is the problem. Visit my website to transform your negative emotions into Intuitive Eating to stop binge and emotional eating</t>
  </si>
  <si>
    <t>https://eatingenlightenment.com</t>
  </si>
  <si>
    <t>NIRMALYA SAHA 🚾</t>
  </si>
  <si>
    <t>You don't stop having fun because you get old, you get old because you stop having fun. #mentalhealth #lifelessons #positivepsychology</t>
  </si>
  <si>
    <t>https://www.instagram.com/p/B7e7_0Oh_32/?igshid=1byuowawwk77f</t>
  </si>
  <si>
    <t>Berhampore,West Bengal,India</t>
  </si>
  <si>
    <t>Homo Sapience . Loves books, music, sports, movies. Lateral thinker. Motivational &amp; Psychosocial Blogger. Wisdom Coach. Breakdown Analyzer.</t>
  </si>
  <si>
    <t>http://althoughts.in</t>
  </si>
  <si>
    <t>Washington Psych</t>
  </si>
  <si>
    <t>Ready to find your perfect practice? Check out this job with Pacific Medical Centers in #Renton, WA. Psychiatry -  #mentalhealth</t>
  </si>
  <si>
    <t>http://bit.ly/367CVRS</t>
  </si>
  <si>
    <t>Washington</t>
  </si>
  <si>
    <t>Follow this account for geo-targeted Physician-Psychiatry job tweets in Washington Non-Metro. Need help? Tweet us at @CareerArc!</t>
  </si>
  <si>
    <t>http://bit.ly/2LtYra2</t>
  </si>
  <si>
    <t>Allan Rogers, PhD</t>
  </si>
  <si>
    <t>Autism Spectrum Disorder - what you need to know  #mentalhealth #mentalillness #autism #asd</t>
  </si>
  <si>
    <t>I teach Psychology at Ryerson and work as a therapist in private practice. Interested in #art &amp; #psychology, see my posts on 'Psychology of Art' (link below)</t>
  </si>
  <si>
    <t>http://www.naturibeauty.com/</t>
  </si>
  <si>
    <t>Alicia Budhram</t>
  </si>
  <si>
    <t>A frequently made overpass. #mentalhealth #psychology #mentalpain We should look at our life in the mirror of truth, before spewing our shadows. I apologize to all of you who suffer projections. ✨</t>
  </si>
  <si>
    <t>https://pbs.twimg.com/media/EOm7JZrWoAAq6tN.jpg</t>
  </si>
  <si>
    <t>Guyana. South America</t>
  </si>
  <si>
    <t>Psychologist, Writer, Poet, Motivational Speaker, wanderer, seeker, explorer.</t>
  </si>
  <si>
    <t>http://www.infinitecreativityaliciabudhram.com/</t>
  </si>
  <si>
    <t>Rachel Thompson | Believes Survivors |Writes | ✍️</t>
  </si>
  <si>
    <t>We owe future generations nothing less than a world free of sexual violence. I believe we can build that world. #MeToo is a Movement, Not a Moment by Tarana Burke  #SaturdayMotivation ##BelieveSurvivors #MentalHealth #KeepTalkingMH</t>
  </si>
  <si>
    <t>http://ow.ly/aN2i50xXwKf</t>
  </si>
  <si>
    <t>https://pbs.twimg.com/media/EOm7I0FX0AAhESf.jpg</t>
  </si>
  <si>
    <t>✅</t>
  </si>
  <si>
    <t>My pinned tweet. Crazy, right?</t>
  </si>
  <si>
    <t>6 #books including BROKEN PIECES, BROKEN PLACES. Helping survivors feel less alone. Founder #SexAbuseChat, #MondayBlogs, @BadRedheadMedia. http://RachelintheOC.com</t>
  </si>
  <si>
    <t>http://geni.us/BrokenPlacesP</t>
  </si>
  <si>
    <t>Dean Kendall</t>
  </si>
  <si>
    <t>Great video I thought I would share. The couples that plan together thrive together! #personalfinance #retirement #savingmoney #goalplanning #layoffs #financialplanning #bestadvice #mentalheath #wealth #mentalhealth #coupl…</t>
  </si>
  <si>
    <t>https://lnkd.in/gvnSpwa
https://lnkd.in/gzfxnmQ</t>
  </si>
  <si>
    <t>Calgary, Alberta</t>
  </si>
  <si>
    <t>I was inspired to break away from the industry norm and follow a client centered methodology and process that provides a higher fiduciary standard.</t>
  </si>
  <si>
    <t>http://www.ideal-life-experience.ca/</t>
  </si>
  <si>
    <t>Igor Os</t>
  </si>
  <si>
    <t>Caring About Climate Can Help You Get Laid  #dating #okcupid #mentalhealth</t>
  </si>
  <si>
    <t>http://dlvr.it/RNJvhQ</t>
  </si>
  <si>
    <t>https://pbs.twimg.com/media/EOm66n_UUAAQQ1T.jpg</t>
  </si>
  <si>
    <t>Delaware, USA</t>
  </si>
  <si>
    <t>Experienced #Unix/#Linux System Administrator with 20+ -year background in Systems Analysis, Problem Resolution, Application Support, and Process #Automation.</t>
  </si>
  <si>
    <t>https://igoros.com</t>
  </si>
  <si>
    <t>Junior Schoeman</t>
  </si>
  <si>
    <t>80% #Disengagement 82% ineffective #managers promoted 80% #ChangeManagement failures sane for #M&amp;A #Burnout and poor #mentalhealth rising These are the symptoms.. Now ask the question: Which of these businesses have a definition of innate talent or…</t>
  </si>
  <si>
    <t>https://lnkd.in/fBdYYYu</t>
  </si>
  <si>
    <t>Singapore</t>
  </si>
  <si>
    <t>Management Consultant / Talent Risk Maps / Psychometrics for Business Management</t>
  </si>
  <si>
    <t>http://i-talent.sg</t>
  </si>
  <si>
    <t>viviluna1111</t>
  </si>
  <si>
    <t>Read my book for free on my tumblr blog #poetry #writing #poetrylovers #writingcommmunity #mentalhealth #anxiety</t>
  </si>
  <si>
    <t>https://pbs.twimg.com/media/EOm6DiyUwAAF0vB.jpg</t>
  </si>
  <si>
    <t>Hi! Call me Vivi. I'm a poet/storyteller. Read my book for free on my Tumblr blog :)</t>
  </si>
  <si>
    <t>https://vivianaluna111.tumblr.com</t>
  </si>
  <si>
    <t>UCLASemelFriends</t>
  </si>
  <si>
    <t>How #Puberty , #Pregnancy And #Perimenopause Impact Women's #Mentalhealth : ⁦@NPR⁩ #women</t>
  </si>
  <si>
    <t>https://www.npr.org/2020/01/14/795329574/how-puberty-pregnancy-and-perimenopause-impact-womens-mental-health</t>
  </si>
  <si>
    <t>UCLA Semel Institute</t>
  </si>
  <si>
    <t>Improving the lives of people with mental illness by supporting research that leads to new treatments &amp; educational programs that raise awareness &amp; erase stigma</t>
  </si>
  <si>
    <t>http://friendsofthesemelinstitute.org</t>
  </si>
  <si>
    <t>Dear #Police 🚔 Please see link in bio. 👈 TY! 🤗</t>
  </si>
  <si>
    <t>#Depression #MentalHealth You are powerful and you really do matter on this earth, @Genoveseclan73 Sending love! #Follow 💞 #Hope RT @Genoveseclan73: Saw a goalcast from @TheRock talking about his mums depression and it hit me, because that is a constant struggle for me. There are days I want to walk into oncoming traffic. But like the rock says, have faith, faith that something better is coming. #SuicideAwareness #life</t>
  </si>
  <si>
    <t>https://twitter.com/Genoveseclan73/status/1167589585804615681</t>
  </si>
  <si>
    <t>I told. They didn't listen.</t>
  </si>
  <si>
    <t>I WAS #Debbie ~ Finding an agency or human to fully trust has been impossible. End the CRIMINAL #SOL on #CSA #CSE nationwide! Nothing = Endorsement. NO DMs! *TW</t>
  </si>
  <si>
    <t>https://memoirreveal.wixsite.com/debbie/msg-to-leos</t>
  </si>
  <si>
    <t>bluebottlehorse</t>
  </si>
  <si>
    <t>The next person that gives me I asked for #Mentalhealth advice is gonna get ugly cried at</t>
  </si>
  <si>
    <t>I strive for Garfield’s lifestyle</t>
  </si>
  <si>
    <t>Stephen Haines MHN</t>
  </si>
  <si>
    <t>"the time has come to regard the use of involuntary measures less as the core of the mental health system, but more as a symptom of its failings" Council of Europe arguing for human rights approach to #Mentalhealth</t>
  </si>
  <si>
    <t>http://website-pace.net/documents/19855/5665827/20190513-EndingCoercion-EN.pdf/4aa0c891-3353-41af-8a24-f968e0d1b135</t>
  </si>
  <si>
    <t>Sunshine Coast, Queensland, AU</t>
  </si>
  <si>
    <t>#CMHN When care becomes coercion: exploring ethical issues for community MH nurses when responding to acute suicidality #CQUniResearch #PhD #MHNResearch</t>
  </si>
  <si>
    <t>Joe Accardi</t>
  </si>
  <si>
    <t>What causes someone to develop Attachment Disorder?  #mentalhealth #mentalillness</t>
  </si>
  <si>
    <t>http://psy.pub/1jnqsxr</t>
  </si>
  <si>
    <t>Psychotherapist in private practice. Born and raised in Boston MA, live in Canada since 2006. Interested in #PositivePsychology, #Logotherapy #Autism, and #ADHD</t>
  </si>
  <si>
    <t>http://www.consultinghealth.com/</t>
  </si>
  <si>
    <t>Nothing beats a girl who never stops asking you questions. I wonder if I'll ever find the needle in a haystack. God I pray so. I can't live like this anymore... #bpd #depression #mentalhealth #suicide</t>
  </si>
  <si>
    <t>Shuri Mikage</t>
  </si>
  <si>
    <t>Ranked grind on League of Legends! Almost into our silver promos! Also crafting on BDO. Maybe some grinding later!Positive #mentalhealth advocate, bringing mental health and competitive games together  @SocialGamingHub @mentalhealth @TBandit90</t>
  </si>
  <si>
    <t>https://twitch.tv/bloodmoonlilin</t>
  </si>
  <si>
    <t>U.S.</t>
  </si>
  <si>
    <t>I am the heretic and I crave your excommunication.</t>
  </si>
  <si>
    <t>http://www.twitch.tv/bloodmoonlilin</t>
  </si>
  <si>
    <t>Clearview BPD Center</t>
  </si>
  <si>
    <t>Finding #Courage in Challenging Times -  #mentalhealth #recovery #treatment #awareness #psychology #psychologist #therapy #therapist #dbt #cbt #bpd #borderline #bipolar #depression #anxiety #ptsd #trauma #wellness #mindfulness</t>
  </si>
  <si>
    <t>https://bit.ly/2TvlEQ7</t>
  </si>
  <si>
    <t>Los Angeles</t>
  </si>
  <si>
    <t>Clearview Women's Center is a leading women's mental health treatment center specializing in Borderline Personality Disorder (BPD). (866) 412-3230.</t>
  </si>
  <si>
    <t>http://clearviewwomenscenter.com</t>
  </si>
  <si>
    <t>Eric</t>
  </si>
  <si>
    <t>It's becoming far too common that I come on here to post how I feel. Everyone has their own problems. I don't want sympathy or empathy. I want #mentalhealth to be taken seriously. I've spent the past hour questioning everything. And I mean everything. Fuck...</t>
  </si>
  <si>
    <t>Iowa, USA</t>
  </si>
  <si>
    <t>Family first, music, wrestling, sports, video games. I'm all about people with similar interests as me</t>
  </si>
  <si>
    <t>Jay Hollingshed</t>
  </si>
  <si>
    <t>I coach driven individuals through the problems they have and don’t want, to the success they see and can’t reach. #HighPerformance #MindsetCoach #Speaker #Philosopher #MentalHealth #jayHOLLiNGSHED #7PillarsOfMentalPerformance 1-833-822-MIND (6463)</t>
  </si>
  <si>
    <t>https://pbs.twimg.com/media/EOm35stX0AAUH9C.jpg</t>
  </si>
  <si>
    <t>Pickerington, OH</t>
  </si>
  <si>
    <t>High Performance Mindset Coach to athletes &amp; entrepreneurs. Public Speaking, Workshops, Mental Game Expert. Free assessment now at http://SpeakToJay.com 1-833-822-MIND</t>
  </si>
  <si>
    <t>http://JayHollingshed.com</t>
  </si>
  <si>
    <t>All we have to say is 'Thank You'. Your love help us try harder and reach as many people as we can. Your reviews help us reach many people, much love and appreciation! Download -&gt;  #wysa #reviews #bestmentalhealthapp #mentalhealth #mentalhealthapp</t>
  </si>
  <si>
    <t>https://pbs.twimg.com/media/EOm3sjFUcAEM2d1.jpg</t>
  </si>
  <si>
    <t>Anna Page (TheAwkwardArmadillo)</t>
  </si>
  <si>
    <t>The latest Blog is up: This time, it is talks of grief, loss, and mental health. With a picture of my dog, and beginning humor. #Mentalhealth #Bloggers #Blog #Bloggerstribe #Writers #writerscommunity #Loss #2019 #Writing #Saturday</t>
  </si>
  <si>
    <t>https://theawkwardarmadillo.com/memory-of-the-lost/</t>
  </si>
  <si>
    <t>Illinois</t>
  </si>
  <si>
    <t>The Awkward Armadillo Blog: Small Shop/Business Highlights, Reviews (beer, books, products and more) and Mental Health. #blogger #writer #poet #blogging #Blog</t>
  </si>
  <si>
    <t>http://theawkwardarmadillo.com/</t>
  </si>
  <si>
    <t>Inés Iturbide</t>
  </si>
  <si>
    <t>Pages by Paige', Chapter 6 - Daddy's Home @getinkspired #selfdiscovery #urban #emotionalbaggage #journal #mentalhealth #filrtationship #chicklit #romance Check it out at</t>
  </si>
  <si>
    <t>https://getinkspired.com/story/84326/pages-by-paige</t>
  </si>
  <si>
    <t>#escritora #uruguaya #vegana #ecologista #pacifista #idealista</t>
  </si>
  <si>
    <t>https://ines-iturbide.com</t>
  </si>
  <si>
    <t>Melissa Griffiths</t>
  </si>
  <si>
    <t>Check out my latest article: Mental health - Child, Teenager, Adult, and Parent  via @LinkedIn #mentalhealth #mentalhealthawareness #mentalhealthsupport #positivepyschology #children #teenagers #adults #postnataldepression #socialmedia #media #skynews</t>
  </si>
  <si>
    <t>https://www.linkedin.com/pulse/mental-health-child-teenager-adult-parent-melissa-griffiths</t>
  </si>
  <si>
    <t>Melbourne, Victoria</t>
  </si>
  <si>
    <t>Transgender Authority. Public Figure. ERA Board Director. Ambassador. Diversity and Inclusion Consultant, Keynote/Motivational Speaker. Media Commentator.</t>
  </si>
  <si>
    <t>http://www.melissagriffiths.com.au</t>
  </si>
  <si>
    <t>Nickel_City_Art</t>
  </si>
  <si>
    <t>I have #anxiety that I've let my therapist down. She gives me homework. It always helps and I love it. Yesterday was really tough. I took today off. Now I feel quilty. Like I should have done my homework. #mentalhealth #ADD #depression #BPD</t>
  </si>
  <si>
    <t>Dr. Gilda Carle</t>
  </si>
  <si>
    <t>#AskDrGilda "Help! My #Ex-Wife And New #Wife Don't Get Along" 👉  👈🤦‍♂️ #DrGilda #PHD #Author #RelationshipExpert #LifeCoach #Divorce #CoParenting #Threesome #MarriageCounseling #MentalHealth #SaturdayMotivation #Scottsdale #Arizona</t>
  </si>
  <si>
    <t>http://bit.ly/2u9fRFo</t>
  </si>
  <si>
    <t>pic.twitter.com/sp5UnKcOCD</t>
  </si>
  <si>
    <t>NY &amp; Scottsdale, AZ</t>
  </si>
  <si>
    <t>#RelationshipExpert • #Author • Pres. #NonProfit • #MediaPersonality #LifeCoach • Clients: TODAY, Match, Hallmark, Galderma Pharm, IBM, US Army</t>
  </si>
  <si>
    <t>http://www.drgilda.com</t>
  </si>
  <si>
    <t>Sarah Reed</t>
  </si>
  <si>
    <t>To overcome my #ImposterSyndrome and improve my #MentalHealth, here's yesterday's successes. Productive work day. Lunch, tried Indian food for first time. Evening, played Quacks of Quedlinburg and Point Salad x2 with friends. 7,354 steps. What were your successes?</t>
  </si>
  <si>
    <t>Northern California</t>
  </si>
  <si>
    <t>#LEGO #BoardGames Hubby &amp; I designed Project Dreamscape, Flo'Busta, &amp; Oaxaca: Crafts of a Culture. Creator of #10x10BGChallenge. #MentalHealth advocate. She/Her</t>
  </si>
  <si>
    <t>http://undinestudios.com</t>
  </si>
  <si>
    <t>California Psych</t>
  </si>
  <si>
    <t>Read about the latest job opening at Providence Psychiatry Physician -  #mentalhealth #LosAngeles, CA</t>
  </si>
  <si>
    <t>http://bit.ly/3anSUyN</t>
  </si>
  <si>
    <t>California</t>
  </si>
  <si>
    <t>Follow this account for geo-targeted Physician-Psychiatry job tweets in California Non-Metro. Need help? Tweet us at @CareerArc!</t>
  </si>
  <si>
    <t>http://bit.ly/2KfOfkG</t>
  </si>
  <si>
    <t>🇲🇽INTENSE 🇯🇲</t>
  </si>
  <si>
    <t>What I got out of the Aaron Hernandez documentary was don’t let your past trauma and pain manifest itself into wrong future choices and decisions that will have a long lasting effect on your legacy. #SeekTreatment #MentalHealth #Healing #KeepHopeAlive #WalkByFaith</t>
  </si>
  <si>
    <t xml:space="preserve">Africa | Mexico | Jamaica </t>
  </si>
  <si>
    <t>Kingdom Man. AfroMex. Father. Social Work. Music Connoisseur. Poet. Beat Maker. Cigar Aficionado. SPEAK LIFE, NOT DEATH! #TEAMINTENSE #BLAXICANPOET</t>
  </si>
  <si>
    <t>altocubic</t>
  </si>
  <si>
    <t>National Alliance on #MentalIllness? 🎎 🎎 🎎 🎎 #NAMI Peer-to-Peer is a class for adults with #mentalhealth conditions. The course is designed to encourage #growth, healing and #recovery among participants.</t>
  </si>
  <si>
    <t>https://www.nami.org/Find-Support/NAMI-Programs</t>
  </si>
  <si>
    <t xml:space="preserve"> Alpha Centauri B</t>
  </si>
  <si>
    <t>Take Me to Your People-Reader's Personal Reader. Member of N.A.S.A. [THE NATL. ASSN. OF SPACE ALIENS!]</t>
  </si>
  <si>
    <t>http://dimension36.blogspot.com</t>
  </si>
  <si>
    <t>Wonderland Tea Party for CHEO</t>
  </si>
  <si>
    <t>We ❤️ our generous sponsors like EQ Homes #mentalhealth @CHEOhospital #hero4cheo #wonderlandteaparty #BellLetsTalk #children #youth</t>
  </si>
  <si>
    <t>https://pbs.twimg.com/media/EOmzl0zUUAA7ygs.jpg</t>
  </si>
  <si>
    <t>Ottawa, Ontario</t>
  </si>
  <si>
    <t>Official Twitter of the CHEO Wonderland Tea Party for Child and Youth Mental Health. The event will take place on April 5, 2020</t>
  </si>
  <si>
    <t>https://cheofoundation.donordrive.com/index.cfm?fuseaction=donorDrive.event&amp;eventID=633</t>
  </si>
  <si>
    <t>Acetyl A.A.</t>
  </si>
  <si>
    <t>Ilorin, Kwara State</t>
  </si>
  <si>
    <t>On a low...</t>
  </si>
  <si>
    <t>http://www.acetylwords.blogspot.com</t>
  </si>
  <si>
    <t>Life with Anna C.</t>
  </si>
  <si>
    <t>Bipolar Disorder: 4 Signs of Distress in a Loved One  #mentalhealth #breakthestigma #bipolardisorder</t>
  </si>
  <si>
    <t>https://www.annacockayne.com/bipolar-disorder-4-signs-of-distress-in-a-loved-one/</t>
  </si>
  <si>
    <t>Ohio, USA</t>
  </si>
  <si>
    <t>Wife 💏 Mom of 2 Teen Boys 👨‍👩‍👦‍👦 ❤ Lifestyle | Farmhouse Living | #OhioBlogger | Mental Health | #Foodie | Animal Lover ❤ #PRFriendly</t>
  </si>
  <si>
    <t>Alice Asgaard</t>
  </si>
  <si>
    <t>The Unique Features of Complex PTSD  “If we could somehow end child abuse and neglect, the eight hundred pages of DSM would be shrunk to a pamphlet in two generations.” – John Briere #MentalHealth #KnowledgeisPower</t>
  </si>
  <si>
    <t>https://buff.ly/2NBNl5T</t>
  </si>
  <si>
    <t>https://pbs.twimg.com/media/EOmybj8U0AEMW0R.jpg</t>
  </si>
  <si>
    <t>Do I contradict your assumptions? You’re welcome. I contain multitudes. Late-DX #ActuallyAutistic #Feminist #RESIST</t>
  </si>
  <si>
    <t>Katie</t>
  </si>
  <si>
    <t>As a content creator, sometimes we feel like we let our communities down if we take time away from social media. In reality, we let them down if we don’t take that time to “unplug”. Burn out, exhaustion, anxiety...you are not alone. Take the time you deserve ❤️ #MentalHealth</t>
  </si>
  <si>
    <t>https://pbs.twimg.com/media/EOmyZ0MUYAELFCN.jpg</t>
  </si>
  <si>
    <t>Olympia, WA</t>
  </si>
  <si>
    <t>Twitch Affiliate - Variety Streamer - Working Mom Business inquires: twitchktmarine@gmail.com</t>
  </si>
  <si>
    <t>http://www.twitch.tv/ktmarine</t>
  </si>
  <si>
    <t>CredibleMind</t>
  </si>
  <si>
    <t>62% of all missed workdays per year are due to a mental health condition. That is a staggeringly high figure that companies and large organizations can no longer ignore… #MentalHealth #Employees #WorkLifeBalance</t>
  </si>
  <si>
    <t>https://crediblemind.com/articles/the-financial-cost-of-ignoring-mental-health-in-the-workplace</t>
  </si>
  <si>
    <t>Thrive Mentally and Spiritually. Expert and user rated resources for a better life.</t>
  </si>
  <si>
    <t>Thrilled to have the Oz Dome as one of our sponsors for this year’s Wonderland Tea Party. #mentalhealth @CHEOhospital #hero4cheo @Bell_LetsTalk #youth #children #bestlife</t>
  </si>
  <si>
    <t>https://pbs.twimg.com/media/EOmyICYVAAA7vEI.jpg</t>
  </si>
  <si>
    <t>Life, Liberty, And Pursuit Of Happiness Project</t>
  </si>
  <si>
    <t>#Harmony in #life is important in our #happiness, #mentalhealth, and #emotionalhealth. How do you maintain #balance and harmony between who you are at your core, your job, your family, etc.? What does harmony mean for you? #pursuitofhappiness</t>
  </si>
  <si>
    <t>https://pbs.twimg.com/media/EOmyDjjU4AEAPzG.jpg</t>
  </si>
  <si>
    <t>Empowering your best life through education, preparedness, civic engagement, and personal and business development</t>
  </si>
  <si>
    <t>http://www.llphp.org</t>
  </si>
  <si>
    <t>Cátia Machado</t>
  </si>
  <si>
    <t>Know where you should be getting advice on emotional and #mentalhealth issues? On Twitter. Because who needs a certified therapist who has gone through years of studying and practice and is a supervised professional when you can just get strangers to feed your ego online? 🤷‍♀️</t>
  </si>
  <si>
    <t>31. Leo. Too old to care, too young to quit.</t>
  </si>
  <si>
    <t>Hey all! Here's a new post! Go ready why..."My Libido Is Connected To Your Brain."  #MentalHealth #Sexuality #ADHD</t>
  </si>
  <si>
    <t>https://www.lnk.xyz/SJkSmMPir?aduc=5xs98Gz1579395845939</t>
  </si>
  <si>
    <t>Oregon Psych</t>
  </si>
  <si>
    <t>Nervous to apply for a job like "Child &amp; Adolescent Psychiatry" at Providence Health &amp;amp; Services? Apply even if you're not a 100% match. You might be underestimating your value. Click the link in our bio for more info. #mentalhealth #OregonCity, OR</t>
  </si>
  <si>
    <t>Oregon</t>
  </si>
  <si>
    <t>Follow this account for geo-targeted Physician-Psychiatry job tweets in Oregon Non-Metro. Need help? Tweet us at @CareerArc!</t>
  </si>
  <si>
    <t>http://bit.ly/2I8mWw5</t>
  </si>
  <si>
    <t>Lucy at home</t>
  </si>
  <si>
    <t>Get the HAPPY back with this simple technique #BePositive #MentalHealth</t>
  </si>
  <si>
    <t>https://lucyathome.co.uk/life/edit-life-be-happy/</t>
  </si>
  <si>
    <t>https://pbs.twimg.com/media/EOmw_ltX0AA5gyu.jpg</t>
  </si>
  <si>
    <t>Yorkshire, England</t>
  </si>
  <si>
    <t>Mummy to 2 girls, passionate about using empathy in parenting, top 1% of UK parent blogs | #blogcrush linky co-host, #pbloggers #SAHM #blogger #gentleparenting</t>
  </si>
  <si>
    <t>http://lucyathome.co.uk</t>
  </si>
  <si>
    <t>Pat Salber, MD, MBA</t>
  </si>
  <si>
    <t>This article explores the possible causes of anxiety and includes a discussion of how to choose the treatment approach that is right for you. #Anxiety #Mentalhealth #psychiatry</t>
  </si>
  <si>
    <t>http://ow.ly/Vp4t50v6hwQ</t>
  </si>
  <si>
    <t>https://pbs.twimg.com/media/EOmw9AUUcAAtLAK.jpg</t>
  </si>
  <si>
    <t>Having fun creating and sharing stories about health and healthcare innovation on THE DOCTOR WEIGHS IN. #mhealth #digitalhealth</t>
  </si>
  <si>
    <t>http://www.thedoctorweighsin.com</t>
  </si>
  <si>
    <t>AMPUTEE STORE</t>
  </si>
  <si>
    <t>Feeling down due to reduced exposure to sunlight (a.k.a. Seasonal Affective Disorder) is common at this time. Today's story will help you spot the signs of depression, as well as how to minimize its effects.  #mentalhealth #amputee #amputeestore</t>
  </si>
  <si>
    <t>https://zurl.co/rXwz</t>
  </si>
  <si>
    <t>We empower #amputees to find personalized solutions for their daily prosthetic necessities.</t>
  </si>
  <si>
    <t>http://www.amputeestore.com</t>
  </si>
  <si>
    <t>BellaJade Botanicals</t>
  </si>
  <si>
    <t>Relax.Recharge if you must. Make yourself a priority ✨ . . . #relax #positive #mentalhealth #unwind #recharge #selflive #selfcare</t>
  </si>
  <si>
    <t>https://pbs.twimg.com/media/EOmw3xdX0AEoBnd.jpg</t>
  </si>
  <si>
    <t>We bring you skincare products that are effective, safe, convenient and affordable – all wrapped up with extraordinary service and tied with a bow of integrity.</t>
  </si>
  <si>
    <t>http://www.bellajade.com</t>
  </si>
  <si>
    <t>Debbie Hampton</t>
  </si>
  <si>
    <t>Research is beginning to show that cell phone #addiction is a real thing and that your phone may be damaging your #mentalhealth in many ways. 5 Ways Your Phone Could Be Hurting Your Mental Health  #cellphone #brain #depression #anxiety #Saturday #satchat</t>
  </si>
  <si>
    <t>https://buff.ly/2oCYlqh</t>
  </si>
  <si>
    <t>https://pbs.twimg.com/media/EOmw1doWkAUf7JP.png</t>
  </si>
  <si>
    <t>Greensboro, NC</t>
  </si>
  <si>
    <t>I discovered that u can change ur life &amp; #brain by changing ur thoughts while recovering from #braininjury #suicide attempt. Free download http://bit.ly/1KKMjJl</t>
  </si>
  <si>
    <t>http://thebestbrainpossible.com</t>
  </si>
  <si>
    <t>CreativityAustralia and With One Voice choirs</t>
  </si>
  <si>
    <t>What do you think? Can singing make you happier? Check out these results from the @BBC TV show 'Trust Me I'm A Doctor'.. interesting... 😉  #singing #choir #research #mentalhealth #community #inspo #behappy</t>
  </si>
  <si>
    <t>https://buff.ly/2NuC8nY</t>
  </si>
  <si>
    <t>https://pbs.twimg.com/media/EOmw08FWoAACop-.jpg</t>
  </si>
  <si>
    <t>Melbourne, Australia</t>
  </si>
  <si>
    <t>Get involved &amp; join or start an inclusive #withonevoice #choir #singing http://creativityaustralia.org.au #mentalhealth #wellbeing #belonging #inclusion #diversity</t>
  </si>
  <si>
    <t>http://www.creativityaustralia.org.au</t>
  </si>
  <si>
    <t>mhstation</t>
  </si>
  <si>
    <t>And breathe 😩 #mentalhealth #mentalhealthawareness #anxiety #depression #love #selfcare #recovery #mindfulness #wellness #meditation #life #therapy #inspiration #healing #mentalhealthmatters #worklifebalance…</t>
  </si>
  <si>
    <t>https://www.instagram.com/p/B7e2I3ggx_9/?igshid=1g326we0jmun4</t>
  </si>
  <si>
    <t>Mick Ryan</t>
  </si>
  <si>
    <t>Honesty about #mentalhealth is a hard place to get to but for me, it has been cathartic. I've been on a 10yr cycle of meds, #chronicpain, #PTSD, psychs &amp; have had enough. But I spoke up &amp;amp; am being admitted this week. It ain't weak to speak. @livinorg @willysanswer @blackdoginst</t>
  </si>
  <si>
    <t>Motley Cow</t>
  </si>
  <si>
    <t>Rugby, GIR, spinal injury &amp; chronic pain aficionado. Not as smart as you or I may think. Serial deactivator of my twitter, welcome to the 5th iteration.</t>
  </si>
  <si>
    <t>MHCD Careers</t>
  </si>
  <si>
    <t>Can you recommend anyone for this job? Residential Counselor II - Beeler (M-F, 8a-5p) -  #MentalHealth #MentalHealthAwareness</t>
  </si>
  <si>
    <t>http://bit.ly/2FZucH4</t>
  </si>
  <si>
    <t>We believe that people can and do recover from mental illness and should have that chance. We hire people dedicated to working toward that goal. Join us!</t>
  </si>
  <si>
    <t>http://www.mhcd.org/careers</t>
  </si>
  <si>
    <t>Holli🦄💎💜</t>
  </si>
  <si>
    <t>Also been working on my health again time to drink more water this year 💪🏽 have some delicious fiji tonight best tasting water I’ve ever tried. Spent time with mom now to get all comfy in bed🤗🤗🤗 #MentalHealthAwareness #mentalhealth #MentalHealthMatters</t>
  </si>
  <si>
    <t>Kentucky, USA</t>
  </si>
  <si>
    <t>28•Bι-Poᥣყ•LGBTρrιdᥱ!♥️Gᥲmᥱr gιrᥣ oᥕᥒ ᥲᥣᥣ ᥴoᥒsoᥣᥱs♥️Fᥲmιᥣყ=ᥱvᥱrყthιᥒg♥️ᥴhroᥒιᥴ ρᥲιᥒ ᥕᥲrrιor💜ᥣᥙρᥙs/fιbromყᥲᥣgιᥲ💜promo acc:@deslov3r♥️ILY @gg_lovey💜</t>
  </si>
  <si>
    <t>Michael Carini</t>
  </si>
  <si>
    <t>It's Your Time To Rise: Tale Of The Phoenix  #inspiration #healing #recovery #mentalhealth #phoenix</t>
  </si>
  <si>
    <t>https://cariniarts.com/blogs/carini-arts/its-your-time-to-rise-tale-of-the-phoenix</t>
  </si>
  <si>
    <t>San Diego</t>
  </si>
  <si>
    <t>Don't be afraid to be different...Be afraid to be the same</t>
  </si>
  <si>
    <t>http://CariniArts.com</t>
  </si>
  <si>
    <t>Darrell Samuels</t>
  </si>
  <si>
    <t>Random question.... Do you currently have a family doctor? #familydoctor #mentalhealth #physicalhealth #ontario #Canada</t>
  </si>
  <si>
    <t>Mississauga, ON</t>
  </si>
  <si>
    <t>Always-learning believer + former freelance sports writer.</t>
  </si>
  <si>
    <t>Our thanks to @kottlumber for their continued support for our #wonderlandteaparty fundraiser. #mentalhealth @cheohospital #bellletstalk #children #youth #hero4cheo #bestlife</t>
  </si>
  <si>
    <t>https://pbs.twimg.com/media/EOmu7edU4AE66lD.jpg</t>
  </si>
  <si>
    <t>I really hate people today. Thank you Jesus for this pooch. ✝️🐶 #bpd #depression #mentalhealth</t>
  </si>
  <si>
    <t>https://www.instagram.com/p/B7e1KWmgFFh/?igshid=1m2rxqckhpfcy</t>
  </si>
  <si>
    <t>https://pbs.twimg.com/media/EOmu1rxVAAAM42m.jpg</t>
  </si>
  <si>
    <t>Afewtoomany</t>
  </si>
  <si>
    <t>#RecoveryPosse #mentalhealth this question is not about us, most everyone I've interacted with has be genuine. However, do you guys and gals ever wonder how many twits throw #movements just to get followers. Especially when it's a buzz word or controversial?</t>
  </si>
  <si>
    <t>Cleaves Mills Fair Midway</t>
  </si>
  <si>
    <t>The whole wad on 19!</t>
  </si>
  <si>
    <t>When Is it Time to Stop Therapy? -  #mentalhealth #psychotherapy #psychology</t>
  </si>
  <si>
    <t>http://www.consultinghealth.com/when-is-it-time-to-stop-therapy/</t>
  </si>
  <si>
    <t>Brandon Jones</t>
  </si>
  <si>
    <t>Exercise and eating healthy for #physicalhealth and #mentalhealth transformed my life. I hope I can inspire some of you to join me this year. Let’s get it. #Paleo #fitness #legday 🤘💪</t>
  </si>
  <si>
    <t>pic.twitter.com/rktndTkSCI</t>
  </si>
  <si>
    <t>Los Angeles, California</t>
  </si>
  <si>
    <t>🤘</t>
  </si>
  <si>
    <t>http://www.imdb.com/name/nm3623897/</t>
  </si>
  <si>
    <t>Pablo Martinez Rojas</t>
  </si>
  <si>
    <t>Guayaquil, Ecuador</t>
  </si>
  <si>
    <t>Amable, sin enemigos, apoyó la cultura y el arte</t>
  </si>
  <si>
    <t>MentalHealthMeg</t>
  </si>
  <si>
    <t>Also what the fuck @instagram how is my scenic post of a sunset in a quiet part of London, encouraging self harm and suicide? Please explain. #mentalhealth</t>
  </si>
  <si>
    <t>https://pbs.twimg.com/media/EOmtfw1X4AA9E2e.jpg</t>
  </si>
  <si>
    <t>24// battling mental health illnesses one day at a time. spreading love and awareness 💜</t>
  </si>
  <si>
    <t>🐴🐎Abduldanja🐎🐴</t>
  </si>
  <si>
    <t>Federal Capital Territory, Nig</t>
  </si>
  <si>
    <t>Human Rights Activist/Social advocate/ Grassroots Politician/Administrator/Amb Save Democracy Africa/Economist/Info Scientist/Jinin Turaki🔥 (B/Rafin Dja)</t>
  </si>
  <si>
    <t>http://www.abduldanja.ng.com</t>
  </si>
  <si>
    <t>Dr. Shemetra James</t>
  </si>
  <si>
    <t>A reminder of how beautiful you are. Remember that as you go into this weekend. Hold your head up high. Don’t let anyone make you forget how special you are....#counseling #counselor #counselingpsychology #mentalhealthcounseling #mentalhealth #mentalillness #losangelestherapist</t>
  </si>
  <si>
    <t>https://pbs.twimg.com/media/EOmtO3zUUAAgWV2.jpg</t>
  </si>
  <si>
    <t>The first step towards healing is to courageously search for one’s own authentic self and identity by looking inward.</t>
  </si>
  <si>
    <t>http://www.caltalktherapy.com/drjames</t>
  </si>
  <si>
    <t>Arnie Fonseca Jr.</t>
  </si>
  <si>
    <t>Stop worrying about making a bad decision. Worry about not making a decision. That’s an automatic loss! #worry #success #mentor #Mentalhealth #decision #hope</t>
  </si>
  <si>
    <t>Arizona</t>
  </si>
  <si>
    <t>I'm a High Performance Life Strategist. My mission is helping individuals like You believe that life is Team Sport and that We are better when We're together!</t>
  </si>
  <si>
    <t>http://totalrecoveryarizona.com/</t>
  </si>
  <si>
    <t>mentalhealthmatters</t>
  </si>
  <si>
    <t>You can call them whenever you need someone to listen to you or talk to someone they are there. 📞 Because we need you in this world!! #mentalhealth #SuicidePrevention</t>
  </si>
  <si>
    <t>https://pbs.twimg.com/media/EOms4P3X0AMLEOZ.jpg</t>
  </si>
  <si>
    <t>Talking about mental health is totally okay!!!!!🧡DM are always open if you want to talk to me🧡🗣Let's rise up and fight for mental health🗣</t>
  </si>
  <si>
    <t>Lotus STEMM</t>
  </si>
  <si>
    <t>Some wise words to keep in mind. New beginnings and #startups are honestly draining. Additionally: Know when to take a break for your #MentalHealth and #wellbeing. RT @TheDevinaKaur: #womenwhocode #writing #singlemom Who else knows the struggle with #startup Honestly It’s extra difficult as an #indian #immigrant woman in #Business 🙋🏽‍♀️ Dont give up hope! Some words from recent travels to #NYC 👉🏼  Kindly retweet ❤️ #SEXYBRILLIANT</t>
  </si>
  <si>
    <t>https://twitter.com/TheDevinaKaur/status/1218690352070172673
https://youtu.be/ixYMd3Lw-Uo</t>
  </si>
  <si>
    <t>https://pbs.twimg.com/media/EOmoaovUwAA4RMo.jpg</t>
  </si>
  <si>
    <t>A networking and leadership program for South Asian women in the STEMM fields.</t>
  </si>
  <si>
    <t>https://www.linkedin.com/groups/8643596</t>
  </si>
  <si>
    <t>Kim@MyMummyReviews</t>
  </si>
  <si>
    <t>.@PeaceofMind is a peer support group for people living with #mentalhealth conditions.They're raising funds to purchase #art &amp; #craft materials for group.Please donate if you can.#arts #crafts #handmadehour @TheWorksStores @Hobbycraft @TheRangeUK @CraftsCouncilUK @CraftersCompUK RT @PeaceOfMindMH: We are raising funds for arts and craft materials. Please share with your followers. Any donation, no matter how big or small, is greatly appreciated. Thank you ❤️</t>
  </si>
  <si>
    <t>https://twitter.com/PeaceOfMindMH/status/1214999273223467008
https://www.justgiving.com/crowdfunding/angela-hamilton-2?utm_term=pmW79pW5x</t>
  </si>
  <si>
    <t>Beautiful Norfolk, UK</t>
  </si>
  <si>
    <t>I'd love to hear from you if you have a product you'd like to send for review on my blog.🌼 I home educate my daughter &amp; I'm a Freelance Social Media Manager ❤</t>
  </si>
  <si>
    <t>http://www.mymummyreviews.com</t>
  </si>
  <si>
    <t>Like my old therapist told me: "You're an everything addict." #bpd #mentalhealth #depression #addiction #therapy #psychotherapy</t>
  </si>
  <si>
    <t>Robert J.E. Simpson</t>
  </si>
  <si>
    <t>Just watched @Gailporter's new BBC doc about her #mentalhealth. It's a lovely, honest film, that rang bells with me more than once. Gail, you're an inspiration.</t>
  </si>
  <si>
    <t>https://www.bbc.co.uk/programmes/m000df09</t>
  </si>
  <si>
    <t>Belfast</t>
  </si>
  <si>
    <t>Writer, editor, publisher, artist, photographer, broadcaster, educator, film historian, actor. Host of @cinepunked. Available to hire. Opinions my own. DMs open</t>
  </si>
  <si>
    <t>https://www.facebook.com/robertjesimpson</t>
  </si>
  <si>
    <t>A-Z Reddit</t>
  </si>
  <si>
    <t>What do you wish was more socially acceptable? NEW VIDEO -&gt;  #awkward #SociallyAcceptedRacism #Caturday #normalizebreastfeeding #breastfeedwithoutfear #freethenips #Mentalhealth #Growth #meditation #Emotions #feelings #Feelingsad</t>
  </si>
  <si>
    <t>https://buff.ly/2Rao59j</t>
  </si>
  <si>
    <t>https://pbs.twimg.com/media/EOmsB_GVAAAzK0b.jpg</t>
  </si>
  <si>
    <t>We find the best reddit posts every week and share with you the best comments in areas of entertainment, personal finance, and more!</t>
  </si>
  <si>
    <t>DropDeadDigital</t>
  </si>
  <si>
    <t>Sunset And Cathedral #nowhere #sunset #sun #cathedral #church #castle #art #artistsoftwitter #artwork #painting #isthisart #postmodernvanillaism #colour #peace #arttherapy #mentalhealth</t>
  </si>
  <si>
    <t>https://pbs.twimg.com/media/EOmrhiFX4A4kQnz.jpg</t>
  </si>
  <si>
    <t>Vancouver, British Columbia</t>
  </si>
  <si>
    <t>Post-modern Vanillaist. Never underestimate my ability to sit down.</t>
  </si>
  <si>
    <t>Im_here_to_help</t>
  </si>
  <si>
    <t>this could be how you start a conversation with a loved one about depression: I wanted to check in with you because you seem pretty down lately #mentalhealth #depression</t>
  </si>
  <si>
    <t>A t-bot created to respond to @Iamdepr47974144, to demonstrate how to help someone who is depressed. This is not a replacement for actual help.</t>
  </si>
  <si>
    <t>Group Therapy</t>
  </si>
  <si>
    <t>Whatever someone did to you in the past has no power over the present. Only you give it power. #fundraisingtip #mentalhealth #mindfulness</t>
  </si>
  <si>
    <t>http://www.sunriseacademytx.com</t>
  </si>
  <si>
    <t>Raul Moya Mula</t>
  </si>
  <si>
    <t>Today has been a tough day, anxiety was so high I couldn’t breath. #anxiety #mentalhealth #mentalhealthawareness #mentalillness #mentalissues #photography #arthealsthesoul #bestrong #photoproject #art #conceptualart #healingart</t>
  </si>
  <si>
    <t>https://pbs.twimg.com/media/EOmrRqiVAAMgif0.jpg</t>
  </si>
  <si>
    <t>london</t>
  </si>
  <si>
    <t>Photographer/artist. I have a degree of BA (Hons) Photography, University of the arts,London. Recently exhibited at Espacio Gallery and Loudest Whispers.</t>
  </si>
  <si>
    <t>https://www.raulmoyamula.com/#</t>
  </si>
  <si>
    <t>Psychedelic Newsfeed</t>
  </si>
  <si>
    <t>Ayahuasca’s ‘afterglow’: improved mindfulness and cognitive flexibility in ayahuasca drinkers [abstract]  #psychedelics #ayahuasca #mindfulness #cognition #mentalhealth #science</t>
  </si>
  <si>
    <t>https://link.springer.com/article/10.1007/s00213-019-05445-3</t>
  </si>
  <si>
    <t>A running ticker of all the psychedelic-related news you can shake a stick at, brought to you by LA Psychedelic Events.</t>
  </si>
  <si>
    <t>http://www.lapsychedelicevents.com</t>
  </si>
  <si>
    <t>Shaina</t>
  </si>
  <si>
    <t>I am so happy I live in supportive housing where our Peer Specialists understand what we're going through cuz they go through stuff too. Its such a blessing. I love this community. #MentalHealth</t>
  </si>
  <si>
    <t>Wisconsin</t>
  </si>
  <si>
    <t>Born again Christian. Celibate. Straight Edge. Political Nerd. Mental Health Advocate</t>
  </si>
  <si>
    <t>http://shainalovesmilwaukee.blogspot.com/?m=1</t>
  </si>
  <si>
    <t>.</t>
  </si>
  <si>
    <t>#gambling @BorisJohnson #betting can we please ban advertising of all gambling/betting sites on social media to tackle the issue of gambling addiction. This will also combat them targetting vunerable people #whenthefunstopsstop #mentalhealth #MentalHealthAwareness</t>
  </si>
  <si>
    <t>#mcfc ⚽ #MLB Neutral ⚾💯 PC Gamer 🖥️ Generally Offensive to the weak minded🖕</t>
  </si>
  <si>
    <t>BreWitching</t>
  </si>
  <si>
    <t>Illustration by: asjaboros This really resonates with me. My surgery is so close. #braintumor #brainsurgery #pinealcyst #pinealtumor #chronicillness #mentalhealth #inspiration #pheonix #spiritanimal</t>
  </si>
  <si>
    <t>https://www.instagram.com/p/B7ezWUtHKEk/?igshid=vp3607absv2b</t>
  </si>
  <si>
    <t>Nowhere</t>
  </si>
  <si>
    <t>Living with chronic illness. Art is life, life is art. Fangirl for life. #trash #madamsatan #madamspellman #caostrash #evilqueen #starwars</t>
  </si>
  <si>
    <t>The War on Drugs Is a War on Mental Health: LSD  #psychedelics #LSD #mentalhealth #opinion</t>
  </si>
  <si>
    <t>https://hubpages.com/health/The-War-on-Drugs-is-A-War-on-Mental-Health-LSD</t>
  </si>
  <si>
    <t>Today has been a tough day, anxiety was so high I couldn’t breath. #anxiety #mentalhealth #mentalhealthawareness #mentalillness #mentalissues #photography #arthealsthesoul #bestrong @ London, United Kingdom</t>
  </si>
  <si>
    <t>https://www.instagram.com/p/B7ezPF6Hksy/?igshid=qy9ds1bqj5rp</t>
  </si>
  <si>
    <t>Daddy</t>
  </si>
  <si>
    <t>I make myself laugh a lot and that's very important to do for yourself :) #selfcare #Mentalhealth #stoner</t>
  </si>
  <si>
    <t>Portland, OR</t>
  </si>
  <si>
    <t>Shadow Work | Tarot | Magick | Manifestation</t>
  </si>
  <si>
    <t>Kendra Fisher</t>
  </si>
  <si>
    <t>Great day! Exhausted! Heading for a nap and back to work! #love this life! #mentalhealth #firefighter @CBC</t>
  </si>
  <si>
    <t>https://pbs.twimg.com/media/EOmqU0DXkAAPxhi.jpg</t>
  </si>
  <si>
    <t>Global Mental Health Speaker | Mental Health Consultant | Team Canada Goalie | Firefighter | LGBTQ Advocate ❤️👩‍🚒🏳️‍🌈 #mentallyfit</t>
  </si>
  <si>
    <t>http://www.mentallyfit.com</t>
  </si>
  <si>
    <t>DanDeeLionPublishing</t>
  </si>
  <si>
    <t>#AddToCart 🛒 Shattered by Denise Byers @BNBuzz #ShatteredDeniseByers #MentalHealth #Poems #BeThere #AskForHelp</t>
  </si>
  <si>
    <t>https://m.barnesandnoble.com/w/shattered-denise-byers/1130759105</t>
  </si>
  <si>
    <t>WORLDWIDE</t>
  </si>
  <si>
    <t>Ontario, Canada 🇨🇦 Mother &amp; Daughter Publishing #DreamBelieveAchieve #ShatteredDeniseByers Now Available Shop Here For All of Our Books 📚</t>
  </si>
  <si>
    <t>https://linkin.bio/dandeelion1</t>
  </si>
  <si>
    <t>How to #forgive someone who has hurt you—and why you should -  #mentalhealth #mentalillness #endthestigma #recovery #treatment #awareness #psychology #psychologist #therapy #therapist #dbt #cbt #bpd #borderline #bipolar #depression #anxiety #ptsd #trauma</t>
  </si>
  <si>
    <t>https://bit.ly/2R44zeF</t>
  </si>
  <si>
    <t>Mark Weir</t>
  </si>
  <si>
    <t>How big does this elephant in the room have to get before we get serious about addressing #mentalhealth? RT @javeedsukhera: Half of Canadians have too few local psychiatrists, or none at all. How can we mend the mental-health gap? ⁦@ErinAnderssen⁩ ⁦@globeandmail⁩</t>
  </si>
  <si>
    <t>https://twitter.com/javeedsukhera/status/1218542533690777601
https://www.theglobeandmail.com/canada/article-half-of-canadians-have-too-few-local-psychiatrists-or-none-at-all/</t>
  </si>
  <si>
    <t>Hamilton, Ontario</t>
  </si>
  <si>
    <t>IAP2 Canada Board Member. Director, Strategic Planning &amp; Community Engagement at Woodstock Hospital. Inspired to empower patients.</t>
  </si>
  <si>
    <t>https://about.me/weirmark</t>
  </si>
  <si>
    <t>Johns Hopkins Scientists Give Psychedelics the Serious Treatment  #psychedelics #psilocybin #addiction #anorexia #alzheimers #OCD #mentalhealth #research #johnshopkins</t>
  </si>
  <si>
    <t>https://www.scientificamerican.com/article/johns-hopkins-scientists-give-psychedelics-the-serious-treatment/</t>
  </si>
  <si>
    <t>It’s our 5th year and we can’t forget to thank Mattamy Homes for their continued support. #Mentalhealth #wonderlandteaparty @CHEOhospital #hero4cheo #BellLetsTalk #youth #children</t>
  </si>
  <si>
    <t>https://pbs.twimg.com/media/EOmpV4iUcAIqod9.jpg</t>
  </si>
  <si>
    <t>Ashley Berry</t>
  </si>
  <si>
    <t>The Winning Women's Network Self-Care Health Fair setting you up for success, spiritually, mentally, and physically. #healthcare #health #mentalhealth #success #global #nationwide #worldwide #missberry</t>
  </si>
  <si>
    <t>https://www.instagram.com/p/B7eycBoFaJU/?igshid=1j1ewaglc906m</t>
  </si>
  <si>
    <t>Woman of God | Prophet in Training | Teacher| Church Congregation of the Mighty|</t>
  </si>
  <si>
    <t>http://www.risingtothetopembassy.com</t>
  </si>
  <si>
    <t>What Happened To My Mental Health After I Took Acid  #psychedelics #LSD #depression #mentalhealth</t>
  </si>
  <si>
    <t>https://www.refinery29.com/en-gb/2020/01/9172655/psychedelic-therapy-reset-depressed-brain</t>
  </si>
  <si>
    <t>Neil Wattier</t>
  </si>
  <si>
    <t>Don’t let your past make decisions for your future #mentalhealth #success #garyvee #garyveechallenge</t>
  </si>
  <si>
    <t>Nebraska</t>
  </si>
  <si>
    <t>Developing your skills to grow and thrive through stress and adversity - Propelling your mental performance from good to great!</t>
  </si>
  <si>
    <t>http://www.neilwattier.com</t>
  </si>
  <si>
    <t>Hunter Keegan Music</t>
  </si>
  <si>
    <t>Keep the conversation going! Talking about mental health is not taboo. #MentalHealthAwareness #mentalhealth #SuicidePrevention RT @RealJordanSimon: Mental health problems are real. Don't sweep it under the rug.</t>
  </si>
  <si>
    <t>https://twitter.com/RealJordanSimon/status/1218640249955463168</t>
  </si>
  <si>
    <t>https://pbs.twimg.com/media/EOl62NiWoAUYDOF.jpg</t>
  </si>
  <si>
    <t>Washington, DC</t>
  </si>
  <si>
    <t>All of my stuff can be found at http://hhkeegan.com Creator of @lastknownimages band and a bunch of other weird projects that I do under soft mood lighting.</t>
  </si>
  <si>
    <t>http://hhkeegan.com</t>
  </si>
  <si>
    <t>Victoria Goldenberg, MA, LCSW</t>
  </si>
  <si>
    <t>Take a risk!! Try something new! Be creative! Make a mark that's uniquely yours. . .  . @goldenberg_therapy @Goldenberg_LCSW #lcsw #psychotherapy #psychology #socialwork #counseling #therapy #cbt #mentalhealth #selfcare #BabeRuth #fear #risk #creative #try</t>
  </si>
  <si>
    <t>https://www.instagram.com/goldenberg_therapy/</t>
  </si>
  <si>
    <t>https://pbs.twimg.com/media/EOmofXFU0AAfqnO.jpg</t>
  </si>
  <si>
    <t>Psychotherapist &amp; Adjunct. I use a collaborative approach to help clients. CBT, MI, EMDR. Depression, Anxiety, &amp; Trauma Therapy. Stony Brook University graduate</t>
  </si>
  <si>
    <t>https://www.linkedin.com/in/vigoldenberg/</t>
  </si>
  <si>
    <t>v00deaux</t>
  </si>
  <si>
    <t>First &amp;foremost to all of my supporters, I want to apologize. I've been absent from streaming my normal schedule. I haven't been mentally well. I went to a funeral today &amp;amp; had a mental breakdown. Therefore I am going to take the weekend away from streaming. #MentalHealth</t>
  </si>
  <si>
    <t>New Orleans, LA</t>
  </si>
  <si>
    <t>U.S. Army Vet, Mech Designer, DJ, Nerd, Gamer/Streamer | @bonsai_clan | @smallstreamerco | @streamnbh | @TeamDukeStars | @TRUgamingLLC Affiliate</t>
  </si>
  <si>
    <t>https://streamerlinks.com/v00deaux</t>
  </si>
  <si>
    <t>Evaluating risk of suicide in teens  #TeenSuicide #suicide #parenting #mentalhealth</t>
  </si>
  <si>
    <t>http://psy.pub/teenage-suicide</t>
  </si>
  <si>
    <t>Compass Pathways Obtains Patent For Psilocybin Depression Treatment  #psychedelics #psilocybin #compasspathways #depression #mentalhealth #patent #business</t>
  </si>
  <si>
    <t>https://www.benzinga.com/markets/cannabis/20/01/15126141/compass-pathways-obtains-patent-for-psilocybin-depression-treatment</t>
  </si>
  <si>
    <t>Arun Paul Kapur 🐺</t>
  </si>
  <si>
    <t>I'll keep smiling for the world even when my eyes are not... #TimeToTalk #mentalhealth #life #poetry #artist #photography</t>
  </si>
  <si>
    <t>https://pbs.twimg.com/media/EOmnWFZWAAAbu9a.jpg</t>
  </si>
  <si>
    <t>Wolverhampton / London / UK</t>
  </si>
  <si>
    <t>Visual Artist 📹🎨 Manager @LightHousemedia 🎦 | Media Grad 📜 | TV🏃| Poet 📝 | Director @TEDxWolves | Mental health advocate 🙏🏽 Mentor ✈ My Book📙↓ M❤</t>
  </si>
  <si>
    <t>https://www.youtube.com/channel/UCed9gAtAMokyqyj1hFbVufQ</t>
  </si>
  <si>
    <t>Christy</t>
  </si>
  <si>
    <t>#WhenIGetSick it's usually because I have a mental disorder that prevents me from being well. #bipolardisorder #mentalhealth #anxiety</t>
  </si>
  <si>
    <t>pic.twitter.com/voBLyvKKM6</t>
  </si>
  <si>
    <t>Awkward. I laugh too loud.</t>
  </si>
  <si>
    <t>It’s our 5th year and we can’t forget to thank @RegionalGroup for their continued support. #Mentalhealth #wonderlandteaparty @CHEOhospital #hero4cheo #BellLetsTalk #youth #children</t>
  </si>
  <si>
    <t>https://pbs.twimg.com/media/EOmm9JnX4AARD6C.jpg</t>
  </si>
  <si>
    <t>Mike Bratek</t>
  </si>
  <si>
    <t>🎉 The 𝗦𝘁𝗿𝗲𝘀𝘀𝗙𝗿𝗲𝗲.𝗣𝗿𝗼 GIVEAWAY 😇 #anxiety #stress #depression #mentalhealth</t>
  </si>
  <si>
    <t>https://kingsumo.com/g/9agctd/giveaway-january-2020/m27d4j7</t>
  </si>
  <si>
    <t>Cleveland, OH</t>
  </si>
  <si>
    <t>Love to enter contests! Love to read on kindle: mysteries. Love people of all ethnics, beauty, and kindness, no haters. Also big in technology and games.</t>
  </si>
  <si>
    <t>https://www.facebook.com/mike.bratek?ref=tn_tnmn</t>
  </si>
  <si>
    <t>Online #Mindfulness Therapy by Skype. Learn how to apply mindfulness #meditation for overcoming #anxiety and #depression. See: . #mentalhealth #anxietytreatment #panicattacks #OCDtreatment #PTSDtreatment #depressiontreatment #addictiontreatment</t>
  </si>
  <si>
    <t>Cherie White</t>
  </si>
  <si>
    <t>Cyber-Bullies, Cyber-Stalkers, and Trolls: Should We Take Them So Seriously?  via @cheriewhite691 #Bullying #CyberBullying #Cyberbullies #Cyberbullied #Cyberbully #InternetSafety #MentalHealth</t>
  </si>
  <si>
    <t>https://cheriewhite.blog/2020/01/19/cyber-bullies-cyber-stalkers-and-trolls-should-we-take-them-so-seriously/</t>
  </si>
  <si>
    <t>Covington, TN</t>
  </si>
  <si>
    <t>Christian, Mom, Army brat and Professional People Observer. Author, Speaker and Blogger.</t>
  </si>
  <si>
    <t>https://authorcheriewhite.com/</t>
  </si>
  <si>
    <t>Rich Jones'</t>
  </si>
  <si>
    <t>Sometimes you have to dig a little deeper to uncover core issues. #recovery #rehab #addiction #mentalhealth #sober #RecoveryPosse #psychology #healthcare 🔥🔥🔥</t>
  </si>
  <si>
    <t>https://link.medium.com/eC6yBp0um3</t>
  </si>
  <si>
    <t>http://www.recoverycartel.com</t>
  </si>
  <si>
    <t>s-s-s-s-sam + a podcast 🎙🎧💚</t>
  </si>
  <si>
    <t>I ❤️#creativenonfiction. It allows me to reflect &amp; figure out who I am, but there are times when it makes me feel incredibly sad. The self-imposed isolation is hard to process. At least I can say that the year I met my husband--boyfriend at the time--was wonderful. #mentalhealth</t>
  </si>
  <si>
    <t>Indianapolis, IN</t>
  </si>
  <si>
    <t>#bipolar #biracial [she/her] AKA World's Worst Podcaster w/ a podcast! Our brains are jerks. Let's talk about it. Private acct: @QuietSam🤫 #mentalhealth</t>
  </si>
  <si>
    <t>http://mentalsnapback.com</t>
  </si>
  <si>
    <t>Tflott98</t>
  </si>
  <si>
    <t>Your mental state is now based off your top 5 songs on repeat on @Spotify. #mentalhealth</t>
  </si>
  <si>
    <t>Omaha, NE</t>
  </si>
  <si>
    <t>Mindful Midwesterner,</t>
  </si>
  <si>
    <t>rob hayes</t>
  </si>
  <si>
    <t>It's hard to support your loved ones when they are so upset and angry that all they think about is what makes them angry and upset. I'm not the most emotionally supportive person. #mentalhealth</t>
  </si>
  <si>
    <t>pic.twitter.com/JKQ7xHawAr</t>
  </si>
  <si>
    <t>Coventry UK</t>
  </si>
  <si>
    <t>Living Coventry England, Home town Tamworth England, love my beard love my family and I love tea</t>
  </si>
  <si>
    <t>Uncalibrated Engineer</t>
  </si>
  <si>
    <t>I learned this week that my wife doesn't want anymore kids with me because of my illness #mentalhealth</t>
  </si>
  <si>
    <t>Andy Margett</t>
  </si>
  <si>
    <t>Happy Birthday to @TheNightBus1 1 year old today! #mentalhealth</t>
  </si>
  <si>
    <t>https://pbs.twimg.com/media/EOmk-RHW4AEMXxd.jpg</t>
  </si>
  <si>
    <t>Derby</t>
  </si>
  <si>
    <t>Education Facilitator for @epicpgc Gambling Addict last bet 14th April 2007. Husband, Father and vlogger. All views my own</t>
  </si>
  <si>
    <t>https://youtu.be/YkKrWCLdZhA</t>
  </si>
  <si>
    <t>Shaka Brown</t>
  </si>
  <si>
    <t>La Familia I've been inducted and instructed to Crush the Mothafuckas I Don't Fuck with. Fuck is Up? #VeteranPeerSupport #MentalHealth #NarcissisticAbuseSurvivor #NarcissistExposer #AwakenedEmpath #PowerOfaGod #AntipsychoticComedy #Armageddon</t>
  </si>
  <si>
    <t>Dimension of the Gods</t>
  </si>
  <si>
    <t>Humorist. Self-Reflection Enthusiast. Inquiries: AntipsychoticComedy@gmail. #VeteranPeerSupport #MentalHealth #NarcissisticAbuseSurvivor #NarcissistExposer</t>
  </si>
  <si>
    <t>http://Instagram.com/shaka.brown</t>
  </si>
  <si>
    <t>Al Levin, M.Ed.</t>
  </si>
  <si>
    <t>The Catch-22 of #Depression  Learn just how debilitating depression can be. Everything you need to do in order to recover is compromised the the very symptoms of the illness! Blogging to help #EndTheStigma &amp; #StopSuicide #MentalHealth Please Retweet!</t>
  </si>
  <si>
    <t>http://bit.ly/2q6NdNr</t>
  </si>
  <si>
    <t>pic.twitter.com/W4KbJc6xC7</t>
  </si>
  <si>
    <t>Minneapolis, MN</t>
  </si>
  <si>
    <t>Public School Administrator, Peer Coach, #MentalHealth Advocate, #Blogger, Public Speaker &amp; Host of http://TheDepressionFiles.com/podcast</t>
  </si>
  <si>
    <t>http://TheDepressionFiles.com</t>
  </si>
  <si>
    <t>○ That BPD Babe ○</t>
  </si>
  <si>
    <t>One of the worst parts of attempted suicide, is having to tell everyone I tried to kill myself. Embarrassing 😑 #bpd #mentalhealth #MentalHealthAwareness</t>
  </si>
  <si>
    <t>💙 mental health advocate 💙 I have BPD and bipolar disorder. Here to pass on knowledge and humor that gets me through it all</t>
  </si>
  <si>
    <t>Lupus LA</t>
  </si>
  <si>
    <t>Check out the lineup of expert speakers for our 2020 #LatestonLupus Loma Linda #PatientConference! Experience cutting-edge #lupus education around lifestyle medicine, #lupusresearch, #mentalhealth &amp; more - while enjoying a free dinner on us! RSVP here:</t>
  </si>
  <si>
    <t>http://bit.ly/3anQ7Ws</t>
  </si>
  <si>
    <t>pic.twitter.com/DFoFaAb5n3</t>
  </si>
  <si>
    <t>Serving the needs of people with lupus and their families in Los Angeles County and across southern California.</t>
  </si>
  <si>
    <t>http://www.LupusLA.org</t>
  </si>
  <si>
    <t>Did you know you can improve #mentalhealth outcomes in California by checking a box on your state tax return? Help support Crisis Intervention Training to improve encounters between police and individuals with serious mental illness.</t>
  </si>
  <si>
    <t>https://namica.org/tax-return/</t>
  </si>
  <si>
    <t>https://pbs.twimg.com/media/EOmkk-uU4AA8zt2.jpg</t>
  </si>
  <si>
    <t>Linton Lane Centre</t>
  </si>
  <si>
    <t>Sam’s Café will be open today at the Linton Lane Centre from 14:00 – 22:00 where mental health peer support is provided. No appointment necessary. Website can be found here:  #lintonlanecentre #samh #mentalhealth</t>
  </si>
  <si>
    <t>http://www.samscafe.org.uk/</t>
  </si>
  <si>
    <t>https://pbs.twimg.com/media/EOmkbdcVUAEzw74.png</t>
  </si>
  <si>
    <t>Linton Lane Kirkcaldy</t>
  </si>
  <si>
    <t>http://www.lintonlanecentre.com</t>
  </si>
  <si>
    <t>Wanida Chua-anusorn</t>
  </si>
  <si>
    <t>You cannot see, but you can feel ... #mentalHealth RT @docweighsin: Anxiety is a common internal experience, often described as fear or dread. It accompanied by physical manifestations.such as rapid heartbeats, sweating, and dry mouth. #Anxiety #Depression #Mentalhealth #Psychiatry #MentalHealth</t>
  </si>
  <si>
    <t>https://twitter.com/docweighsin/status/1218684679076958208
http://ow.ly/ZtJN50xo50v</t>
  </si>
  <si>
    <t>https://pbs.twimg.com/media/EOmjQarWkAAIZYS.jpg</t>
  </si>
  <si>
    <t>Australia - APAC</t>
  </si>
  <si>
    <t>#Medtech #Invention &amp; #Investment 🌞 Alumna @SpringboardEnt 🌏 ...10012020 - 1W9</t>
  </si>
  <si>
    <t>melanie</t>
  </si>
  <si>
    <t>#mentalhealth suffered for some time with this not afraid to show it</t>
  </si>
  <si>
    <t>https://pbs.twimg.com/media/EOmkRniXsAAHmSC.jpg</t>
  </si>
  <si>
    <t>thatcham. uk</t>
  </si>
  <si>
    <t>nkotb/westlife fan. Mum of two girls. works in a bookies (stan james) Would love to be rich and earn more money. Want to know anything just ask :)</t>
  </si>
  <si>
    <t>Izzy</t>
  </si>
  <si>
    <t>What day is it again??? #imokay #lawofattraction #askingtheuniverseforit #imtrying #confidence #mindset #beyourself #letsbebetterhumans #selfconfidence #selflove #selfcare #love #loveyourself #mentalhealth #healing…</t>
  </si>
  <si>
    <t>https://www.instagram.com/p/B7ev66Yhdwq/?igshid=km93n5j1eki6</t>
  </si>
  <si>
    <t>Plant based Vegan|Yoga|Gym life|Books|Coffee I'm a work in progress... 🌱♋📚☕</t>
  </si>
  <si>
    <t>Son of God; by Government standards. *It's FOR REAL. #VeteranPeerSupport #MentalHealth #NarcissisticAbuseSurvivor #NarcissistExposer #AwakenedEmpath #PowerOfaGod #ExposeTheParasites #DontLetThemEatYou #Aliens #Monsters #Predators #Sentience #Evil #AntipsychoticComedy #Armageddon</t>
  </si>
  <si>
    <t>Jenny Florence</t>
  </si>
  <si>
    <t>Understand the science that underpins Emotional Meditation in this Huffington Post Blog Access the full series of meditations FREE in the  Library  #MentalHealth #MentalHealthMatters</t>
  </si>
  <si>
    <t>http://www.azemotionalhealth.com
http://huff.to/29LNi2v</t>
  </si>
  <si>
    <t>https://pbs.twimg.com/media/EOmjnNRUwAAqJgT.jpg</t>
  </si>
  <si>
    <t>South West, England</t>
  </si>
  <si>
    <t>Founder of the A-Z of Emotional Health, a FREE Library, approaching Mental Wellness with an Attitude of Possibility</t>
  </si>
  <si>
    <t>http://www.azemotionalhealth.com</t>
  </si>
  <si>
    <t>Mental Health and Dyslexia Blog</t>
  </si>
  <si>
    <t>New blog online #mentalhealth #anxiety #bpd #depression</t>
  </si>
  <si>
    <t>https://blogmhad.wordpress.com/2020/01/19/continuous-pain/</t>
  </si>
  <si>
    <t>https://pbs.twimg.com/media/EOmjlmTXsAEps87.jpg</t>
  </si>
  <si>
    <t>Southwick, England</t>
  </si>
  <si>
    <t>Blog about a service users experience with mental health and dyslexia and learning difficulties services. Interests: Health, Politics, Science &amp; Technology.</t>
  </si>
  <si>
    <t>http://blogmhad.wordpress.com</t>
  </si>
  <si>
    <t>Helen Thomas</t>
  </si>
  <si>
    <t>Excellent guidance, thank you @amberholtlcsw ❤️ #traumatherapy #healing #counselling #boundaries #empoweredboundaries #thepowerofno #growth #mentalhealth #reparenting #selfcare #communitycare #loveyourself…</t>
  </si>
  <si>
    <t>https://www.instagram.com/p/B7evkOiBA-e/?igshid=nt79xuc4n2im</t>
  </si>
  <si>
    <t>Greater Vancouver, British Columbia</t>
  </si>
  <si>
    <t>Counselling/Psychotherapy in the heart of East Van</t>
  </si>
  <si>
    <t>http://www.eastvantherapy.ca</t>
  </si>
  <si>
    <t>FernH&amp;F</t>
  </si>
  <si>
    <t>Let your light shine brightly with this gorgeous statement earrings ☀️ Disclaimer: For instant boost of happiness only. If you’re feeling depressed unhappy, please talk to someone..a therapist, coach or call tel:1-800-273-8255 National Suicide Prev. Hotlines. #mentalhealth</t>
  </si>
  <si>
    <t>https://pbs.twimg.com/media/EOmjSs7VAAATEHh.jpg</t>
  </si>
  <si>
    <t>The Woodlands, TX</t>
  </si>
  <si>
    <t>Perfectly Imperfect! This is how I describe my jewelry. I create I pieces inspired by the mystical energy and beauty of natural crystals and gemstones.</t>
  </si>
  <si>
    <t>http://www.fernhomeandfashion.etsy.com</t>
  </si>
  <si>
    <t>Anxiety is a common internal experience, often described as fear or dread. It accompanied by physical manifestations.such as rapid heartbeats, sweating, and dry mouth. #Anxiety #Depression #Mentalhealth #Psychiatry #MentalHealth</t>
  </si>
  <si>
    <t>http://ow.ly/ZtJN50xo50v</t>
  </si>
  <si>
    <t>Elisa ☕️🗽🌈</t>
  </si>
  <si>
    <t>Weekend therapy is the best therapy. #Mentalhealth #MentalHealthAwareness #PTSD #cptsd</t>
  </si>
  <si>
    <t>West Coast</t>
  </si>
  <si>
    <t>I like darkness + funny people. I'm an anxious babbler. 💜🇲🇽🇮🇹🇺🇸🏳️‍🌈 ☮️ 1-800-656-HOPE 1-800-273-TALK #MentalHealthAwareness #PTSD #TraumaInformed</t>
  </si>
  <si>
    <t>Nadia Wyatt - The Billericay Counsellor</t>
  </si>
  <si>
    <t>When you're grateful you're not focusing on you. What do you do to stay grateful? 🙌🤔  #weonlydopositive #mentalhealthawareness #thebillericaycounsellor #nadiawyatt #emdr #counselling #mentalhealth #depression #anxiety</t>
  </si>
  <si>
    <t>http://www.thebillericaycounsellor.com</t>
  </si>
  <si>
    <t>https://pbs.twimg.com/media/EOmjMfvWAAE5YM1.jpg</t>
  </si>
  <si>
    <t>Billericay Essex &amp; Marbella Sp</t>
  </si>
  <si>
    <t>MBACP Counsellor, PTSD EMDR Therapist, Hypnotherapist &amp; Life Coach, based in Billericay, Essex &amp; Marbella, Spain working with kids, adults, families &amp; couples.</t>
  </si>
  <si>
    <t>https://thebillericaycounsellor.com</t>
  </si>
  <si>
    <t>The ACT of Living</t>
  </si>
  <si>
    <t>😧😥 Suffer from winter blues or #SAD? 😧😥 These simple steps could make a real difference in how you cope with seasonal affective disorder, known as SAD. 😀👍  via @WiseLivingMag 👏👏 #mental #mentalhealth</t>
  </si>
  <si>
    <t>https://buff.ly/2R3xjTc</t>
  </si>
  <si>
    <t>https://pbs.twimg.com/media/EOmjGKMXsAQ8Vqc.jpg</t>
  </si>
  <si>
    <t>Northcote, Melbourne</t>
  </si>
  <si>
    <t>Open up. Get present. Start living.</t>
  </si>
  <si>
    <t>http://www.actofliving.com.au</t>
  </si>
  <si>
    <t>AFPA Fitness &amp; Nutrition</t>
  </si>
  <si>
    <t>Does diet influence mental health? Great article on this topic via @mnt #mentalhealth</t>
  </si>
  <si>
    <t>http://bit.ly/2t1xzdt</t>
  </si>
  <si>
    <t>Providing professional certification courses for Personal Trainer, #nutrition &amp; #wellness, Holistic Health Coaching and more! Check out our latest blog post 👇</t>
  </si>
  <si>
    <t>http://bit.ly/2Ov0Ov6</t>
  </si>
  <si>
    <t>♋️Simply Alvin 1964♋️ 🇺🇸🇩🇪🇮🇪</t>
  </si>
  <si>
    <t>Cheers my awesome #mentalhealth fam &amp; #friends! Whether you were at home or had to work, I hope you took some much need time for yourselves. Have a blessed evening/night/morning. May the rest of your weekend be awesome. 🤙 Borrowing from @30yearoldgrom: #StayFocusedStayPositive</t>
  </si>
  <si>
    <t>https://pbs.twimg.com/media/EOmZdeyWsAE5mmZ.png</t>
  </si>
  <si>
    <t>Oklahoma 🇺🇸</t>
  </si>
  <si>
    <t>Single, 55+, 💚 #poetry #photograpy #naturewalks #cooking; #mentalhealth Warrior/Advocate; #Alcoholic #BMD 2 #anxiety #CPTSD; ✌️ SAFE ZONE ✌️: DM's Always Open</t>
  </si>
  <si>
    <t>http://simplyalvin.wordpress.com</t>
  </si>
  <si>
    <t>UNDERSTANDING Human Nature/Behavior &gt; #VeteranPeerSupport #MentalHealth #NarcissisticAbuseSurvivor #NarcissistExposer #AwakenedEmpath #PowerOfaGod #ExposeTheParasites #DontLetThemEatYou #Aliens #Monsters #Predators #Sentience #Evil #AntipsychoticComedy #Armageddon</t>
  </si>
  <si>
    <t>am</t>
  </si>
  <si>
    <t>Why do we glorify being busy all the time? Rest is just as important as anything else we might need to do. Take a break, go for a walk, do something you love. #mentalhealth</t>
  </si>
  <si>
    <t>Miami, FL</t>
  </si>
  <si>
    <t>Light and Darkness in One vessel. AMAZING shit. #VeteranPeerSupport #MentalHealth #NarcissisticAbuseSurvivor #NarcissistExposer #AwakenedEmpath #PowerOfaGod #ExposeTheParasites #DontLetThemEatYou #Aliens #Monsters #Predators #Sentience #Evil #AntipsychoticComedy #Armageddon</t>
  </si>
  <si>
    <t>Mel Webster</t>
  </si>
  <si>
    <t>#stigma in regard to #poverty #homelessness #mentalhealth is as old as time, and we constantly have the opportunity to break the chains that keeps everyone captive with the #nimby and #itcouldneverhappentome thinking. Time to take off the blinders</t>
  </si>
  <si>
    <t>Cambridge, ON, Canada</t>
  </si>
  <si>
    <t>Writer, poet, up and coming Entrepreneur.</t>
  </si>
  <si>
    <t>The Anxiety Man</t>
  </si>
  <si>
    <t>Your experience with mental health is an invaluable source of insight for someone else. Keep talking mental health. We heal better together. #mentalhealth</t>
  </si>
  <si>
    <t>I will never stop sharing insight from my time with depression/anxiety. I love all of you. Stay strong. For more help: http://www.blurredthoughts.net</t>
  </si>
  <si>
    <t>http://blurredthoughts.net</t>
  </si>
  <si>
    <t>✨John, 500 follows by 2030?✨</t>
  </si>
  <si>
    <t>Nice short stream (for you) today. Glad you're feeling better💜 @Polydactyly66 #MentalHealthAwareness #Mentalhealth #SeasonalAffectiveDisorder #twitchstreamer #sixfingernation</t>
  </si>
  <si>
    <t>Vancouver, BC, Canada</t>
  </si>
  <si>
    <t>[Step 1] Tweet. [Step 2] [Step 3] Profit.</t>
  </si>
  <si>
    <t>http://www.instagram.com/iamnottomgreen</t>
  </si>
  <si>
    <t>Tamie Beeman</t>
  </si>
  <si>
    <t>Hi friends! Please take a minute to watch my video about #Scoliosis #spinefusion and #mentalhealth and why I need your support to get to #SpineWeek2020 @NASSspine @SOSORTgroup</t>
  </si>
  <si>
    <t>https://www.gofundme.com/f/send-me-to-spine-week-to-talk-about-mental-health?utm_source=customer&amp;utm_medium=copy_link&amp;utm_campaign=p_cf+share-flow-1&amp;fbclid=IwAR25Ox0w9Ky3ENJsYA_V7gwGD2WBsTxelnr4w9lYKwo12ZxmssSC3d3qU28</t>
  </si>
  <si>
    <t>pic.twitter.com/m9gotgsQJp</t>
  </si>
  <si>
    <t>Pennsylvania, USA</t>
  </si>
  <si>
    <t>#scoliosis #swimmer #sober #marathonswimming #eatingdisorder #outreach #chronicpain #advocacy #craztcatlady #TheScoliosisSwimmer #BlueMind #spinefusion #teamETA</t>
  </si>
  <si>
    <t>Dave O</t>
  </si>
  <si>
    <t>And the rapist is you': Protesters perform global feminist anthem 'A Rapist in Your Path' during #WomensMarch2020  #politics #mentalhealth</t>
  </si>
  <si>
    <t>https://twitchy.com/brettt-3136/2020/01/18/and-the-rapist-is-you-protesters-perform-global-feminist-anthem-a-rapist-in-your-path-during-womensmarch2020/</t>
  </si>
  <si>
    <t>Markets, Giants, Lacrosse, Mets, and my own special brand of No Justice No Peace. What would Magnum do?</t>
  </si>
  <si>
    <t>Yael Wolfe</t>
  </si>
  <si>
    <t>Stop fighting. Stop striving. Stop trying so damn hard. Instead, keep your eyes on the light.  #mentalhealth #selfcare #selflove #letthelightin</t>
  </si>
  <si>
    <t>https://medium.com/wilder-with-yael-wolfe/let-the-light-in-bfb24b3fc881?source=friends_link&amp;sk=b822b9f0a14181d64f762c1d2bad3c14</t>
  </si>
  <si>
    <t>I just want to be a big, bad wolf. [she/her] Get on my list: http://eepurl.com/gleDcD</t>
  </si>
  <si>
    <t>https://medium.com/@yaelwolfe</t>
  </si>
  <si>
    <t>Important to share our stories, when ready, of #MentalHealth challenges. Why? See my post  Blogging to #EndTheStigma.</t>
  </si>
  <si>
    <t>http://bit.ly/2jit0Ch</t>
  </si>
  <si>
    <t>pic.twitter.com/C5PPCLusjL</t>
  </si>
  <si>
    <t>Dr Melania A. Duca-Canavan</t>
  </si>
  <si>
    <t>Check my latest blog post‼ 😉👉 Love ❤ &amp; Retweet 💞  #mentalhealth #psychotherapy #virtualreality #psychoanalysis</t>
  </si>
  <si>
    <t>https://www.drmelaniacanavan.co.uk/virtual-reality-subconscious</t>
  </si>
  <si>
    <t>Belfast, Northern Ireland</t>
  </si>
  <si>
    <t>CEO of MCI, Director of @_IBPI_ /Professor of Logic &amp; Philosophy of Mind (Psychology Dep.), MREC/Integrative Psychotherapist/Writer/CPD Speaker/Neurodivergent.</t>
  </si>
  <si>
    <t>http://drmelaniacanavan.co.uk</t>
  </si>
  <si>
    <t>Elygantthings</t>
  </si>
  <si>
    <t>A Former Vegan confesses how Veganism was destroying her health  #mentalhealth</t>
  </si>
  <si>
    <t>http://www.truthaboutabs.com/vegan-confesses-health-problems.html</t>
  </si>
  <si>
    <t>Kent, WA</t>
  </si>
  <si>
    <t>#Advertising &amp; #MarketingCompany, helping with #smallbusinessreferrals. Check out our new blog https://www.minds.com/register;referrer=Elygantthings</t>
  </si>
  <si>
    <t>http://www.elygantthings.com</t>
  </si>
  <si>
    <t>The Iconic Bixby Bridge</t>
  </si>
  <si>
    <t>So before THE ARCTIC BLAST HIT this afternoon, GOT UP TO THE BIG PLOT TO TAKE CARE OF MY BIRDIE FAMILY &amp; ENSURED THEY WERE stocked up. Nature, peace and calmness; so tranquil and healing. 🙏🙏🙏🙌🙌🙌🐦🐦🐦 #gratitude #nature #mentalhealth</t>
  </si>
  <si>
    <t>https://pbs.twimg.com/media/EOmhEUaXsAY-Z3g.jpg</t>
  </si>
  <si>
    <t>LIVE IT, LOVE IT, OWN IT &amp; EMBRACE IT! USN OFFICER 1987-2007; CORP. AMERICA 2001-PRESENT #BostonBruins #NewEnglandPatriots #BostonRedSox #BostonCeltics #BostonU</t>
  </si>
  <si>
    <t>Ayesha</t>
  </si>
  <si>
    <t>Guess some people need to be reminded. #MentalHealth #Workplace #WHO RT @ayeshaslair: Mental health at work place. #WHO</t>
  </si>
  <si>
    <t>https://twitter.com/ayeshaslair/status/1086391110740504577</t>
  </si>
  <si>
    <t>https://pbs.twimg.com/media/DxOi7l5VsAAy_VV.jpg</t>
  </si>
  <si>
    <t>Just an unknown #Revert who's striving to be known in the heavens. Welcome to her lair aka her mind.</t>
  </si>
  <si>
    <t>Hey all! Here's a post you might have missed! Read about...."How To Deal With Family That Have Medical Issues."  #Family #MedicalIssues #MentalHealth</t>
  </si>
  <si>
    <t>https://www.lnk.xyz/r1BbKs2lL?aduc=idTfq8q1579391322871</t>
  </si>
  <si>
    <t>Edward Nygma</t>
  </si>
  <si>
    <t>How strong can you be before you break #AskingForAFriend #MentalHealth</t>
  </si>
  <si>
    <t>Inlet</t>
  </si>
  <si>
    <t>There are three men in a boat with four cigarettes but no matches. How do they manage to smoke? SC: kodebraker</t>
  </si>
  <si>
    <t>Colin Baker</t>
  </si>
  <si>
    <t>How do you deal with your child watchingpornography on the computer? ttps://bit.ly/2Tvy76c #pornography #children #compiter #mentalhealth #psychiatry #psadena #joeharaszti</t>
  </si>
  <si>
    <t>http://kissmedicaco.com</t>
  </si>
  <si>
    <t>MHA of Kentucky</t>
  </si>
  <si>
    <t>Create a #Valentine for a patient in a state hospital. Anonymously. Check it out here:  #ValentinesDay #B4Stage4 #Kentucky #mentalhealth</t>
  </si>
  <si>
    <t>https://www.mhaky.org/valentines-day-project.html</t>
  </si>
  <si>
    <t>https://pbs.twimg.com/media/EOmfrFBUEAAwj7Y.jpg</t>
  </si>
  <si>
    <t>Lexington, Kentucky</t>
  </si>
  <si>
    <t>#MentalHealth and #SubstanceAbuse Advocacy (#B4Stage4), Education, and Research dissemination. Anonymous, free mental health screenings.</t>
  </si>
  <si>
    <t>http://www.mhaky.org</t>
  </si>
  <si>
    <t>Erin Nicole</t>
  </si>
  <si>
    <t>💃 🏃‍♀️ 🤸‍♀️ 🧘‍♀️ 🙏 Teenagers &amp; Depression Blog ⁠ #teen #teenager #anxiety #mentalhealth #mentalillness #mentalhealthawareness #mindfulness #blog #awareness #positivity #fitness #healthy #happy #depressed #endthestigma #garyveechallenge #depression #blogger</t>
  </si>
  <si>
    <t>https://themovehappy.com/blog/</t>
  </si>
  <si>
    <t>pic.twitter.com/N0AuNYBn8A</t>
  </si>
  <si>
    <t>Nashville, TN</t>
  </si>
  <si>
    <t>Empirically based info: Mindset, Fitness, Community. For a free digital copy of my Move Happy Journal go to: https://themovehappy.com/#subscribe</t>
  </si>
  <si>
    <t>https://TheMoveHappy.com</t>
  </si>
  <si>
    <t>anonblackop</t>
  </si>
  <si>
    <t>I start to enjoy all these little #midnight convos... . . . #love #lovehurts #relationshipquotes #relationship #breakupquotes #poetry #confessions #thelongwaybacktoself #mentalhealth #instadaily #newbeginnings…</t>
  </si>
  <si>
    <t>https://www.instagram.com/p/B7etO7Xoz52/?igshid=sli1afku9aul</t>
  </si>
  <si>
    <t>Freiburg im Breisgau, Deutschl</t>
  </si>
  <si>
    <t>djemal ua</t>
  </si>
  <si>
    <t>** Reduce Stress the Free and Easy Way ** #writing about how to improve #health and live life better posted on .@Medium  #selfimprovement #health #lifehacks #life #mentalhealth #psychology #mindhealth #relationships #wellness #wisdom #quotes</t>
  </si>
  <si>
    <t>https://link.medium.com/iY9Smw2kL2</t>
  </si>
  <si>
    <t>I like to write about #health #wellness #poetry #Haiku #spirituality #mindfulness #mentalhealth - For New Book Details - http://amazon.com/author/djemalua</t>
  </si>
  <si>
    <t>https://medium.com/@djemal.ua</t>
  </si>
  <si>
    <t>talkspace</t>
  </si>
  <si>
    <t>"We have to learn to be able to hold ourselves accountable for mistakes big and small, even though it can be scary. It’s not easy to own up to our errors, but without a doubt, it’s the right thing to do."  #Mentalhealth</t>
  </si>
  <si>
    <t>http://bit.ly/2FXEZRT</t>
  </si>
  <si>
    <t>New York</t>
  </si>
  <si>
    <t>Confidential, affordable online therapy w/ professional, licensed therapists, wherever &amp; whenever you need it. #TherapyForAll #TherapyAnywhere</t>
  </si>
  <si>
    <t>https://www.talkspace.com/</t>
  </si>
  <si>
    <t>The Langley Group</t>
  </si>
  <si>
    <t>The link between your microbiome and your brain is fascinating... #microbiome #brain #neuroscience #mentalhealth #diet #health #behaviour #microbes #germs #gut #science</t>
  </si>
  <si>
    <t>https://nyti.ms/2FRPhmw</t>
  </si>
  <si>
    <t>Sydney</t>
  </si>
  <si>
    <t>The Langley Group, headed by Sue Langley, global leaders in the practical application of #PositivePsychology #EmotionalIntelligence and #Neuroscience.</t>
  </si>
  <si>
    <t>http://www.langleygroup.com.au</t>
  </si>
  <si>
    <t>Tyler Norris</t>
  </si>
  <si>
    <t>The team @WellBeingTrust is committed to #TimeToInvest and proud to be @UnitedGMH lead partner in the US. I’ll be @Davos next week helping advance the #mentalhealth agenda at #WEF2020. Reversing #deathsofdespair and creating the conditions for #Wellbeing for all with @psjh RT @UnitedGMH: Each year, #depression &amp; #anxiety disorders affect at least 284 million people. The world is speaking - 2020 is #TimeToInvest. Read more on the #mentalhealth agenda at @davos in this briefing from the BluePrint Group:  #wef2020 #Davos #wef20</t>
  </si>
  <si>
    <t>https://twitter.com/unitedgmh/status/1218225082897698818
https://www.unitedgmh.org/news/davos-2020</t>
  </si>
  <si>
    <t>https://pbs.twimg.com/media/EOgBQQ4WkAEKWB4.png</t>
  </si>
  <si>
    <t>Oakland, CA</t>
  </si>
  <si>
    <t>Chief Executive, Well Being Trust. Passionate about kindness, fairness and everyone having the opportunity to realize their potential. http://www.wellbeingtrust.org</t>
  </si>
  <si>
    <t>http://www.tylernorris.com</t>
  </si>
  <si>
    <t>i guess this is the end wendell</t>
  </si>
  <si>
    <t>Radical acceptance is paramount for bpd people #bpd #Mentalhealth #MentalHealthAwareness #mentalhealthsupport</t>
  </si>
  <si>
    <t>Milwaukie, OR</t>
  </si>
  <si>
    <t>just your mild mannered maniac with poor manners</t>
  </si>
  <si>
    <t>What’s a tea party without any tea? We couldn’t do this fundraiser without the continued support of @DAVIDsTEA Thank you!! ❤️#wonderlandteaparty #bellletstalk #mentalhealth @cheohospital #hero4cheo #bestlife</t>
  </si>
  <si>
    <t>https://pbs.twimg.com/media/EOmdvU1UYAYe7V2.jpg</t>
  </si>
  <si>
    <t>Michelle Murphy</t>
  </si>
  <si>
    <t>Why don’t people understand mental health? It is just as important as physical health. #mentalhealth</t>
  </si>
  <si>
    <t xml:space="preserve">Scotland </t>
  </si>
  <si>
    <t>I am 32 years old, have a 2 year old Nephew called Dylan. Trying for a new guide dog.</t>
  </si>
  <si>
    <t>Master Health Now</t>
  </si>
  <si>
    <t>I wanted to find out whether Phosphatidylserine (PS) could improve anxiety. This article uncovers my findings and whether you should use PS for anxiety.  #MentalHealth</t>
  </si>
  <si>
    <t>http://bit.ly/39QVXPB</t>
  </si>
  <si>
    <t>I help regular people master their health with simple tips, tricks and hacks you can use right now. Discover my most exclusive secrets at http://bit.ly/2Hrad5g</t>
  </si>
  <si>
    <t>http://bit.ly/2MzI544</t>
  </si>
  <si>
    <t>GroupTherapytm</t>
  </si>
  <si>
    <t>Get your tickets now! (link in bio) #grouptherapythemusical #musicaltheatre #newmusicals #nyctheatre #therapy #mentalhealth #lgbtqhealth #pochealth #access</t>
  </si>
  <si>
    <t>https://pbs.twimg.com/media/EOmcTVLU8AMHAy5.jpg</t>
  </si>
  <si>
    <t>A semi-immersive musical theatre experience by Janelle Lawrence that aims to promote mental health access and break stigma. Get your tickets here:</t>
  </si>
  <si>
    <t>https://www.wowcafe.org/event/group-therapy/</t>
  </si>
  <si>
    <t>Clearview Treatment</t>
  </si>
  <si>
    <t>Are Metaphors Your Secret Magic Wand in #Therapy?  #mentalhealth #recovery #treatment #awareness #psychology #psychologist #therapist #dbt #cbt #bpd #borderline #bipolar #depression #anxiety #ptsd #trauma #wellness #mindfulness</t>
  </si>
  <si>
    <t>https://bit.ly/2NwAD8y</t>
  </si>
  <si>
    <t>Clearview Treatment Programs is an addiction and mental health treatment center in West Los Angeles. Call (866) 744-2859 today to learn how we can help!</t>
  </si>
  <si>
    <t>http://clearviewtreatment.com</t>
  </si>
  <si>
    <t>According to a 2018 survey from The Economist and the Kaiser Family Foundation (KFF), 22% of adults in the United States and 23% of adults in the United Kingdom (23%) often feel lonely. Join Wysa community of love -&gt;  #loneliness #mentalhealth #selfcare</t>
  </si>
  <si>
    <t>Yenn Purkis</t>
  </si>
  <si>
    <t>#autism #mentalhealth meme for the day</t>
  </si>
  <si>
    <t>https://pbs.twimg.com/media/EOmcHNVVUAAUS-F.jpg</t>
  </si>
  <si>
    <t>#Autistic and #nonbinary author, artist, blogger and advocate, TEDx speaker &amp; other things. I live at Whimsy Manor with my feline friend Mr Kitty.</t>
  </si>
  <si>
    <t>http://www.jeanettepurkis.com</t>
  </si>
  <si>
    <t>Lou O'Rourke</t>
  </si>
  <si>
    <t>The state of your #mentalhealth has a big say in whether you can change for the better or not. #healthyliving</t>
  </si>
  <si>
    <t>http://cpix.me/a/90241190</t>
  </si>
  <si>
    <t>https://pbs.twimg.com/media/EOmcF5ZVUAEkmsd.jpg</t>
  </si>
  <si>
    <t>Stuart, FL</t>
  </si>
  <si>
    <t>http://www.louisorourke.ipre.com</t>
  </si>
  <si>
    <t>Johnny's on 🔥</t>
  </si>
  <si>
    <t>little_miss_winchester @JohnHolton82 @mindcharity #MentalHealthAwarenessweek #MentalHealthAwarenessweek2019 #warrington #MentalHealthAwareness #selfinjuryawareness #mentalhealth…</t>
  </si>
  <si>
    <t>https://www.instagram.com/p/B7erxP4B8H2/?igshid=phqwera91oaw</t>
  </si>
  <si>
    <t>Warrington</t>
  </si>
  <si>
    <t>lift engineer</t>
  </si>
  <si>
    <t>Arete HR</t>
  </si>
  <si>
    <t>Employers can’t prevent an employee from going off on disability leave for a mental health condition, but they can reduce the duration of that leave by focusing on prevention, education and the removal of barriers in the workplace. #mentalhealth</t>
  </si>
  <si>
    <t>https://snip.ly/3p4zgg#https://www.benefitscanada.com/news/__trashed-16-125545</t>
  </si>
  <si>
    <t>Business and employee assistance program provider. Fournisseur de programmes d'aide aux enterprises et aux employés.</t>
  </si>
  <si>
    <t>http://aretehr.com</t>
  </si>
  <si>
    <t>Christopher Oldcorn</t>
  </si>
  <si>
    <t>Be Specific via @pensignal @Medium #medium #lifelessons #motivation #mentalhealth #goals #psychology #life #inspiration #lifegoals #wisdom #success #lifestyle #dreams #wellbeing #mindfulness #anxiety #health #happiness</t>
  </si>
  <si>
    <t>https://medium.com/live-your-life-on-purpose/be-specific-df4f87af4270</t>
  </si>
  <si>
    <t>An investigative journalist holding people accountable. 🇨🇦 🇬🇧 🇺🇲 #sault #saultnews #onpoli #cdnpoli</t>
  </si>
  <si>
    <t>https://linktr.ee/chrisoldcorn</t>
  </si>
  <si>
    <t>Gem</t>
  </si>
  <si>
    <t>I need to remind myself of these .. #selflove #knowyourworth #heart #happiness #love #life #mentalhealth</t>
  </si>
  <si>
    <t>https://pbs.twimg.com/media/EOmbxhsX4AMI6Px.jpg</t>
  </si>
  <si>
    <t>Gems Crazy World 🪐💫</t>
  </si>
  <si>
    <t>Gamer chick (T1 diabetic ) living life to the fullest. Work in Payroll/Pensions .My💓’s-Pole Dancing /Wrestling/Sharks 🦈/Californian Sea Otters🦦 and gaming 🎮</t>
  </si>
  <si>
    <t>#hellomynameismel</t>
  </si>
  <si>
    <t>I'm looking forward to meeting @MsCatEdwards &amp; @James_Tringham irl with @blandwifeyhiggs on Wed, a leaving party on Friday, plus I'm still 🤞🤞 for the job. I also have the chance of some respite &amp;amp; need to decide if taking it would be a good idea or not #mentalhealth #selfcare</t>
  </si>
  <si>
    <t>Sheffield, England</t>
  </si>
  <si>
    <t>Mum to 3 awesome kids Hoping to turn the hell that is mental illness into something positive</t>
  </si>
  <si>
    <t>Your generosity fuels our drive to bring free, quality #afterschool programs to #children in need. #SunriseAcademy #mentalhealth</t>
  </si>
  <si>
    <t>🦋tina🦋</t>
  </si>
  <si>
    <t>Shoulda said anybody up for a supportive DM chat #mentalhealth related</t>
  </si>
  <si>
    <t>glasgow</t>
  </si>
  <si>
    <t>your words are powerful. be careful how you talk to yourself ❤️</t>
  </si>
  <si>
    <t>Bark</t>
  </si>
  <si>
    <t>This technique for de-escalating an upset teen can make a huge difference in your family life. #MentalHealth</t>
  </si>
  <si>
    <t>https://www.edutopia.org/article/de-escalation-exercise-upset-students</t>
  </si>
  <si>
    <t>Bark's award-winning service monitors text messages, YouTube, emails, and social media to keep kids safer online and IRL, at home and at school. 📲</t>
  </si>
  <si>
    <t>http://www.bark.us</t>
  </si>
  <si>
    <t>Light of Hope Counseling, LLC</t>
  </si>
  <si>
    <t>Enjoy Life!#Maryland #mentalhealth #psychotherapy  RT @EatingSolution: Happy #nationalwinniethepoohday !</t>
  </si>
  <si>
    <t>http://lohcounseling.com
https://twitter.com/eatingsolution/status/1218624411525357569</t>
  </si>
  <si>
    <t>https://pbs.twimg.com/media/EOlscb3UYAAvYoU.jpg</t>
  </si>
  <si>
    <t>Maryland, USA</t>
  </si>
  <si>
    <t>Therapy for Individuals | Couples | Families | Groups. We provide Christian Counseling | EMDR | Symbis Assessments | Alpha-Stim Treatment | Online Couseling</t>
  </si>
  <si>
    <t>http://www.lohcounseling.com</t>
  </si>
  <si>
    <t>Scrappywheelz</t>
  </si>
  <si>
    <t>Final chapter of my novel, Sweetwater. I'm not crying. You're crying. Sweetwater Part 31 &amp; 32 (fini)   #writing #novel #novels #army #cleanromance #disability #love #romance #secondchances #soldier #ptsd #mentalhealth #author</t>
  </si>
  <si>
    <t>https://w.tt/2NFjzgF
https://w.tt/2G59JjX</t>
  </si>
  <si>
    <t>https://pbs.twimg.com/media/EOmawriUEAAy78W.jpg</t>
  </si>
  <si>
    <t>A Galaxy Far Far Away</t>
  </si>
  <si>
    <t>Streaming Star Wars: The Old Republic. Twitch - http://twitch.tv/scrappywheelz Wattpad - https://www.wattpad.com/user/scrappywheelz novels - Sweetwater &amp; Free to Fly</t>
  </si>
  <si>
    <t>https://www.scrappywheelzgaming.com</t>
  </si>
  <si>
    <t>Great idea. The children seem to really like it, BBC News - Newcastle children talk mental health thanks to puppets  #children #MentalHealthAwareness #mentalhealth #skynews #bbc #life #psychology</t>
  </si>
  <si>
    <t>https://www.bbc.com/news/av/uk-england-tyne-51143669/newcastle-children-talk-mental-health-thanks-to-puppets</t>
  </si>
  <si>
    <t>It’s our 5th year. Huge thanks for the continued involvement of sponsors like @Bell_LetsTalk #mentalhealth #hero4cheo @CHEOhospital #BellLetsTalk #WonderlandTeaParty</t>
  </si>
  <si>
    <t>https://pbs.twimg.com/media/EOmasgrUcAAwIU9.jpg</t>
  </si>
  <si>
    <t>Ideal Properties 247</t>
  </si>
  <si>
    <t>Need to take a breather? Here are some tips to lower your stress. #lifetips #mentalhealth</t>
  </si>
  <si>
    <t>http://cpix.me/a/90178549</t>
  </si>
  <si>
    <t>https://pbs.twimg.com/media/EOmaPMdVAAALgl7.jpg</t>
  </si>
  <si>
    <t>Richmond, MI</t>
  </si>
  <si>
    <t>Dream home finder...Quick sell your home!</t>
  </si>
  <si>
    <t>http://www.idealproperties.com</t>
  </si>
  <si>
    <t>Rocki Richardson</t>
  </si>
  <si>
    <t>Living with #CPTSD is like having to relive the worst days of your life every day, but everyone around you is living a normal Saturday. It's so exhausting, trying to calm your head while trying to take care of everyone around you. #mentalhealth #Happy2020</t>
  </si>
  <si>
    <t>your favorite moonlight, x</t>
  </si>
  <si>
    <t>lyteweaver</t>
  </si>
  <si>
    <t>My depression and anxiety definitely increased with the Trump presidency. Those of us who are woke AF and have mental health struggles can get a little lost. The beach brings me back to my center.#mentalhealth #MedicareForAll #nature #ClimateActionNow</t>
  </si>
  <si>
    <t>https://pbs.twimg.com/media/EOmZ98SUEAI_mEO.jpg</t>
  </si>
  <si>
    <t>A spirit that delights in all that moves or intrigues me. I rise against intolerance, jugdement and ignorance. An Ideologist to a fault. Master BS detector.</t>
  </si>
  <si>
    <t>** no doubt ** #haiku #poetry - about the mental heath, self-care and body image posted on .@Medium  #writing #poetry #poet #writingcommunity #poetrycommunity #health #love #wellbeing #psychology #mindhealth #selfcare #bodyimage #selflove #mentalhealth</t>
  </si>
  <si>
    <t>https://link.medium.com/Wgu3727t82</t>
  </si>
  <si>
    <t>Nikki Ⓥ</t>
  </si>
  <si>
    <t>This girl needs some veggies after a very informative day at Mental Health First Aid training. The drive home was super slow, hopefully the roads are better for day 2 tomorrow! #Refuel #GimmeAllTheVeggies #MyJourney #MentalHealth</t>
  </si>
  <si>
    <t>https://pbs.twimg.com/media/EOmZzAIX0AM9_Ov.jpg</t>
  </si>
  <si>
    <t>Mom, partner, vegan, auxiliary officer. Working on becoming a police officer.👮🏻‍♀️ **All thoughts are my own; not associated with anywhere I work/volunteer**</t>
  </si>
  <si>
    <t>Nervous to apply for a job like "Psychiatry" at Swedish? Apply even if you're not a 100% match. You might be underestimating your value. Click the link in our bio for more info. #mentalhealth #Seattle, WA</t>
  </si>
  <si>
    <t>William Moore</t>
  </si>
  <si>
    <t>Dig deep into your mind, you might be surprised what you find 🧠 • • • #mooremomentum #momentum #5corelife #5cores #williammoore #willmoore #successful #motivational #killingit #successmindset #successhabits #growthowner #helpmehelpyou #inspiration #lifecoach #mentalhealth</t>
  </si>
  <si>
    <t>https://pbs.twimg.com/media/EOmZY9UU8AY_XBW.jpg</t>
  </si>
  <si>
    <t>Will Moore Helping you figure out: ➡️WHO you are ➡️WHAT you want ➡️HOW to get it Are you ready to start building momentum? 👊 Get you CORE SCORE on the website</t>
  </si>
  <si>
    <t>http://www.mooremomentum.com</t>
  </si>
  <si>
    <t>Makeup Maniacs</t>
  </si>
  <si>
    <t>You matter. The world is a better place with you in it. Mental health=physical health. Don’t be ashamed to reach out for help or to talk. ❤️ #youmatter #breakthesilence #awareness #mentalhealth #mentalhealthawareness…</t>
  </si>
  <si>
    <t>https://www.instagram.com/p/B7eqRxsgeo6/?igshid=l7pxkjc8ak3k</t>
  </si>
  <si>
    <t>Toledo, OH</t>
  </si>
  <si>
    <t>A Glow For Every Goddess™️. An indie cosmetics and skincare brand. Self expression shouldn’t be censored. Creative junkie.</t>
  </si>
  <si>
    <t>http://www.makeupmaniacs.com</t>
  </si>
  <si>
    <t>Raymond Norman</t>
  </si>
  <si>
    <t>...real life story of a brain injury I sustained in 1981. This story attempts to chronicle events in my life that have changed me forever.' My Long Road Back by @ VerwayneAuthor. braininjury #TBI #mentalhealth IAN1 KindleUnlimited Kindle ebooks</t>
  </si>
  <si>
    <t>https://www.amazon.com/Long-Road-Back-Verwayne-Greenhoe-ebook/dp/B00HUHM1A8/ref=sr_1_4?crid=2BYEVQRFDEWS7&amp;keywords=verwayne+greenhoe&amp;qid=1563829778&amp;s=gateway&amp;sprefix=Verwayne%2Caps%2C152&amp;sr=8-4</t>
  </si>
  <si>
    <t>https://pbs.twimg.com/media/EOmZUrcX0AEm2Fm.jpg</t>
  </si>
  <si>
    <t>Wisconsin &amp; Minnesota, USA</t>
  </si>
  <si>
    <t>Smart yet Simple. Lover of Peeps Animals Earth Culture #Music #Sports. #Twitter #promotion for #indies. #books #ebooks #authors #film #arts. DM for #Promo Info.</t>
  </si>
  <si>
    <t>Nik Patel</t>
  </si>
  <si>
    <t>I started allowing myself to be nostalgic and reminiscing about my past.. And, it’s a great mental break!! #weekendbreak #mentalhealth 😊☺️🤗</t>
  </si>
  <si>
    <t>Chicago, IL</t>
  </si>
  <si>
    <t>Technologist focusing on digital workplace and cloud computing @_SPRConsulting #Microsoft365 #Office365 #Azure #SharePoint #MicrosoftTeams</t>
  </si>
  <si>
    <t>http://nikpatel.net/</t>
  </si>
  <si>
    <t>Sacred Source Botanicals</t>
  </si>
  <si>
    <t>When you build a solid foundation of Self, you can weather any storm. Reishi mushroom extract is a powerful superfood that can center the mind and open the spirit. . . . #mentalhealth #mushroomcoffeen #eatwholefoods #meditation #presentmoment #innerguidance #findyoursource</t>
  </si>
  <si>
    <t>pic.twitter.com/dq4Ep38fGi</t>
  </si>
  <si>
    <t>Sacred Source Botanicals products are lovingly formulated using the traditional wisdom of Ayurveda, Native American and Chinese medicine.</t>
  </si>
  <si>
    <t>Josie Wilson</t>
  </si>
  <si>
    <t>Do you really think supporting / following #mentalhealth advocates who befriend convicted pedophilles is a good thing? Especially when their content on social media may attract vulnerable people. #MentalHealthAwareness #mentalhealth #facts</t>
  </si>
  <si>
    <t>https://pbs.twimg.com/media/EOmYzHyU8AAZXS_.jpg</t>
  </si>
  <si>
    <t>United Kingdom</t>
  </si>
  <si>
    <t>I’m intrigued by people and have a thirst for facts! Passionate about mental health and especially keen on showing that some people are just not what they seem!</t>
  </si>
  <si>
    <t>Cianciara Ventures</t>
  </si>
  <si>
    <t>Call your friend. It's the weekend, give the friend you haven't talked to in a while a ring. You never know who you can help. #friends #motivation #mentalhealth #healthylifestyle</t>
  </si>
  <si>
    <t>https://pbs.twimg.com/media/EOmYZoXUwAAl7hF.jpg</t>
  </si>
  <si>
    <t>Combating the root cause of mental afflictions and general sadness through the proactive use of low-overhead technology solutions, media presence, and outreach.</t>
  </si>
  <si>
    <t>https://www.cianciaraventures.com/</t>
  </si>
  <si>
    <t>John Vincent Basson</t>
  </si>
  <si>
    <t>Sydney, New South Wales</t>
  </si>
  <si>
    <t>Western Sydney is where I work</t>
  </si>
  <si>
    <t>Elaine 🤔</t>
  </si>
  <si>
    <t>Say this out loud to Yourself... "I refuse to ever question my self worth again." Repeat it. Repeat it once more. You. Are. Enough. It's time to learn to love Yourself. And to know just how Amazing You are. It's Time 💙 #mentalhealth #YouAreNotAlone #thoughts #Motivation</t>
  </si>
  <si>
    <t>Indiana, USA</t>
  </si>
  <si>
    <t>We're only human after all. #mentalhealth #YouAreNotAlone #survivortough #kindnessmatters #LGBTQ 🏳️‍🌈 Half of a Half-Gay Relationship</t>
  </si>
  <si>
    <t>Jess Pace</t>
  </si>
  <si>
    <t>2020 goals: install a filter. Not from my mouth but to my mind. #MentalHealth</t>
  </si>
  <si>
    <t>New Braunfels, TX</t>
  </si>
  <si>
    <t>Texas State Staff 😻 Fire Girlfriend 👨🏻‍🚒 Dog mom 🐶🐶</t>
  </si>
  <si>
    <t>http://www.beautybyjess.glossgenius.com</t>
  </si>
  <si>
    <t>Lisa</t>
  </si>
  <si>
    <t>Never hold back tears. Tears are toxic, let them flow. #mentalhealth</t>
  </si>
  <si>
    <t>https://pbs.twimg.com/media/D0O6d8HXcAAgWBe.jpg</t>
  </si>
  <si>
    <t>Pa</t>
  </si>
  <si>
    <t>Blogger who's passionate about MH Issues. Some of my articles on Thrive Global &amp;Medium #EndTheStigma | Photography | Politics | #Resist #JusticeIsComing</t>
  </si>
  <si>
    <t>https://www.thriveglobal.com/authors/59-lisa-gallagher</t>
  </si>
  <si>
    <t>Emily Gearing</t>
  </si>
  <si>
    <t>Brilliant to hear from @jonsalmon @jgc1966 &amp; @CllrBatt on the panel @HappyHeadsMH Winter Warmer Conference today. Thank you for inviting us to have a stand @SandeepSaib 😊 #happyheads #mentalhealth #croydon</t>
  </si>
  <si>
    <t>https://pbs.twimg.com/media/EOmWxI0WAAEhPHx.jpg</t>
  </si>
  <si>
    <t>Life Coach &amp; Pioneer. Founder of the REST EASY Method of Self-Help. Community Radio Presenter. Mental Health Campaigner.</t>
  </si>
  <si>
    <t>http://www.resteasytraining.com</t>
  </si>
  <si>
    <t>Lauren Bersaglio</t>
  </si>
  <si>
    <t>Check out the latest article on @Libero_Mag: "New Year’s Resolutions: a New Approach"  #mentalhealth #mh #liberomagazine</t>
  </si>
  <si>
    <t>https://pbs.twimg.com/media/EOmWvLOX0AAogfD.png</t>
  </si>
  <si>
    <t>FOUNDER: @Libero_Mag &amp; CREATOR: #StopFitspiration // #MentalHealth champion / #SelfLove defender / Speaker / Writer</t>
  </si>
  <si>
    <t>https://laurenbersaglio.com</t>
  </si>
  <si>
    <t>Nichole_faller</t>
  </si>
  <si>
    <t>If you are up at 7:10am (SK time) tomorrow be sure to tune into CBC Sask radio to hear me talk about the Workplace Coping Strategies course @CBCNews @cbcradio #Mentalhealth #wellness #work</t>
  </si>
  <si>
    <t>Regina, Saskatchewan</t>
  </si>
  <si>
    <t>A PhD student in clinical psychology with a passion for improving mental health in the workplace.</t>
  </si>
  <si>
    <t>Preparation, Patience plus hard work is a great formula for success! #success #Mentalhealth #entrepreneur #preparation #goforit #patience</t>
  </si>
  <si>
    <t>Jordan Brown - Let's build a #MentalHealthMovement</t>
  </si>
  <si>
    <t>Life can be so unbelievably confusing. And it's full of paradoxes. Why does a person have to go through such pain to know the meaning of compassion? Are issues two-sided, or are there no sides at all? This confusion also applies to #mentalhealth.</t>
  </si>
  <si>
    <t>http://newsletter.thementalhealthupdate.com/archive/221766</t>
  </si>
  <si>
    <t>Missoula, MT</t>
  </si>
  <si>
    <t>Get my FREE daily MENTAL HEALTH newsletter: http://newsletter.thementalhealthupdate.com Making #mentalhealth accessible | #socialworker, #coach, #writer, #poet</t>
  </si>
  <si>
    <t>http://www.thementalhealthupdate.com</t>
  </si>
  <si>
    <t>Tay</t>
  </si>
  <si>
    <t>Have you suffered racial Discrimination at work? and was to scared to speak about it because you thought it would cause more harm then good, sadly this happens alot in my line of work Like &amp; retweet if this has happened to you. #mentalhealth #discrimination</t>
  </si>
  <si>
    <t>United kingdom</t>
  </si>
  <si>
    <t>here to promote mental health awareness,share ideas and give people hope,click on my YouTube channel below and spread awareness with me. https://youtu.be/ORGhTg</t>
  </si>
  <si>
    <t>PAUL@MEDIA</t>
  </si>
  <si>
    <t>To anyone suffering now please read this below. Wise words .There is help out there. #abuse #samaritians #mentalhealth #rape #Police #GP RT @aimee_brimson: 4 steps that can help in your hr of need whether #rape or #abuse 1. I did not consent to what has just happened. 2. This was not my fault. 3. I am my evidence. 4. I need help immediately. If you, a friend have been #raped or #abused, remember 1,2,3,4 &amp; get help @RespectYourself</t>
  </si>
  <si>
    <t>https://twitter.com/aimee_brimson/status/1123215698963128320</t>
  </si>
  <si>
    <t>Cornwall Uk</t>
  </si>
  <si>
    <t>New Media/Counsellor concerned about #abuse, #elites,#trafficking, #equality, #mediabias#socialinjustice#westminsterpedoring, https://instagram.com/kelliwik2</t>
  </si>
  <si>
    <t>Ekene Blasingame Ahaneku</t>
  </si>
  <si>
    <t>Everyone has a responsibility towards creating a society where mental health of individuals is a priority. Start a small show of love today and see it accumulate to something big. #mentalhealth #wellbeing #sdg3 #wef20 One Young World Deloitte</t>
  </si>
  <si>
    <t>https://lnkd.in/djhS5CJ</t>
  </si>
  <si>
    <t>Imo State University, Owerri.</t>
  </si>
  <si>
    <t>PHC Youth Leader||TEDx Speaker|| UHC Advocate|| SLEDT Amb.|| CEO BLAS Initiative || Award Winning Journalist||iDoctor</t>
  </si>
  <si>
    <t>https://about.me/e.ahaneku</t>
  </si>
  <si>
    <t>Revere Photos</t>
  </si>
  <si>
    <t>Excited to share the latest addition to my #etsy shop: A Year of Living: 52 Weeks of Reflection, Journal, 72 pages, lined blank pages  #booksandzines #journal #reflection #selfcare #blankbook #giftforfriend #mentalhealth #selflove #diary</t>
  </si>
  <si>
    <t>https://etsy.me/2R79gV2</t>
  </si>
  <si>
    <t>https://pbs.twimg.com/media/EOmV4ZiUwAArCE5.jpg</t>
  </si>
  <si>
    <t>Photography is a passion. I enjoy photographing nature, sports and fireworks. I hope when you view my photos you will feel the emotion that I felt.</t>
  </si>
  <si>
    <t>https://fineartamerica.com/profiles/kristina-kruskol</t>
  </si>
  <si>
    <t>shattered</t>
  </si>
  <si>
    <t>TW! Progress.. Now it's burning af😮 but it didn't bleed much unfortunately #selfharm #cutting #blood #wounds #suicide #mentalhealth</t>
  </si>
  <si>
    <t>https://pbs.twimg.com/media/EOmV3-XUUAA9hy_.jpg</t>
  </si>
  <si>
    <t>secret account to post my real thoughts without being judged by the people who know me irl..</t>
  </si>
  <si>
    <t>Care Considerations</t>
  </si>
  <si>
    <t>Can Home Care Workers Help Older Adults Escape Late Life Depression And Anxiety? #chronicillness #aginginplace #homecare #mentalhealth</t>
  </si>
  <si>
    <t>https://www.forbes.com/sites/williamhaseltine/2020/01/17/can-home-care-workers-help-older-adults-escape-late-life-depression-and-anxiety/</t>
  </si>
  <si>
    <t>Central Coast, California</t>
  </si>
  <si>
    <t>Former healthcare administrator advocating for patients &amp; family caregivers &amp; helping both navigate hospitals, complex care processes &amp; functional limitations.</t>
  </si>
  <si>
    <t>http://thielst.typepad.com/my_weblog/healthy_children_and_families/</t>
  </si>
  <si>
    <t>CommonSense Mental Health</t>
  </si>
  <si>
    <t>#TeleTherapy #NY #Upstate #Roc #CommonSense #MentalHealth #MentalWellness #Therapy #Growth #TeleMentalHealth Phone: (585) 237-8826 or Email: intake@commonsensemh.com</t>
  </si>
  <si>
    <t>https://pbs.twimg.com/media/EOmVzkNU8AE6-d4.jpg</t>
  </si>
  <si>
    <t>New York State</t>
  </si>
  <si>
    <t>🌿🌼We provide affordable, accessible online therapy to N.Y. State clients who may not otherwise engage in face to face services. #TeleTherapy🌈 (585) 237-8826</t>
  </si>
  <si>
    <t>https://www.commonsensemh.com</t>
  </si>
  <si>
    <t>Ruth Klein</t>
  </si>
  <si>
    <t>#bookclubs #WorldWarhistory #familyhistory #books #2g #children #mentalhealth #photography #piano Check out at Amazon and all local booksellers</t>
  </si>
  <si>
    <t>http://www.ruthkleinamemoir.com
https://www.bestsellersworld.com/2019/10/surviving-the-survivors-a-memoir-by-ruth-klein/</t>
  </si>
  <si>
    <t>https://pbs.twimg.com/media/EOmVy7OUcAE3XWi.jpg</t>
  </si>
  <si>
    <t>Tel Aviv, IL &amp; Houston, TX, NY</t>
  </si>
  <si>
    <t>music lover</t>
  </si>
  <si>
    <t>http://ruthkleinamemoir.com</t>
  </si>
  <si>
    <t>Shehanne Moore</t>
  </si>
  <si>
    <t>Rewrite The Stars Emma Heatherington 5*#Review @emmalou13 @HarperFiction @fictionpubteam #Family#Drama #Romance #MentalHealth #relationships #life #serendipity #BookReview  via @jolliffe03</t>
  </si>
  <si>
    <t>https://jolliffe01.com/2020/01/18/rewrite-the-stars-emma-heatherington-5review-emmalou13-harperfiction-fictionpubteam-familydrama-romance-mentalhealth-relationships-life-serendipity-bookreview/</t>
  </si>
  <si>
    <t>Dundee*Scotland</t>
  </si>
  <si>
    <t>Shehanne Moore doesn't do typical heroes or heroines. She's fae Dundee what do you expect? Author SoulMate publishing USA. Mangatoon Mobi. CEO Black Wolf Books</t>
  </si>
  <si>
    <t>http://shehannemoore.wordpress.com/</t>
  </si>
  <si>
    <t>Talk to Lauren</t>
  </si>
  <si>
    <t>How are you going to make today a good day? ---------------- #talk2lauren #laurenpresutti #mentalhealth #mentalillness #psychology #socialwork #counseling #therapist #psychotherapist #counselor #anxiety #depression #stigma</t>
  </si>
  <si>
    <t>https://pbs.twimg.com/media/EOmVbVRWoAANjUk.jpg</t>
  </si>
  <si>
    <t>Grand Rapids, Michigan</t>
  </si>
  <si>
    <t>Hi I’m Lauren – a lifelong learner, daughter, sister, friend, wheelchair-user, advocate, and psychotherapist. Let’s talk. http://www.laurenpresutti.com</t>
  </si>
  <si>
    <t>http://www.laurenpresutti.com</t>
  </si>
  <si>
    <t>Matt Bodnar</t>
  </si>
  <si>
    <t>One of the BEST convos I've had about the ROOT of your PAIN &amp; how to HEAL it  #mentalhealth #inspiration</t>
  </si>
  <si>
    <t>http://www.successpodcast.com/show-notes/2016/11/30/uncover-the-root-of-your-pain-how-to-smash-perfectionism-love-yourself-and-live-a-richer-life-with-megan-bruneau</t>
  </si>
  <si>
    <t>https://pbs.twimg.com/media/EOmVhhoWAAIukh5.png</t>
  </si>
  <si>
    <t>Nashville</t>
  </si>
  <si>
    <t>Deal Maker &amp; Strategy Expert. Partner @ Fresh Technology + Fresh Capital Group. Creator &amp; Host of The Science of Success Podcast. @Forbes #30Under30 alum</t>
  </si>
  <si>
    <t>http://www.successpodcast.com</t>
  </si>
  <si>
    <t>TheArtTherapyProject</t>
  </si>
  <si>
    <t>"The designated seat was created in St Nicholas Park by Warwick District Council’s green spaces team and mirrors successful schemes in other towns across the UK, with the idea of getting people talking." #createchange #thepowerofdesign #mentalhealth</t>
  </si>
  <si>
    <t>https://bit.ly/2NqfuNb</t>
  </si>
  <si>
    <t>New York, New York</t>
  </si>
  <si>
    <t>The Art Therapy Project is dedicated to helping trauma survivors through the creative process.</t>
  </si>
  <si>
    <t>http://www.thearttherapyproject.org/</t>
  </si>
  <si>
    <t>MindMosaic</t>
  </si>
  <si>
    <t>As you lie in bed tonight scrolling through social media, please give us a share. You never know who may really need this gentle reminder that they are loved and it’s ok to not be ok.💚 #stopthestigma #ItsOkToNotBeOk #mentalhealth #MentalHealthMatters</t>
  </si>
  <si>
    <t>https://pbs.twimg.com/media/EOmVgqyUwAAxDSF.jpg</t>
  </si>
  <si>
    <t>Scotland, United Kingdom</t>
  </si>
  <si>
    <t>Local Charity MindMosaic Inverclyde Adult Services 30 Nelson Street Greenock PA15 1QH Scottish Charity N0. SC046721</t>
  </si>
  <si>
    <t>http://www.mindmosaic.co.uk/</t>
  </si>
  <si>
    <t>BYUPathway Worldwide</t>
  </si>
  <si>
    <t>"If you broke your arm or found out you had kidney disease, you wouldn’t feel embarrassed to talk about it. You’d do all you could to try to heal. A mental health diagnosis should be no different." - Jane Clayson Johnson #BYUPathwayDevo #MentalHealth</t>
  </si>
  <si>
    <t>https://pbs.twimg.com/media/EOmVehtUcAAkxhR.jpg</t>
  </si>
  <si>
    <t>Salt Lake City, UT</t>
  </si>
  <si>
    <t>Pathway is a low-cost educational opportunity that combines online courses with local gatherings. #BYUPathway</t>
  </si>
  <si>
    <t>http://byupathway.org</t>
  </si>
  <si>
    <t>Kit Novak</t>
  </si>
  <si>
    <t>Goodbye Elizabeth Wurtzel. You were such a gem.  #AnInconvenientRelative #mentalhealth #MentalHealthAwareness #EndTheStigma #depression #DepressionIsReal #depressed #ProzacNation #authors #SaturdayMood #saturdaynight #elizabethwurtzel</t>
  </si>
  <si>
    <t>https://aninconvenientrelative.blogspot.com/2020/01/elizabeth-wutzel.html</t>
  </si>
  <si>
    <t>Baltimore, MD</t>
  </si>
  <si>
    <t>Mother and wife. I write about mental health and beauty. Very passionate about marshmallows, Tom Ford and whiskey.</t>
  </si>
  <si>
    <t>https://aninconvenientrelative.blogspot.com/</t>
  </si>
  <si>
    <t>HealthyPlace</t>
  </si>
  <si>
    <t>Thank you for following HealthyPlace. I hope you have a nice afternoon and evening. :) Amanda == #mhsm #mhchat #quotes #inspirationalquotes #mentalhealth</t>
  </si>
  <si>
    <t>https://pbs.twimg.com/media/EOmVY54WAAAkYRh.jpg</t>
  </si>
  <si>
    <t>Texas</t>
  </si>
  <si>
    <t>Trusted information on psychological disorders and treatments, plus mental health support. Home to Stand Up for Mental Health campaign.</t>
  </si>
  <si>
    <t>http://www.HealthyPlace.com</t>
  </si>
  <si>
    <t>Dreaming Panda 🧠</t>
  </si>
  <si>
    <t>Crashing big time today after Partial Hospitalization week 1 &amp; somewhat regretting my decision to stay longer. These #MentalHealth programs take so much energy + aren't designed for medically-complex/disabled people... Yet many of us have #mentalillness and need the help. #pwME</t>
  </si>
  <si>
    <t>Writer sharing the good, bad, &amp; funny of #chronicillness! Grad school dropout due to #MECFS &amp; #PANS. Trying to live my best life as a sick 24 year-old. 🐼🧠♿️</t>
  </si>
  <si>
    <t>http://thedreamingpanda.com</t>
  </si>
  <si>
    <t>https://pbs.twimg.com/media/EOmVEuwU4AAL2gf.jpg</t>
  </si>
  <si>
    <t>MMANTI</t>
  </si>
  <si>
    <t>Don't forget to look after your mental health. This is equally important to your physical health. The two are interconnected. #health #mentalhealth #SickleCell</t>
  </si>
  <si>
    <t>https://pbs.twimg.com/media/EOmU8u4UcAEhWVO.jpg</t>
  </si>
  <si>
    <t>MGTConsultant | Adviser to African Leaders | #AfricasTeenInfluencer @TeennationHQ | iEngage #CommunityAction4SocialGood | RebuildingAfrica One Community A Time.</t>
  </si>
  <si>
    <t>http://www.purplepatchconsults.com</t>
  </si>
  <si>
    <t>Life Sophisticated Brainwashing and Manipulations; Fantropic War Scenarios; Religious Fandoms; Height and Evidence of Playtoying (your in a war!) Experimenting  #Mentalhealth #psychology #police #Psychiatry #news #auspol #Australia #sun7 #skynews</t>
  </si>
  <si>
    <t>https://www.australialatestnews.com/2017/02/mental-health-and-technological.html</t>
  </si>
  <si>
    <t>https://pbs.twimg.com/media/EOmUriAU8AEImQX.jpg</t>
  </si>
  <si>
    <t>Agent Scully</t>
  </si>
  <si>
    <t>Deffinatly fighting some brain goblins today. #mentalhealth #notsodungeonsanddragons</t>
  </si>
  <si>
    <t>https://open.spotify.com/playlist/1JuZv81p5fmgR1vQg2s9YM?si=0eAZZLjEQW6tYD4fDAzc6g</t>
  </si>
  <si>
    <t>Peoria.Ill</t>
  </si>
  <si>
    <t>A big dude in a small world. A Dreamer, Critter, tabletop game player, DM/GM for Order of The Midnight Rollers, Cat dad and all around nerd. 🏳️‍🌈</t>
  </si>
  <si>
    <t>Just sent an #interview survey for the next #podcast episode! The topic? Hellblade: Senua's Sacrifice and its representation of #psychosis. Tune in at the end of the month! #mentalhealth</t>
  </si>
  <si>
    <t>pic.twitter.com/i4hx4eKAb2</t>
  </si>
  <si>
    <t>#womenwhocode #business #Writingcommunity I wrote something a few years ago on #divorce and #mentalhealth &amp; it’s now available for free on the website! Hope it helps! ❤️ @TheDevinaKaur Please RETWEET &amp;amp; help others struggling with #heartbreak and #pain 👇🏼</t>
  </si>
  <si>
    <t>http://www.SexyBRILLIANT.com</t>
  </si>
  <si>
    <t>https://pbs.twimg.com/media/EOmUgZTUUAA1ufC.jpg</t>
  </si>
  <si>
    <t>Charles G. Hanna</t>
  </si>
  <si>
    <t>How many of us realize this? 'Recognize that if someone discloses their mental illness, it means that they trust you.' #MentalHealth</t>
  </si>
  <si>
    <t>http://bit.ly/2sVDCwB</t>
  </si>
  <si>
    <t>CEO, philanthropist. Author, HIGHER: AWAKEN TO A MORE FULFILLING LIFE - audiobook feat. Emmy winner Joan Cusack. #Mindfulness #Meditation #Addiction #Recovery</t>
  </si>
  <si>
    <t>http://www.charleshannahigher.com</t>
  </si>
  <si>
    <t>ChronicallySingle</t>
  </si>
  <si>
    <t>I created this account in hopes of connecting with other in the #chronicdisease community, especially those with #autoimmune conditions, like #RA, #chronicpain, fellow #previvor peeps esp those who also have #Lynchsyndrome, and with fellow #mentalhealth advocates...</t>
  </si>
  <si>
    <t>Colorado, USA</t>
  </si>
  <si>
    <t>I'm single. I have a chronic illness. I have a heritable cancer syndrome. Who wouldn't want to get with this? #lynchsyndrome #autoimmunedisease #RA #previvor</t>
  </si>
  <si>
    <t>B ☕</t>
  </si>
  <si>
    <t>12 years ago today, I became a slave to hating my body. It has been such a rollercoaster of emotions and self-hatred that I am tired of it. I don't want to be a salve to my ED anymore. Longest relationship I have ever been in. #bodyimage #ED #12longearsofpain #Mentalhealth #tired</t>
  </si>
  <si>
    <t>We Can Only Learn So Much And Live ; 💙🖤💙🖤</t>
  </si>
  <si>
    <t>Online #Mindfulness Therapy through Skype. Learn how to apply mindfulness #meditation for help recovering from emotional suffering. Visit: . #mentalhealth #anxietytreatment #panicattacks #OCDtreatment #PTSDtreatment #depressiontreatment #addictiont…</t>
  </si>
  <si>
    <t>Kyla Hamman</t>
  </si>
  <si>
    <t>I am so close to ending this all. How much longer are you going to keep ignoring me? My cries? My pleas for help about this situation? Just for something to happen? #mentalhealth #visas #govuk #ukvi why are you keeping honest people suffering?! #harlow @BorisJohnson #help #help</t>
  </si>
  <si>
    <t>06.97, Gemini, obsessed with true crime. into crafting, its relaxing. Bipolar confirmed - don’t be ashamed!</t>
  </si>
  <si>
    <t>NCFC⚫⚪🇩🇰</t>
  </si>
  <si>
    <t>Mental Health Check-In ❤ - I'm Very Happy 💚 - I'm good 💛 - I'm okay 💙 - Could be better 💜 - I’m sad 🧡 - I'm depressed Dms are always open for a chat Don’t be scared to comment. #mentalhealth</t>
  </si>
  <si>
    <t>Notts County Fan, All Notts Aren't we ⚫⚪</t>
  </si>
  <si>
    <t>meg-infj</t>
  </si>
  <si>
    <t>I managed to take a shower, dry my hair &amp; put on clean sweatpants today. Look out for my new motivational self-help book in stores soon. #mentalhealth</t>
  </si>
  <si>
    <t>North Carolina, USA</t>
  </si>
  <si>
    <t>Introvert. Mom. British history nerd. Sometimes political. I don't believe in cooked fruit. 🥧 And I make things out of broken electronics. ♻</t>
  </si>
  <si>
    <t>http://www.etsy.com/shop/RebootCreations</t>
  </si>
  <si>
    <t>Deblina Bhattacharya</t>
  </si>
  <si>
    <t>You are not aware what you're capable of. Life's not always kind, but know that you will arrive one day. #WinnieThePoohDay #SaturdayThoughts #Mentalhealth #WritingCommunity</t>
  </si>
  <si>
    <t>https://pbs.twimg.com/media/EOmTw7xU8AAMNbT.jpg</t>
  </si>
  <si>
    <t>Kolkata, India</t>
  </si>
  <si>
    <t>Romance writer. Whimsical Poet. Bibliophile. Professional Dreamer. Mental health advocate. • Writing is my therapy. #Romance #Author #bestseller</t>
  </si>
  <si>
    <t>http://mybook.to/knots</t>
  </si>
  <si>
    <t>Rusty and Wolf</t>
  </si>
  <si>
    <t>Good to know. There are 10 other words to describe my anger. #writers #writing #anger #mentalillness #mentalhealth 10 Words for the Angry and Upset</t>
  </si>
  <si>
    <t>https://www.merriam-webster.com/words-at-play/words-for-getting-angry-upset</t>
  </si>
  <si>
    <t>East Coast</t>
  </si>
  <si>
    <t>Traumatized brains seeking to fight dehumanizing and demoralizing systems to survive and heal while telling our stories</t>
  </si>
  <si>
    <t>http://terrisnook.wordpress.com</t>
  </si>
  <si>
    <t>Lynn</t>
  </si>
  <si>
    <t>My first DNS at parkrun. Slipped twice on ice walking over and began to feel overwhelmed and panic about even trotting around. Decided to volunteer instead. Thank you @Gravesparkrun for adding in another marshal at last minute #loveparkrun #community #running #mentalhealth</t>
  </si>
  <si>
    <t>Runs a bit, writes a bit &amp; writes about running. Passionate about #running #therapy. SW/Trainer/Counsellor/Writer. Marathon training when not doing above</t>
  </si>
  <si>
    <t>https://lmfindlaycounsellingandtraining.wordpress.com</t>
  </si>
  <si>
    <t>David Metzner</t>
  </si>
  <si>
    <t>Hollywood and Aspergers Syndrome:  #autism #ASD #Aspergers #mentalhealth</t>
  </si>
  <si>
    <t>http://huff.to/16HSCkf</t>
  </si>
  <si>
    <t>Clinical psychologist in private practice. NYU graduate. Lecturer at Hunter college.</t>
  </si>
  <si>
    <t>http://drmetzner.com/</t>
  </si>
  <si>
    <t>Susan Fox</t>
  </si>
  <si>
    <t>Troubadours Sailing Hibiscus Seas: A Father's Love Letter to HIs Aborted Child  #Sadness of the Choiceless #mentalhealth</t>
  </si>
  <si>
    <t>https://christsfaithfulwitness.blogspot.co.at/2018/01/forgotten-fathers-waiting-room-men-in_16.html#.Wskqty97FMM</t>
  </si>
  <si>
    <t>https://pbs.twimg.com/media/EOmTIWsWAAUNROp.jpg</t>
  </si>
  <si>
    <t>Austria</t>
  </si>
  <si>
    <t>Christ’sFaithfulWitness: Married #American #Catholic #Blogger #Evangelist #Poet, ex-newspaper reporter, Student, Insidious Foreign #Prolife Influence</t>
  </si>
  <si>
    <t>http://christsfaithfulwitness.blogspot.com</t>
  </si>
  <si>
    <t>The Crazy Life Pod</t>
  </si>
  <si>
    <t>The Crazy Life 239 - How to Ask for What You Want or Need -  share/subscribe #mentalhealth</t>
  </si>
  <si>
    <t>https://buff.ly/2tq51L2</t>
  </si>
  <si>
    <t>https://pbs.twimg.com/media/EOmTE0tUUAUGM4I.jpg</t>
  </si>
  <si>
    <t>The Crazy Life is a podcast about mental health and mental illness, hosted by Gen, Bryan, and Henno. They discuss their journey and hopefully make you laugh.</t>
  </si>
  <si>
    <t>http://thecrazylifepodcast.weebly.com</t>
  </si>
  <si>
    <t>Chris Skoyles</t>
  </si>
  <si>
    <t>Quitting Smoking? Please be KIND To Yourself  #quitsmoking #stopsmoking #health #selfcare #SelfCareSaturday #kindness #mentalhealth #addiction</t>
  </si>
  <si>
    <t>https://www.youtube.com/watch?v=z-m6eHz8IxU&amp;t=8s</t>
  </si>
  <si>
    <t>England</t>
  </si>
  <si>
    <t>Level 4 counselling student. I talk about #addiction #depression and #quittingsmoking on YouTube and spend most of my time outdoors running and mountain biking</t>
  </si>
  <si>
    <t>https://www.youtube.com/channel/UCJTp4GjLWa5PN1FsK18V8pQ</t>
  </si>
  <si>
    <t>Star of Life Project</t>
  </si>
  <si>
    <t>Come out to our brand new initiative Mental Health Week to raise awareness for genitalia health and prepare students for the stressful exam season. Every day is a new amazing activity to help all students be more successful. #Mentalhealth #staroflife #medical</t>
  </si>
  <si>
    <t>https://pbs.twimg.com/media/EOmS0lXUUAAfRoe.jpg</t>
  </si>
  <si>
    <t>Our Mission: To create a world where no child is left without proper access to healthcare</t>
  </si>
  <si>
    <t>https://staroflife.ca/</t>
  </si>
  <si>
    <t>Mindset Matters</t>
  </si>
  <si>
    <t>How to make good decisions.  #bbcworklife #higherorderthinking #lifedecisions #bbc #awareliving #mindfulness #personalgrowth #personaldevelopment #professionaldevelopment #professionalgrowth #careerchoices #lifechoices #mentalhealth #MentalFocus</t>
  </si>
  <si>
    <t>https://www.bbc.com/worklife/article/20180105-an-illustrated-guide-to-making-better-decisions</t>
  </si>
  <si>
    <t>Things like how to rewire your brain, tips on higher-order thinking, documented science to support it, and my first-hand experience as a crazy person.</t>
  </si>
  <si>
    <t>Excited to share the latest addition to my #etsy shop: A Year of Living: 52 Weeks of Reflection, #journal #reflection #selfcare #blankbook #giftforfriend #mentalhealth #selflove #diary #couponcode #sale NEWITEM04</t>
  </si>
  <si>
    <t>https://etsy.me/38iuVyZ</t>
  </si>
  <si>
    <t>Miadiani</t>
  </si>
  <si>
    <t>Just like you would not leave a broken leg without attention, you should not leave an emotional injury unattended.✨ #mentalhealth</t>
  </si>
  <si>
    <t>EWU’22|Angel G.|OG ⚓️💜</t>
  </si>
  <si>
    <t>Free to Download from the Emotional Resilience Pages in the  Library Despair is often the result of a build up of emotions over time and we then reach a breaking point Please use the resources in the Library to Help #MentalHealth #MentalHealthMatters</t>
  </si>
  <si>
    <t>https://pbs.twimg.com/media/EOmR_IKUUAAnzLU.jpg</t>
  </si>
  <si>
    <t>Teamsters Local 362</t>
  </si>
  <si>
    <t>How to manage and support an employee with depression  #mentalhealth #canlab</t>
  </si>
  <si>
    <t>http://ow.ly/aaVJ30q8J8L</t>
  </si>
  <si>
    <t>Alberta, Canada</t>
  </si>
  <si>
    <t>General Teamsters Local Union No.362</t>
  </si>
  <si>
    <t>http://www.teamsters362.com</t>
  </si>
  <si>
    <t>For someone with #mentalhealth to still have to fight to have the energy to get an answer for this is draining #immigration #help #MentalHealthAwareness #pleaseanswer #government</t>
  </si>
  <si>
    <t>Parents' Voice</t>
  </si>
  <si>
    <t>Please tell all youngsters about @YoungMindsUK's Crisis Messenger number. Anyone under 25 having a #mentalhealth crisis can text to get support, any time: . #Parents</t>
  </si>
  <si>
    <t>http://bit.ly/YMcrisis5</t>
  </si>
  <si>
    <t>Worcestershire, UK</t>
  </si>
  <si>
    <t>Informing &amp; empowering parents; connecting Worcestershire parents with people who can make a difference to families' lives. Tweets by Sue. #nottheonlyone</t>
  </si>
  <si>
    <t>http://www.parentsvoice.co.uk</t>
  </si>
  <si>
    <t>Dennis Simsek (The Anxiety Guy)</t>
  </si>
  <si>
    <t>Re-focus where your attention is going. #anxietyawareness #mentalhealth</t>
  </si>
  <si>
    <t>https://pbs.twimg.com/media/EOmRzYhVUAE9YVc.jpg</t>
  </si>
  <si>
    <t>Host of #TheAnxietyGuy Podcast &amp; The #HealthAnxiety Show | 2019 Top #Anxiety and #MentalHealth Blogger @healthline | Author | Speaker | Tea Addict</t>
  </si>
  <si>
    <t>https://www.theanxietyguy.com</t>
  </si>
  <si>
    <t>Why Mental Health Health Recognition and Wellness Matters At Work #MentalHealth</t>
  </si>
  <si>
    <t>https://link.medium.com/B2tzyhZIFU</t>
  </si>
  <si>
    <t>Yale Pediatrics</t>
  </si>
  <si>
    <t>#MentalHealth in America: How we've improved and where we need to do better  via @NBCNewsBETTER</t>
  </si>
  <si>
    <t>https://www.nbcnews.com/better/lifestyle/mental-health-how-we-ve-improved-where-we-need-do-ncna1108721</t>
  </si>
  <si>
    <t>New Haven, CT</t>
  </si>
  <si>
    <t>The Department of #Pediatrics at the Yale School of Medicine is committed to transforming the health and well-being of children and adolescents.</t>
  </si>
  <si>
    <t>https://medicine.yale.edu/pediatrics/</t>
  </si>
  <si>
    <t>VA School Counselors</t>
  </si>
  <si>
    <t>And more: VSCA Legislative Day! #LowerSchoolCounselorRatios #MentalHealth #Equity #CollegeCareerReady #AccessAchievementForAll @GovernorVA @VASecofEdu @JennMcClellanVA @VVforDelegate @mikemullin4VA @JeffMBourne @DeloresLMcQuinn @DelRozTyler @SenatorLocke @SenLouiseLucas</t>
  </si>
  <si>
    <t>https://pbs.twimg.com/media/EOmRbbLU0AA0S1t.jpg</t>
  </si>
  <si>
    <t>Virginia</t>
  </si>
  <si>
    <t>The official twitter feed of the Virginia School Counselor Association (VSCA) #schoolcounselor #sccrowd</t>
  </si>
  <si>
    <t>http://www.vsca.org</t>
  </si>
  <si>
    <t>More pics: VSCA Legislative Day! #LowerSchoolCounselorRatios #MentalHealth #Equity #CollegeCareerReady #AccessAchievementForAll @GovernorVA @VASecofEdu @JennMcClellanVA @VVforDelegate @mikemullin4VA @JeffMBourne @DeloresLMcQuinn @DelRozTyler @SenatorLocke @SenLouiseLucas</t>
  </si>
  <si>
    <t>https://pbs.twimg.com/media/EOmRME6X0AYf_1_.jpg</t>
  </si>
  <si>
    <t>Brandon Edwards😍🕖🌹🔺🌈🤣🍆🍑📚☮🌏🌎🌍</t>
  </si>
  <si>
    <t>#mentalhealth | #depressionfeelslike Mood swings are getting worse. Felt okay until just now: suddenly a shadow covered me. My emotions dropped, turning my point-of-view negative. And my internal monologue is gaining negative momentum! Tired of feeling tormented! Logging off.</t>
  </si>
  <si>
    <t>Lily, KY</t>
  </si>
  <si>
    <t>📖 of Milos:🧢 #comedy #writer says, ''Twitter sucks!''👁❤U2Scotty #spiritual #LGBTQ #genius IG/FB: slickoboy04 TikTok: izzy_slick #karaoke #Bernie2020</t>
  </si>
  <si>
    <t>https://youtu.be/q8HET2XBayk</t>
  </si>
  <si>
    <t>// Stop the Self-Sabotage — 5 Ways to Stay Strong // #writing about how to avoid self-made problems -- live stronger and free posted on .@Medium  #selfimprovement #health #lifehacks #life #mentalhealth #psychology #mindhealth #wellness #wisdom</t>
  </si>
  <si>
    <t>https://link.medium.com/bZsj5Bamf3</t>
  </si>
  <si>
    <t>Dr. Russell Hyken</t>
  </si>
  <si>
    <t>Where does #Overthinking leave you? #MentalHealth #Health #PhysicalHealth #HealthyHabits #Processing #Clarity #Kindness #Friendship #Family #Relationships #WorkLifeBalance</t>
  </si>
  <si>
    <t>http://ow.ly/5TkT50xYXYW</t>
  </si>
  <si>
    <t>St. Louis, MO</t>
  </si>
  <si>
    <t>Dr. Hyken specializes in residential therapeutic placements, ADHD/psychoeducational evaluations, and individual therapy for teens and their families.</t>
  </si>
  <si>
    <t>http://www.ed-psy.com</t>
  </si>
  <si>
    <t>Improving Your Child’s Executive Functioning:  #psychology #mentalhealth #parenting #adhd</t>
  </si>
  <si>
    <t>http://psy.pub/1CZMPDR</t>
  </si>
  <si>
    <t>Do you know the signs of Bipolar Disorder?  #mentalhealth #mentalillness</t>
  </si>
  <si>
    <t>http://psy.pub/1kbPf6i</t>
  </si>
  <si>
    <t>Arlan - Light-bearer, sword-arm.</t>
  </si>
  <si>
    <t>Changes are continuous, and not always pleasant. Another tough choice to make today as my beloved companion is about to take a holiday with friends elsewhere, for his benefit as much as mine. #toughchoices #mentalhealth #grieving</t>
  </si>
  <si>
    <t>https://pbs.twimg.com/media/EOmQh2DU4AEpocN.jpg</t>
  </si>
  <si>
    <t>SI NZ or in transit.</t>
  </si>
  <si>
    <t>Listener. Companion. Healer. Word-crafter. Surviving, one day at a time. Trust no-one. Lose nothing. Friend/ Scribe to @PolluxOf</t>
  </si>
  <si>
    <t>Sense And Senselessness</t>
  </si>
  <si>
    <t>Just recorded our episode about the movies that we identify with. What is your movie? #anxiety #podcast #PodernFamily #anxietypod #mentalhealth #SaturdayVibes #Podbean #podchaser</t>
  </si>
  <si>
    <t>San Antonio, TX</t>
  </si>
  <si>
    <t>Two gals looking at everyday life through the lens of mental illness. We are here to keep the conversation going.</t>
  </si>
  <si>
    <t>https://senseandsenselessness.podbean.com/</t>
  </si>
  <si>
    <t>Loud Mouth Brown Girl</t>
  </si>
  <si>
    <t>One weight at a time...#bloggerstribe #TRJForBloggers #bloggingbeesrt #theclqrt @lovingblogs#beechat #MentalHealthBlogs #MentalHealth #RapeSurvivors #Survivor #SexAbuse #MondayBlogs #teacupclub #influencerrt @TheBloggersPost</t>
  </si>
  <si>
    <t>http://loudmouthbrowngirl.com/2020/01/18/one-weight-at-a-time/</t>
  </si>
  <si>
    <t>https://pbs.twimg.com/media/EOmQY-VUUAAW3FF.jpg</t>
  </si>
  <si>
    <t>Surrey, British Columbia</t>
  </si>
  <si>
    <t>I am an Architect of Worlds, A Shifter of Realities, and quite possibly, crazy. #CSA Survivor, Feminist. One half of the #Afterabusechat founding team. NO DM's</t>
  </si>
  <si>
    <t>http://linktr.ee/DevonJhall</t>
  </si>
  <si>
    <t>Black Mamba 🐍</t>
  </si>
  <si>
    <t>Anyone else on antidepressants that feel comfortable talking about it, can u dm me I have a couple questions on how u found the right combination #mentalhealth #antidepressants</t>
  </si>
  <si>
    <t>♎️ 🏳️‍🌈 Are you in the mafia?</t>
  </si>
  <si>
    <t>Rich Perry</t>
  </si>
  <si>
    <t>Let's discuss your self-talk. You know, the thoughts you think and the words you say to/about yourself. Are you your biggest cheerleader or your worst enemy? #mentalhealth |</t>
  </si>
  <si>
    <t>http://tobtr.com/11135389</t>
  </si>
  <si>
    <t>Mindset &amp; Strategy Coach to Influencers 👊🏼 Int’l #1 Best Selling Author of Bankroll Your Mind 📖 FREE RockStar Influencer 25-Point Checklist &amp; Training ⬇️</t>
  </si>
  <si>
    <t>https://www.thepathofme.com/</t>
  </si>
  <si>
    <t>HMtoro🇹🇿</t>
  </si>
  <si>
    <t>By tackling #MentalHealth we’re harnessing the #PowerTo make a positive impact on the world. Thanks @BofA_News for keeping me informed on #WEF20. #Famasia #UHC #WHO @Famasia1</t>
  </si>
  <si>
    <t>Dar es salaam,Tanzania</t>
  </si>
  <si>
    <t>Pharmacist in making💉 💊 | Interested in Antimicrobial Resistant and Public health🦠❌ | Member of BBG_Company @BornBbg💚 🏖 | @Arsenal Die Hard fan⭕〽️|</t>
  </si>
  <si>
    <t>Daniel E. Dawes</t>
  </si>
  <si>
    <t>Thank you @NAMIMinnesota for including #150YearsofObamaCare to raise awareness of critical issues that are under-addressed or unaddressed in #mentalhealth policy. Thank you for your tireless advocacy and leadership in advancing mental health equity. RT @NAMIMinnesota: @DanielEDawes I am teaching mental health policy at the U this semester and have included your book as an option to read!</t>
  </si>
  <si>
    <t>https://twitter.com/namiminnesota/status/1218602995832590336</t>
  </si>
  <si>
    <t>Atlanta, GA</t>
  </si>
  <si>
    <t>Advocate | Speaker| Author | Scholar|#HealthEquity #150YearsofObamaCare #ThePoliticalDeterminantsofHealth Views are my own.</t>
  </si>
  <si>
    <t>http://www.danieledawes.com</t>
  </si>
  <si>
    <t>HouseMusicRadio.ca</t>
  </si>
  <si>
    <t>You ALL need to be here!! JUNE 2020 Toronto House Music Festival  #THMF2020 #housemusic #deephouse #soulfulhouse #chicagohouse #jackinhouse #afrohouse #discohouse #music #festival #djs #vibes #mentalhealth #awareness #Toronto</t>
  </si>
  <si>
    <t>https://www.torontohousemusicfestival.com</t>
  </si>
  <si>
    <t>..:: Multi-Genre Open Format &amp; House DJ ::.. http://bit.ly/1JlwXdX ..:: Music Director of HouseMusicRadio - BE HEARD! http://www.housemusicradio.ca</t>
  </si>
  <si>
    <t>http://www.djdavelive.com</t>
  </si>
  <si>
    <t>Brandon Newman</t>
  </si>
  <si>
    <t>I think I might I need to learn the words “I do mind” or “I do care” #boundaries #mentalhealth</t>
  </si>
  <si>
    <t>Bowling Green, KY</t>
  </si>
  <si>
    <t>Single black female addicted to retail.</t>
  </si>
  <si>
    <t>GERALD SUPERSTAR MCGEE</t>
  </si>
  <si>
    <t>Facebook does not have a program or algorithm to help people with mental illness within their site. I am upset about the bullying treatment they show to the mentally ill! #facebook #instagram #mentalhealth</t>
  </si>
  <si>
    <t>REPARATION, THEY BUY PRISONERS OF WAR AND CRIMINALS, THEY CAME BACK AND TOOK OUR KINGS AND QUEENS! TAX EXEMPT DOING FREE EDUCATION AND CRIMINALIZING RACISM NOW!</t>
  </si>
  <si>
    <t>https://www.linkedin.com/in/gerald-mcgee-61590816</t>
  </si>
  <si>
    <t>Switch Up</t>
  </si>
  <si>
    <t>Train your mind to be stronger than your emotions. Having self-control will get you further than constantly reacting to everything that’s trying to test your patience. Center yourself and remain calm in difficult or challenging situations. #MentalWellbeing #mentalhealth</t>
  </si>
  <si>
    <t>Nottingham</t>
  </si>
  <si>
    <t>We inspire young people and their communities to reach their full potential through Sport, mentoring and personal development.</t>
  </si>
  <si>
    <t>http://www.switch-up.org.uk</t>
  </si>
  <si>
    <t>I finally realized that being grateful to my body was key to giving more love to myself.#houston #nonprofitchat #mentalhealth #mindfulness</t>
  </si>
  <si>
    <t>Allan Beveridge</t>
  </si>
  <si>
    <t>There is no #freedom when we cling to old hurts and pains. #LetitGo . #awareness #growth #mentalhealth #selfawareness #motivation #mindfulness #SaturdayMotivation #ThinkBIGSundayWithMarsha</t>
  </si>
  <si>
    <t>https://pbs.twimg.com/media/EOmO5f9VAAAktod.jpg</t>
  </si>
  <si>
    <t>Edmonton, Canada</t>
  </si>
  <si>
    <t>I have been involved in, taught and written about personal, spiritual and awareness development for over 40 years. My goal to assist those who seek...</t>
  </si>
  <si>
    <t>http://TheTwinPowers.com</t>
  </si>
  <si>
    <t>Mary Beth Miotto MD MPH</t>
  </si>
  <si>
    <t>Primary care docs are often the best professionals to initiate care for #mentalhealth issues. Don’t increase inequity by limiting #depression treatment to psychiatrists. Thx ⁦@RealDoctorMike⁩. And quoting ⁦@DrCJohns⁩ was brilliant.</t>
  </si>
  <si>
    <t>https://youtu.be/FudoiSkcTv8</t>
  </si>
  <si>
    <t>Massachusetts, USA</t>
  </si>
  <si>
    <t>Pediatrician &amp; public health advocate. Save lives 1 at a time AND millions at a time. Unabashedly pro-kid.#Tweetiatrician #PDSA #PutKids1st #VaccinesSaveLives</t>
  </si>
  <si>
    <t>theshamrockpixie</t>
  </si>
  <si>
    <t>Mental Health Chat with Open Panel Ep 3  #mentalhealth #MentalHealthAwareness #MentalHealthMatters #bipolardisorder #bipolar</t>
  </si>
  <si>
    <t>https://youtu.be/eFAQxGt_vY8</t>
  </si>
  <si>
    <t>☘️☘️☘️☘️☘️☘️☘️☘️☘️</t>
  </si>
  <si>
    <t>http://www.theshamrockpixie.com</t>
  </si>
  <si>
    <t>Alexander Kim</t>
  </si>
  <si>
    <t>A SILENT EPIDEMIC: Our public #schools are struggling to handle millions of #students with #mentalillness problems. #Mentalhealth #Education #lep #psychology Here’s why.</t>
  </si>
  <si>
    <t>http://apps.npr.org/mental-health/</t>
  </si>
  <si>
    <t>U.S.A.</t>
  </si>
  <si>
    <t>Media &amp; Communications | Community &amp; Government Relations | Diversity &amp; Inclusion Consultant | Entrepreneur</t>
  </si>
  <si>
    <t>http://www.3KingsPA.com</t>
  </si>
  <si>
    <t>Linda Warrior</t>
  </si>
  <si>
    <t>#Repost @theblackdetour ・・・ Do you agree? Why or why not? - - #QuestionOfTheDay #mentalhealth #mentalhealthawareness #debate #blackmentalhealth #BlackAmerica #blackboyjoy #mentalhealthcheckin #blacktwitter #Socialcomentary #blackprofessionals #social…</t>
  </si>
  <si>
    <t>https://ift.tt/2G5kF1b</t>
  </si>
  <si>
    <t>https://pbs.twimg.com/media/EOmOvxKX4AA4OS2.jpg</t>
  </si>
  <si>
    <t>Warrior. Seeker. Yoga Teacher. Chef. I choose Wellness.</t>
  </si>
  <si>
    <t>http://lindawellnesswarrior.com</t>
  </si>
  <si>
    <t>🐥Chickee_Nikki🐥</t>
  </si>
  <si>
    <t>#MentalHealth been all over the place of late. Wish I knew what would solve it, I think I do actually know, back to a shed load of upheaval again. #JoinIn</t>
  </si>
  <si>
    <t>#FMS #CFS #HMS #EDS #RLS #IBS sufferer, in constant chronic pain for the last 2 decades. Belle The Bulldogs Mummy 🐶 Looking for kind individuals.</t>
  </si>
  <si>
    <t>http://thetestingtrio.co.uk</t>
  </si>
  <si>
    <t>Arsenio Buck</t>
  </si>
  <si>
    <t>📣 New Podcast! "Self-healing &amp; Forgiveness | Adriana Andelkovic" on @Spreaker #anxiety #apology #depression #forgiveness #grateful #healing #intuition #intuitive #mentalhealth #suicide #thankful</t>
  </si>
  <si>
    <t>https://www.spreaker.com/user/thearseniobuckshow/adriana-audio?autoplay=1</t>
  </si>
  <si>
    <t>Bangkok, Thailand</t>
  </si>
  <si>
    <t>5x Spartan, coach, language trainer, and writer living in Bangkok, Thailand. -Podcast: https://itunes.apple.com/us/podcast/the-arsenio-buck-show/id1181794790</t>
  </si>
  <si>
    <t>http://thearseniobuckshow.com</t>
  </si>
  <si>
    <t>What Is It Like to #HearVoices in #DID? ||  == #mentalhealth #hearingvoices #dissociativedisorders #mhsm #mhchat</t>
  </si>
  <si>
    <t>https://bit.ly/35YNYNr</t>
  </si>
  <si>
    <t>https://pbs.twimg.com/media/EOmOgLXXUAYg-YY.jpg</t>
  </si>
  <si>
    <t>PSI Perinatal SIG</t>
  </si>
  <si>
    <t>#Postnatal #depression symptoms: 4 women on their experiences #PIMH #perinatal #infant #mentalhealth #pregnancy #postnatal #motherhood #infancy</t>
  </si>
  <si>
    <t>https://www.stylist.co.uk/long-reads/signs-of-post-natal-depression-in-mums-nhs-postpartum-stories/195244</t>
  </si>
  <si>
    <t>The official account for the Psychological Society of Ireland's Special Interest Group in Perinatal and Infant Mental Health. Follow/RT ≠ endorsement.</t>
  </si>
  <si>
    <t>http://www.psychologicalsociety.ie/groups/Special-Interest-Group-in-Perinatal-and-Infant-Mental-Health</t>
  </si>
  <si>
    <t>MHA in Orange County</t>
  </si>
  <si>
    <t>It's important to get out even when the weather is bad, but safety first! Be sure to wear proper footwear and proceed with caution. #safetyfirst #MHAinOC #winterwellness #mentalhealth</t>
  </si>
  <si>
    <t>https://pbs.twimg.com/media/EOmORQ9UEAAqGzN.jpg</t>
  </si>
  <si>
    <t>Middletown, New York</t>
  </si>
  <si>
    <t>MHA in O.C., Inc. seeks to promote the positive mental health and emoitional well-being of Orange County residents.</t>
  </si>
  <si>
    <t>http://www.mhaorangeny.com</t>
  </si>
  <si>
    <t>The Village Family</t>
  </si>
  <si>
    <t>If you search #PinterestWellBeing in the Pinterest app, it provides you with different resource activities for emotional health. Although this does not replace a professional, it can be a great tool! #MentalHealth</t>
  </si>
  <si>
    <t>pic.twitter.com/wOtqHgQv58</t>
  </si>
  <si>
    <t>North Dakota/Minnesota</t>
  </si>
  <si>
    <t>Behavioral health services that change lives in 15 communities across ND and MN. @UnitedWay Community Partner. http://thevillagefamily.org</t>
  </si>
  <si>
    <t>http://www.thevillagefamily.org</t>
  </si>
  <si>
    <t>AnxZenity Podcast</t>
  </si>
  <si>
    <t>Just released episode 2 of season 2! Attacking Student Loan Debt and How The Wim Hof Method Can Reduce Anxiety  #WimHof #Anxiety #relief #BreatheMotherFucker #StudentLoans #mentalhealth</t>
  </si>
  <si>
    <t>https://open.spotify.com/episode/0wjDPNsnOCwzJhOoccI3qD?si=y5frGT35QnqAPfKadLBt1g</t>
  </si>
  <si>
    <t>pic.twitter.com/NN6DAm3nFP</t>
  </si>
  <si>
    <t>One mans battle with anxiety / panic disorder, and a drive to help others. https://spoti.fi/2P8a0tX http://https://anchor.fm/anxzenity</t>
  </si>
  <si>
    <t>https://itunes.apple.com/us/podcast/anxzenity-podcast/id1450065642?mt=2</t>
  </si>
  <si>
    <t>ndpthepoetress (™)</t>
  </si>
  <si>
    <t>May you find #rest May the #fears and the #feelings and the #voices and the #memories that tie you so in knots release And you find yourself in a soft place #Art/words by #KristinNoelle #MentalHealth #MentalHealthMatters #YouMatter</t>
  </si>
  <si>
    <t>https://pbs.twimg.com/media/EOmNt5EXUAAv76o.jpg</t>
  </si>
  <si>
    <t>IDEAS® Inclusion Diversity Equality Acceptance Solidarity. Saving Humanities 1 Human 1 Artwork 1 Poem 1 Quote 1 Song @ a time. http://facebook.com/seetheotherpeople</t>
  </si>
  <si>
    <t>http://www.bindingink.blogspot.com/</t>
  </si>
  <si>
    <t>The Essence of #Motivation -  #mentalhealth #recovery #treatment #awareness #psychology #psychologist #therapy #therapist #dbt #cbt #bpd #borderline #bipolar #depression #anxiety #ptsd #trauma #wellness #mindfulness</t>
  </si>
  <si>
    <t>https://bit.ly/38gzcD0</t>
  </si>
  <si>
    <t>Faith🌻</t>
  </si>
  <si>
    <t>trauma is underestimated. certain dates of the year make me hide away &amp; stay in bed, remembering how terribly something that happened on that date effected my life. today is one of those dates but I am forcing myself to do SOMETHING enjoyable tonight. #recovery #mentalhealth</t>
  </si>
  <si>
    <t>Dairy and beef farmer 🐮 Insta ➡️ faith_crispell</t>
  </si>
  <si>
    <t>TMJ-BRL Nursing Jobs</t>
  </si>
  <si>
    <t>Nowhere in Vermont will you find so many opportunities with one employer. At the State of Vermont you’ll find jobs in dozens of fields. Click here to learn more and apply in #Berlin, VT to join our team!  #mentalhealth</t>
  </si>
  <si>
    <t>http://bit.ly/2RyuBWp</t>
  </si>
  <si>
    <t>Burlington, VT</t>
  </si>
  <si>
    <t>Follow this account for geo-targeted Healthcare-Nursing job tweets in Burlington, VT. Need help? Tweet us at @CareerArc!</t>
  </si>
  <si>
    <t>http://bit.ly/2Kakxxl</t>
  </si>
  <si>
    <t>Kayla</t>
  </si>
  <si>
    <t>That time of night when my meds wear off and I suddenly want to slit my wrists #depression #intrusivethoughts #myfuckingbrain #mentalhealth</t>
  </si>
  <si>
    <t>One university student rambling into the void.</t>
  </si>
  <si>
    <t>Jessica Carlson, NBCT</t>
  </si>
  <si>
    <t>There’s not just a problem with how society looks at #mentalillness &amp; disorders. There’s also a problem with racial bias &amp;amp; how people of color are diagnosed &amp;amp; treated differently than whites #MentalHealth RT @blkgirllostkeys: This part. I got diagnosed with ADHD for the first time at 7, it took until 25 to get treatment because nobody would explain what it meant to my mother and the only thing it looked like to her was that an overwhelming amount of black children were being medicated.</t>
  </si>
  <si>
    <t>https://twitter.com/blkgirllostkeys/status/1218555850140332038
https://twitter.com/kate_piliero/status/1218555331459969024</t>
  </si>
  <si>
    <t>InstructionalCoach @GMSSocial / @TeachPlusIN TeachingPolicyFellowAlumni / AdjunctFaculty @PurdueFW / EduPolicyAdvocate / WorldTraveler / MentalHealthAdvocate /</t>
  </si>
  <si>
    <t>TLA</t>
  </si>
  <si>
    <t>Athletes have a clear vision and goals which keeps them focused and motivated 🏊 🤺 Process goals are equally important: - enjoy each day - learn from what doesn't work - try new things - create a good support network #happy #mentalhealth #stress #anxiety #motivationalspeaker</t>
  </si>
  <si>
    <t>https://pbs.twimg.com/media/EOmNWiYX0AA4waQ.jpg</t>
  </si>
  <si>
    <t xml:space="preserve">Made in Britain </t>
  </si>
  <si>
    <t>Bringing performance psychology to the masses to make us champions of lifestyle &amp; business. Welcome to the revolution. A @virginstartup business</t>
  </si>
  <si>
    <t>https://mailchi.mp/ccd5ec8b547b/5stepstosuccess</t>
  </si>
  <si>
    <t>Sarah Wright</t>
  </si>
  <si>
    <t>“The Dumsches clung to family life as they’d known it, taking Aaron to church, to the theater, on vacations. Disaster followed everywhere.” TY, ⁦@AbigailDJ⁩, for this all too familiar #mentalhealth story. ⁦@AustenRiggs⁩ ⁦⁦@MassDMH⁩</t>
  </si>
  <si>
    <t>https://www.washingtonpost.com/magazine/2020/01/13/what-schizophrenia-does-families-why-mental-health-system-cant-keep-up/</t>
  </si>
  <si>
    <t>Social Work in Progress=Social Workers-at-Large</t>
  </si>
  <si>
    <t>http://www.socialworkinprogress.com</t>
  </si>
  <si>
    <t>How do you manage? | I Had a Panic Attack In Public — Here’s How I Got Through It #MentalHealth   #writing</t>
  </si>
  <si>
    <t>https://link.medium.com/FPfawea8HU</t>
  </si>
  <si>
    <t>Dr. Bryan Pearlman, EdD, LMSW (Whatever It Takes!)</t>
  </si>
  <si>
    <t>So important!  #seizetheawkward #mentalhealth</t>
  </si>
  <si>
    <t>https://seizetheawkward.org</t>
  </si>
  <si>
    <t>St Louis, MO</t>
  </si>
  <si>
    <t>PD Leader, Speaker (http://youtu.be/0I02E0XMcTg), Mental Health Therapist, Former Elem. Principal &amp; Author of “Whatever It Takes” (http://amzn.to/2SF7tHD) #MaslowBeforeBloom</t>
  </si>
  <si>
    <t>https://www.mostvaluablepd.com</t>
  </si>
  <si>
    <t>Work Wellness Ltd</t>
  </si>
  <si>
    <t>Getting ready for #BrewMonday! Make a difference, what better way than a cup of tea &amp; a chat ☕️ #MentalHealth #Samaritans #ChattyCafe @SolihullRadio @SolihullBID RT @samaritans: We're thrilled to be working with @PGtips for our #BrewMonday campaign. Say hi 👋 to our volunteers on Monday at stations across the UK on your commute and grab a free pair of teabags to have yourself a cuppa for you and a friend 💚</t>
  </si>
  <si>
    <t>https://twitter.com/samaritans/status/1218454984318169090
https://twitter.com/PGtips/status/1218216817929412608</t>
  </si>
  <si>
    <t>Solihull, England</t>
  </si>
  <si>
    <t>Qualified, specialist Occupational Health Clinicians supporting your business. Proactive wellbeing. Accredited MHFA training, QRISK Heart &amp; Mind Health Checks.</t>
  </si>
  <si>
    <t>http://www.workwellnessuk.co.uk</t>
  </si>
  <si>
    <t>Liz Greenaway</t>
  </si>
  <si>
    <t>Even though the #Globe article on psychiatrists makes sense of what an awful time of it myself and a loved one are having, I’m still reeling. So the takeaway is, move to Kingston? #Mentalhealth</t>
  </si>
  <si>
    <t>Edmonton Alberta</t>
  </si>
  <si>
    <t>I read, I nap and I dream of travel. But mostly I sell books and nap. Sometime solid gold dancer.</t>
  </si>
  <si>
    <t>Marie Willson</t>
  </si>
  <si>
    <t>A little stress motivates you to finish the day's #todolist. Too much stress is bad for you. #mentalhealth</t>
  </si>
  <si>
    <t>http://cpix.me/a/90246002</t>
  </si>
  <si>
    <t>https://pbs.twimg.com/media/EOmMyBUXkAcIeHF.jpg</t>
  </si>
  <si>
    <t>#HOUSEHUNTER406</t>
  </si>
  <si>
    <t>CMK</t>
  </si>
  <si>
    <t>My therapist thinks I should do stand-up, so that's something. #mentalhealth</t>
  </si>
  <si>
    <t>Hufflepuff Hermione with resting counselor face™ | she, her, hers</t>
  </si>
  <si>
    <t>http://betterthanaustralia.blogspot.com</t>
  </si>
  <si>
    <t>Jeh</t>
  </si>
  <si>
    <t>Why I Quit Marijuana  #mentalhealth #depression #addiction #outdoors #nature #marijuana</t>
  </si>
  <si>
    <t>https://youtu.be/V7TaMor-m5w</t>
  </si>
  <si>
    <t>Twitter account for The Nature Jeh: a channel about nature and talking about various life topics. https://www.youtube.com/channel/UCxMUPgjos_j4gvB_BVx0fXA</t>
  </si>
  <si>
    <t>Tanya J Peterson NCC</t>
  </si>
  <si>
    <t>Check it out to see how you can use #mindfulness to reduce your #anxiety  #selfhelp #bibliotherapy #mentalhealth</t>
  </si>
  <si>
    <t>https://amzn.to/2kkAQwQ</t>
  </si>
  <si>
    <t>https://pbs.twimg.com/media/EOmMQBNU0AA3XdZ.jpg</t>
  </si>
  <si>
    <t>Eugene, Oregon</t>
  </si>
  <si>
    <t>I'm the voice of Wellbeing&amp;Words. Through books and articles on http://HealthyPlace.com, I help people help themselves create wellbeing. Live your quality life!</t>
  </si>
  <si>
    <t>http://tanyajpeterson.com</t>
  </si>
  <si>
    <t>Hoda Fereydouni</t>
  </si>
  <si>
    <t>Life as a scientist.... are you agree with this article?  #Science #scientist #mentalhealth #stress #scientists_life</t>
  </si>
  <si>
    <t>https://www.nature.com/articles/d41586-020-00101-9?utm_source=fbk_nnc&amp;utm_medium=social&amp;utm_campaign=naturenews&amp;sf228357258=1</t>
  </si>
  <si>
    <t>Stockholm, Sweden</t>
  </si>
  <si>
    <t>Scientist🧬 @karolinskainst interesting in #Singlecell RNA seq &amp; #Multiomics |Professional distance Runner #MarathonRunner🏅</t>
  </si>
  <si>
    <t>https://ki.se/en/people/benfer</t>
  </si>
  <si>
    <t>Richard Teasdale</t>
  </si>
  <si>
    <t>Day 18 of #RedJanuary was a walk at Silverdale. A beautiful day always helps! #REDJanuary2020 #MentalHealth #Mind</t>
  </si>
  <si>
    <t>https://pbs.twimg.com/media/EOmMF-nUwAIJ5KW.jpg</t>
  </si>
  <si>
    <t>Lancaster, England</t>
  </si>
  <si>
    <t>Catholic, husband. KS4 Pastoral Support by day, run @alphacourse by night, passionate about Evangelisation, part of @MissionLancs</t>
  </si>
  <si>
    <t>NAMI Bucks County PA</t>
  </si>
  <si>
    <t>Team Captains and Sponsors are invited to join us for our NAMI Stride Kickoff at Maggio's Ballroom from 1-3pm on Sunday, March 1st! You must be a Team Captain or Sponsor to RSVP (by 2/10) here: . We don't just walk for #mentalhealth, we make STRIDES!</t>
  </si>
  <si>
    <t>https://namibuckspa.org/kickoff/</t>
  </si>
  <si>
    <t>https://pbs.twimg.com/media/EOmMFRrX0AUFFqA.jpg</t>
  </si>
  <si>
    <t>Bucks County, PA</t>
  </si>
  <si>
    <t>We are dedicated to improving the lives of individuals and families affected by mental illness through recovery-focused support, education and advocacy.</t>
  </si>
  <si>
    <t>http://www.namibucksstride.org</t>
  </si>
  <si>
    <t>After The Fall</t>
  </si>
  <si>
    <t>Trying to beat depression while knowing how farm animals are treated all around the world is not an easy task... #Vegan #fortheanimals #depression #mentalhealth</t>
  </si>
  <si>
    <t>follow me trying to get from rock bottom to the top!</t>
  </si>
  <si>
    <t>Eiffion and porcsha 🐶🇬🇧✊🤞</t>
  </si>
  <si>
    <t>WELL THATS A TURN UP FOR THE BOOKS 4K ON ONE PIN #mentalhealth RELATED ARTICLES ARE BECOMING POPULAR CHECK OUT OURS</t>
  </si>
  <si>
    <t>https://pbs.twimg.com/media/EOmLyjGUcAA3PMv.jpg</t>
  </si>
  <si>
    <t xml:space="preserve">england </t>
  </si>
  <si>
    <t>PTSD/OCD/EUPD #MentalHealth for 20 yrs award winning http://Collectibulldogs.com is @brightonmuseums linked and inspires others to chase their dreams 🐶❤️✊</t>
  </si>
  <si>
    <t>https://www.collectibulldogs.com</t>
  </si>
  <si>
    <t>On Mass Murderers  #mentalillness #mentalhealth</t>
  </si>
  <si>
    <t>http://bit.ly/1ZRrFQK</t>
  </si>
  <si>
    <t>Group Therapy: Introduction Video #stigma #mentalhealth #mentalillness</t>
  </si>
  <si>
    <t>https://www.youtube.com/watch?v=NPhADlJAUt4</t>
  </si>
  <si>
    <t>Linas Donela</t>
  </si>
  <si>
    <t>You probably won't, but you can try 😉💚 #garyveechallenge #Happiness #mentalhealth #workinghard #grind #KindnessDay #Kindness #dontforgettosmile #smile #blessed #LiveYourLife #MotivationalQuotes #SaturdayFeeling #SaturdayMotivation #SaturdayThoughts #SaturdayVibes</t>
  </si>
  <si>
    <t>Glasgow, Scotland</t>
  </si>
  <si>
    <t>Friendly people makes life much easier! Insta @cipas4u</t>
  </si>
  <si>
    <t>Kim Willis</t>
  </si>
  <si>
    <t>Looking forward to this event!! @CMHAWECB is grateful for the support &amp; it’s always a great time. Thanks @Burrowsdrums &amp;amp; @liuna625 for all that you do!! #goodtimecharly #mentalhealth RT @Burrowsdrums: Preliminary meetings begin this week for the 14th Annual 24 Hour Drum Marathon presented by @liuna625 ! Bands, duos, and solo artists, please contact Gary Demmans for your slot! May 22-24 at #GoodTimeCharly, for Mental Health Facilities in Windsor and Essex County</t>
  </si>
  <si>
    <t>https://twitter.com/burrowsdrums/status/1218570321755852800</t>
  </si>
  <si>
    <t>https://pbs.twimg.com/media/EOk7P06X4AAWXr-.jpg</t>
  </si>
  <si>
    <t>Director, Communications &amp; Mental Health Promotion, CMHA, Windsor-Essex, Love all things health &amp; wellness &amp; building community.</t>
  </si>
  <si>
    <t>http://windsoressex.cmha.ca</t>
  </si>
  <si>
    <t>Bill Rawls, MD</t>
  </si>
  <si>
    <t>Does diet influence #mentalhealth? Assessing the evidence in this review:</t>
  </si>
  <si>
    <t>http://ow.ly/UmQM50xRE0P</t>
  </si>
  <si>
    <t>Wilmington, NC</t>
  </si>
  <si>
    <t>Piecing together the puzzle of invisible illness after pulling myself out of a ten-year struggle with Chronic Lyme &amp; Fibromyalgia.</t>
  </si>
  <si>
    <t>https://rawlsmd.com/books/unlocking-lyme</t>
  </si>
  <si>
    <t>Dementia: Does heading a football cause the disease? #health #mentalhealth #healthcare #wellness #healthissues #care #goodhealth</t>
  </si>
  <si>
    <t>https://bhive.nectar.social/Rn5ZVQ</t>
  </si>
  <si>
    <t>If you are a #Medium reader or #writer... Check out my story about how I got into #mentalhealth. It's always strange how we end up on any path in life, but I'm glad I'm on this one.</t>
  </si>
  <si>
    <t>https://link.medium.com/n8Z1UBFmm3</t>
  </si>
  <si>
    <t>Ruthie Fudge (They/Them)</t>
  </si>
  <si>
    <t>Hi Twitfam and LGBTQ hivemind: what do you do to stop the loop of negative messages that you occasionally send yourself? My brain is playing a shitty mix tape and I need to eject it. #mentalhealth</t>
  </si>
  <si>
    <t>A rainbow stain in a Red state</t>
  </si>
  <si>
    <t>Fat 7 layer cake of NB, Ace-Trans awesomeness. A living Rorschach Test: you see one thing, someone sees something else, &amp; in reality I'm a gorgeous ink blot.</t>
  </si>
  <si>
    <t>Syphilis sees big bump in the region, says health unit #health #mentalhealth #healthcare #goodhealth #research #healthissues #wellness #medicine</t>
  </si>
  <si>
    <t>https://bhive.nectar.social/pk2veq</t>
  </si>
  <si>
    <t>Hey all! Here's a post you might have missed! Read about...."That One Time, Lisa Simpson Had The Blues."  #Depression #MentalHealth #Children</t>
  </si>
  <si>
    <t>https://www.lnk.xyz/BJA6d6RxL?aduc=ocFQJtY1579385550037</t>
  </si>
  <si>
    <t>Enlightenment is now live! on kickstarter</t>
  </si>
  <si>
    <t>FEEL ENLIGHTENMENT Kickstarter LiVe Link in bio #comics #comicbooks #mentalillness #mentalhealth #mentalhealthmatters #enlightenment #aristocracycomics #support #crowdfunding #crowdfundingcampaign #indie…</t>
  </si>
  <si>
    <t>https://www.instagram.com/p/B7ejBVcBcLl/?igshid=1rb3tv4wcje4</t>
  </si>
  <si>
    <t>https://www.kickstarter.com/projects/aristocracycomics/enlightenment-one-shot-psychological-horror-comic</t>
  </si>
  <si>
    <t>Ally Salama</t>
  </si>
  <si>
    <t>I had the honour of hosting @TanveerNaseer , Inc. Magazine's Top 100 Leadership &amp; Management Experts on our #podcast, #EmpathyAlwaysWins. As a #MentalHealth Ambassador, I learned that #empathy is the key to great leadership within any team/organization.</t>
  </si>
  <si>
    <t>https://podcasts.apple.com/ca/podcast/ep03-tanveer-naseer-making-leader-in-21st-century/</t>
  </si>
  <si>
    <t>https://pbs.twimg.com/media/EOmJ-7MUwAAKCEg.jpg</t>
  </si>
  <si>
    <t>worldwide</t>
  </si>
  <si>
    <t>Mental Health Ambassador | Former Pro-Athlete | Host of The World's Exclusive Youth Leadership Podcast on Empathy / Empathy Always Wins info@empower-mag.com</t>
  </si>
  <si>
    <t>Clay Center for Young Healthy Minds</t>
  </si>
  <si>
    <t>You may know how to care for your child when they're physically ill, but what can you do as a #parent when they're struggling with #anxiety? @TheWeek offers advice:  #mentalhealth</t>
  </si>
  <si>
    <t>https://theweek.com/articles/888213/anxiety-different-kids</t>
  </si>
  <si>
    <t>The Clay Center at Massachusetts General Hospital ~ shining light on #MentalHealth through education ~ #wecanmanagethis</t>
  </si>
  <si>
    <t>The Centre 4 Rational Emotive Behaviour Education</t>
  </si>
  <si>
    <t>#REBT The construction of #BrainBully It'll do your head in! #students #teaching #schools #counselling #mentalhealth #AlbertEllis</t>
  </si>
  <si>
    <t>http://rebtoz.blogspot.com/2018/01/the-construction-of-brain-bully-itll-do.html</t>
  </si>
  <si>
    <t>Mawson Lakes, South Australia</t>
  </si>
  <si>
    <t>Rational Emotive Behaviour Therapy GetZestEd! Kaurna land. Ozwegian</t>
  </si>
  <si>
    <t>http://www.rebtoz.blogspot.com</t>
  </si>
  <si>
    <t>Melissa C Martin</t>
  </si>
  <si>
    <t>Excellent course! One of the best I have taken in some time. #mentalhealth #santementale #ygk RT @CMHAKingston: We have two Mental Health First Aid Courses coming up in the next few months. To celebrate this new decade, it's only $40 to get certified! That's a savings of $160. Reserve your spot today by sending us an email. #ygk #MentalHealthMatters</t>
  </si>
  <si>
    <t>https://twitter.com/CMHAKingston/status/1218178663184764932</t>
  </si>
  <si>
    <t>https://pbs.twimg.com/media/EOSZ3bvXUAA4UFd.jpg</t>
  </si>
  <si>
    <t>1000 islands, Ontario, Canada</t>
  </si>
  <si>
    <t>#mental health wkr in #ygk #ESL/#French #teacher #bilingual #enseignante #Career expert for 17 yrs #military spouse🇨🇦🇲🇶❤️</t>
  </si>
  <si>
    <t>http://www.bit.ly/2FyTcq4</t>
  </si>
  <si>
    <t>Depressed Dad</t>
  </si>
  <si>
    <t>Had a relatively nice day today, still keep crying for no reason but went for a walk for the first time in years to clear the cobwebs. Had fun cooking dinner with my wife. #mentalhealth #depression</t>
  </si>
  <si>
    <t>40 something dad facing depression and possible failed marriage</t>
  </si>
  <si>
    <t>Jette Marcussen</t>
  </si>
  <si>
    <t>Present to you our newest research together with a great group of researchers @RhondaWilsonMHN @FrodeThuen @jclinnursing #nursing #nursingresearch #CancerResearch #mentalhealth #bereavement RT @jclinnursing: Double bereavement, mental health consequences and support needs of children and young adults ‐ when a divorced parent dies  via @jclinnursing #nursingresearch #nursing</t>
  </si>
  <si>
    <t>https://twitter.com/jclinnursing/status/1214863409185009665
http://twib.in/l/6MzLbgp4ddGE</t>
  </si>
  <si>
    <t>https://pbs.twimg.com/media/ENwP1RwXUAAutdk.jpg</t>
  </si>
  <si>
    <t>Odense, Denmark</t>
  </si>
  <si>
    <t>Ph.D.-student Ma Edu Psych, RN, Lecturer in Nursing</t>
  </si>
  <si>
    <t>kathy marie</t>
  </si>
  <si>
    <t>#PropagandaLive! Teaching girls to hate. #WomensMarchLA #WomensMarchNYC #WomensMarch2020 #WomensMarchDC #PinkPissyHats On Parade. #PlannedParenthood👉🏼#Haters of #BABY #Women. #Victimhood #Mentalhealth #TDS #KAG2020 #Trump2020 @RepMaxineWaters @RepKarenBass @SpeakerPelosi RT @PPact: It's starting to snow, but the energy is electric at Freedom Plaza. #WomensMarch2020</t>
  </si>
  <si>
    <t>https://twitter.com/ppact/status/1218567756989243399</t>
  </si>
  <si>
    <t>https://pbs.twimg.com/media/EOk4zTSX4AUcoEL.jpg</t>
  </si>
  <si>
    <t>SouthernCal</t>
  </si>
  <si>
    <t>I ♥Cal but leftists/Dems r trashing her. PCpolice,SanctuaryCities&amp; Climate Hucksters have shackled her &amp; left her severely(if not mortally)wounded🇺🇸#KAG</t>
  </si>
  <si>
    <t>Neil</t>
  </si>
  <si>
    <t>Ready for the @UltraChallenges London Winter Walk 42km Marathon tomorrow. This will contribute towards my #1000MindMiles in aid of @MindCharity *  * #Mind #1000MindMiles #mentalhealth #EndTheStigma #WalkSkinnyBoyWalk</t>
  </si>
  <si>
    <t>http://www.justgiving.com/fundraising/1000MindMiles</t>
  </si>
  <si>
    <t>https://pbs.twimg.com/media/EOmIwU_WAAYjvjK.jpg</t>
  </si>
  <si>
    <t>Here and There</t>
  </si>
  <si>
    <t>Celine Leahy🦄💗</t>
  </si>
  <si>
    <t>Any male participants willing to participate in an interview for my thesis that aims to explore their views on stigma around men with mental health issues? Pm if interested or if anyone knows of someone who might be!☺️ Limerick/Kerry area. #mentalhealth</t>
  </si>
  <si>
    <t>https://pbs.twimg.com/media/EOmIkeXUEAELoQz.jpg</t>
  </si>
  <si>
    <t>Kerry/Limerick</t>
  </si>
  <si>
    <t>http://vsco.co/celinel98</t>
  </si>
  <si>
    <t>Call for all new fathers to be routinely checked for post-natal depression  #mentalhealth</t>
  </si>
  <si>
    <t>https://news.sky.com/story/call-for-all-new-fathers-to-be-routinely-checked-for-post-natal-depression-11911277</t>
  </si>
  <si>
    <t>The Rock Spa</t>
  </si>
  <si>
    <t>Mental Health Benefits Of Floating  #mentalhealth #healthbenefits #floatingbenefits</t>
  </si>
  <si>
    <t>https://buff.ly/2P6IybP</t>
  </si>
  <si>
    <t>Kitchener ON Canada</t>
  </si>
  <si>
    <t>Floatation, Salt Therapy, Naturopathic medicine and energy healing - drug-free ways to beat stress and heal your body, mind and spirit!</t>
  </si>
  <si>
    <t>http://www.therockspa.com</t>
  </si>
  <si>
    <t>Ryan Painter (He/Him)</t>
  </si>
  <si>
    <t>Important @globeandmail piece today on access to #psychiatrists across the country. Shocking, but not surprising, how many of these grey areas (see NWT, Nunavut, North Sask/Man/Ont) are predominantly Indigenous/Inuit communities. #cdnpoli  #mentalhealth</t>
  </si>
  <si>
    <t>Lekwungen Territory</t>
  </si>
  <si>
    <t>🏫 School Trustee 💬 💪Mental Health - Anti-Stigma 🗯 🏘 Community Activist 📣 ✊ Social Justice 🏳️‍🌈 🙌 Progressive 🧡</t>
  </si>
  <si>
    <t>https://ryanpainter.nationbuilder.com/</t>
  </si>
  <si>
    <t>Why Do Some People Still Insist That You Can Over Come Anxiety Disorder With Fairy Dust? #MentalHealth cc:…   #blog</t>
  </si>
  <si>
    <t>https://twitter.com/i/web/status/1102490357416321024</t>
  </si>
  <si>
    <t>MercerCanada</t>
  </si>
  <si>
    <t>What does your #mentalhealth benefits package look like? Learn how to support employee well-being with these 5 considerations:  #health</t>
  </si>
  <si>
    <t>http://bit.ly/2ugiRzv</t>
  </si>
  <si>
    <t>https://pbs.twimg.com/media/EOmHpPkVAAAMp1Y.jpg</t>
  </si>
  <si>
    <t>Mercer Canada is a consulting leader in talent, health, retirement, and investments. Advancing the health, wealth and careers of 110 million people every day.</t>
  </si>
  <si>
    <t>http://www.mercer.ca</t>
  </si>
  <si>
    <t>justtwomates</t>
  </si>
  <si>
    <t>Phone, SMS, in-person, online video. Whatever way you chose to have a chat with us is not what matters. What really matters is the fact that you take the really strong step to reach out and just have a chat with us. What matters to you? #talk #sport #outdoors #life #mentalhealth</t>
  </si>
  <si>
    <t>https://pbs.twimg.com/media/EOmHoBHVAAI3zqL.png</t>
  </si>
  <si>
    <t>Brisbane, Queensland</t>
  </si>
  <si>
    <t>It's just a chat...</t>
  </si>
  <si>
    <t>http://justtwomates.life</t>
  </si>
  <si>
    <t>John Mendoza</t>
  </si>
  <si>
    <t>Royal Commissions have become the default option for poor government to kick the ball out of bounds. In #Mentalhealth over 130 inquiries since 1992. Same issues, same recommendations. #ScottyfromMarketing ⁦@vanOnselenP⁩ ⁦@SabraLane⁩</t>
  </si>
  <si>
    <t>https://thenewdaily.com.au/news/national/2020/01/18/countless-bushfire-inquiries/</t>
  </si>
  <si>
    <t>Sunshine Coast, Queensland</t>
  </si>
  <si>
    <t>Director of ConNetica; Adj Prof Uni Sunshine Coast; Adj Asso Prof Brain &amp; Mind Uni Sydney. Mental Health, Suicide prevention. Ocean Guardian. Views are own</t>
  </si>
  <si>
    <t>http://www.connetica.com.au</t>
  </si>
  <si>
    <t>Maura Daley</t>
  </si>
  <si>
    <t>#Yoga and #MentalHealth: The Mental Benefits of Yoga |  ⁦@yogiapproved⁩</t>
  </si>
  <si>
    <t>http://YogiApproved.com
https://www.yogiapproved.com/health-wellness/yoga-and-mental-health/</t>
  </si>
  <si>
    <t>Chicago</t>
  </si>
  <si>
    <t>At the intersection of Social Impact, Strategic Engagement &amp; Cause Marketing.</t>
  </si>
  <si>
    <t>Signs of narcissism  #AnInconvenientRelative #mentalhealth #MentalHealthAwareness #EndTheStigma #NarcissisticBehaviour #narcissist #narcissism #redflags #therapy #mentalhealthblogger #blogger #writerscommunity #SaturdayVibes #saturdaynight #Saturday</t>
  </si>
  <si>
    <t>https://aninconvenientrelative.blogspot.com/2020/01/are-you-narcissist.html</t>
  </si>
  <si>
    <t>Interested in a job in #Fullerton, CA? Make Providence the next step in your career journey.  #mentalhealth</t>
  </si>
  <si>
    <t>http://bit.ly/38nVV0j</t>
  </si>
  <si>
    <t>trudi77</t>
  </si>
  <si>
    <t>I definitely needed to read this 💕 #mentalhealth #movingforward</t>
  </si>
  <si>
    <t>https://pbs.twimg.com/media/EOmHR1ZX4AAG5ne.jpg</t>
  </si>
  <si>
    <t>I prefer #dogs to people NHS staff Gloucester Royal hospital</t>
  </si>
  <si>
    <t>Nicole Taher🕊#FreeIran</t>
  </si>
  <si>
    <t>I just published: “Is Coercive Treatment Necessary or a Method of Mass Control?” by @nicoletaher #MassIncarceration #trauma #mentalhealth</t>
  </si>
  <si>
    <t>https://link.medium.com/vh4w09Dlm3</t>
  </si>
  <si>
    <t>Venice, Los Angeles</t>
  </si>
  <si>
    <t>Mindfulness Teacher, Psychotherapy Trainee, Writer. Art🎨Music🎹Eco🌲x Mental Health.🌍🌊Conscious, Nonviolence. Social Justice. Previous: 10yrs music industry.</t>
  </si>
  <si>
    <t>Online #Mindfulness Therapy over Skype. Learn how to apply mindfulness #meditation for healing #anxiety &amp; #depression. See: . #mentalhealth #anxietytreatment #panicattacks #OCDtreatment #PTSDtreatment #depressiontreatment #addictiontreatment</t>
  </si>
  <si>
    <t>Dr. Casy McNemar LPC-S NCC</t>
  </si>
  <si>
    <t>Cannabis Users Struggle to Quit Cigarettes - Heidi Splete  #cannabis #tobacco #cigarettes #quitting #smoking #CannabisUseDisorder #TobaccoUseDisorder #MentalHealth #MentalWellness #MDedge @MDEdgePsych @MDEdgeTweet</t>
  </si>
  <si>
    <t>https://www.mdedge.com/chestphysician/article/215746/pulmonology/cannabis-users-struggle-quit-cigarettes#</t>
  </si>
  <si>
    <t>Doctor of Professional Counseling | Licensed Professional Counselor-Supervisor | National Certified Counselor | RT ≠ Endorsement</t>
  </si>
  <si>
    <t>https://www.facebook.com/DrCasyLPCS/</t>
  </si>
  <si>
    <t>Katie Loveland</t>
  </si>
  <si>
    <t>I need a time out #mentalhealth</t>
  </si>
  <si>
    <t>: Informational up to date! #psychology #mentalhealth #anxiety #depression #science</t>
  </si>
  <si>
    <t>https://pbs.twimg.com/media/EOmG88WUYAATEmf.jpg</t>
  </si>
  <si>
    <t>Colby Pearce</t>
  </si>
  <si>
    <t>Some ideas about #Mentalhealth interventions for deeply hurt and troubled young people:  #therapy #psychology #attachment #psychotherapy #recovery #traumarecovery #resilience #adelaide #southaustralia</t>
  </si>
  <si>
    <t>https://colbypearce.net/2020/01/16/option-of-last-report-providing-therapy-to-deeply-troubled-young-people/</t>
  </si>
  <si>
    <t>Adelaide</t>
  </si>
  <si>
    <t>Husband, father, author, artist, F1 enthusiast, gardener. Special interest: out-of-home care. #traumainformedpractice #writerslife #books #WeAllNeedCARE</t>
  </si>
  <si>
    <t>http://colbypearce.net</t>
  </si>
  <si>
    <t>Hassman Research Institute</t>
  </si>
  <si>
    <t>If you are battling depression, a research study of investigational medication may be a good option for you. Contact us.  #SaturdayThoughts #depression #mentalhealth #clinicaltrials</t>
  </si>
  <si>
    <t>http://bit.ly/HRIdepression</t>
  </si>
  <si>
    <t>https://pbs.twimg.com/media/EOmGgPeWoAAO73y.jpg</t>
  </si>
  <si>
    <t>Berlin</t>
  </si>
  <si>
    <t>Improving the Quality of Life 1-833-427-7626</t>
  </si>
  <si>
    <t>http://hritrials.com</t>
  </si>
  <si>
    <t>#ArtHeals "Take by eyes with open #heart daily" #View some Make some #TheresNoWrongWay #art #heals #MentalHealth #RX #artTherapy from #Facebook:</t>
  </si>
  <si>
    <t>https://www.facebook.com/arttherapycredentialsboard/</t>
  </si>
  <si>
    <t>https://pbs.twimg.com/media/EOmGWgIUcAAEMqZ.jpg</t>
  </si>
  <si>
    <t>Jacquie</t>
  </si>
  <si>
    <t>#mentalhealth “A system that takes away freedom but which is under equipped to meet their needs” . RT @WeCareAboutMH: As a mental health nurse, people don't realise I'm more soldier than nurse</t>
  </si>
  <si>
    <t>https://twitter.com/wecareaboutmh/status/1218639863311937536
https://www.theguardian.com/public-leaders-network/2016/jul/16/mental-health-nurse-soldier-medication-nhs-hospital?CMP=share_btn_tw</t>
  </si>
  <si>
    <t>Rugby, England</t>
  </si>
  <si>
    <t>A work in progress. Seeking serenity and recovery through nature,animals, walking,reading, history,arty stuff, good friends, good humour, good food and God.</t>
  </si>
  <si>
    <t>Hey all Here's a post you've missed. Read about...."Can Watching TV Be A Coping Skill?"  #ADHD #MentalHealth #TVShows #NeurodiverseSquad</t>
  </si>
  <si>
    <t>https://www.lnk.xyz/Byll3_Uqr?aduc=D3HLzY21579384302329</t>
  </si>
  <si>
    <t>Dawn Marie Beauchamp</t>
  </si>
  <si>
    <t>I am full of big feelings today. I would like them to go away. I've already cried in my car once..... #bigfeelings #mentalhealth</t>
  </si>
  <si>
    <t>Royal Oak, MI</t>
  </si>
  <si>
    <t>I am a Christian wife, mother of three, blogger, and business owner trying to keep the world running smooth in the chaos of life. #momsquad #blogger</t>
  </si>
  <si>
    <t>http://www.embracecontrolledchaos.com</t>
  </si>
  <si>
    <t>Robin 🙈🙉🙊 👨‍🦳👨‍⚕️🕵️‍♂️🤓 🕊💖💯💭💬®™©</t>
  </si>
  <si>
    <t>Five #ways to improve your #mentalhealth in 2020</t>
  </si>
  <si>
    <t>https://www.cnn.com/2020/01/03/health/mental-health-2020-wellness/index.html?utm_source=feedburner&amp;utm_medium=feed&amp;utm_campaign=Feed%3A+rss%2Fcnn_health+%28RSS%3A+CNN+-+Health%29</t>
  </si>
  <si>
    <t>World 🥩🥓🍗🥗🍻😋</t>
  </si>
  <si>
    <t>#MentalHealth #Psych &amp; #LifeCoach / #CBT / #NLP / Personal Development / #Entrepreneur / Health / Motivation / #MindSet @circleboom My Ambassadors - Welcome! 👀</t>
  </si>
  <si>
    <t>https://Premium.Chat/RobinMalone2468</t>
  </si>
  <si>
    <t>Online #Mindfulness Therapy via Skype. Learn how to apply mindfulness #meditation for healing emotional suffering without drugs. Visit: . #mentalhealth #anxietytreatment #panicattacks #OCDtreatment #PTSDtreatment #depressiontreatment #addictiontreatment</t>
  </si>
  <si>
    <t>Improv for Mental Wellbeing</t>
  </si>
  <si>
    <t>One of my biggest fears is to disappoint people. And I do disappoint people at times. Instead of devaluing myself, I try to recall the times when I made people happy, pepped them up, or helped them. Would this work for you, too? #MentalWellbeing #MentalHealth</t>
  </si>
  <si>
    <t>Improvisational Acting Workshop for #MentalWellbeing designed to make you feel good in your own skin. Happy to chat about #MentalHealth &amp; #improv ! 🌈</t>
  </si>
  <si>
    <t>https://www.gofundme.com/f/help-mayumi-study-and-develop-workshop</t>
  </si>
  <si>
    <t>Aaron Owen</t>
  </si>
  <si>
    <t>Short spin tonight, it’s been a long day.... #redjanuary #redjanuary2020 #mind #mindcharity #mentalhealth #mentalhealthawareness</t>
  </si>
  <si>
    <t>https://www.instagram.com/p/B7egeY9nIQ_/?igshid=1jvsbxrtjk3l1</t>
  </si>
  <si>
    <t>North Wales</t>
  </si>
  <si>
    <t>Ride every chance you get!!! flowrider121 on pinkbike</t>
  </si>
  <si>
    <t>Au Purrr , The ResistaCat</t>
  </si>
  <si>
    <t>Grief , Frustration , Guilt , Anger , The #BushfireCrisis Shows The Far Reaching #MentalHealth Impacts Of #ClimateChange And Health Minister @GregHuntMP Says Climate Change Is Not A Health Issue @amapresident  #auspol #Scomomustgo #ClimateCrisis</t>
  </si>
  <si>
    <t>https://www.theguardian.com/commentisfree/2020/jan/17/grief-frustration-guilt-the-bushfires-show-the-far-reaching-mental-health-impacts-of-climate-change</t>
  </si>
  <si>
    <t>Apiarist , Traveller, Love the out doors , Pensioner , Christian , Labor Voter, Human Rights , A Fair Go , Fishing and More</t>
  </si>
  <si>
    <t>Pamela Hayes</t>
  </si>
  <si>
    <t>“We wanted to create a headquarters for happiness. So, we decided to come up with Aurtism and use art as a form of therapy to make people happy again,” said Harrison.  #arttherapy #art #mentalhealth</t>
  </si>
  <si>
    <t>https://www.8newsnow.com/news/local-news/how-two-young-men-broke-the-mold-by-using-art-therapy-to-help-autistic-children/</t>
  </si>
  <si>
    <t>LMFT, ATR-BC. Specialties: addictions, parenting, depression, anxiety, grief. Also court certified as a Sexual Abuse Evaluator and a noted speaker and educator.</t>
  </si>
  <si>
    <t>http://hayesarttherapy.com</t>
  </si>
  <si>
    <t>MaS Exodus</t>
  </si>
  <si>
    <t>Listen to Lost by MaS Exodus #np on #SoundCloud #HarryandMeghan #ConorVsCowboy #mentalhealth #confused</t>
  </si>
  <si>
    <t>https://soundcloud.com/matt-barker-29/4-lost</t>
  </si>
  <si>
    <t>Chorley, England</t>
  </si>
  <si>
    <t>UK NEW MUSIC. One man band with some talented friends added on some tracks for fun. Melodic anthems, ambient sampling, pop rock...and a very proud Dad.</t>
  </si>
  <si>
    <t>https://soundcloud.com/matt-barker-29</t>
  </si>
  <si>
    <t>Just released "S2E02 Attacking Student Loan Debt, Who is Wim Hof, and How His Method Can Reduce Your Anxiety." ⚓  #YesTheory #Vice #WimHof #Anxiety #StudentLoans #MentalHealth #BreatheMotherF*@ker</t>
  </si>
  <si>
    <t>https://anchor.fm/anxzenity/episodes/S2E02-Attacking-Student-Loan-Debt--Who-is-Wim-Hof--and-How-His-Method-Can-Reduce-Your-Anxiety-ea91f1</t>
  </si>
  <si>
    <t>Meg</t>
  </si>
  <si>
    <t>I love the movie I, Tonya from a trauma perspective. 🎞️🍿 #mentalhealth #snowstorm #OTOT</t>
  </si>
  <si>
    <t>Lora</t>
  </si>
  <si>
    <t>Better get down the health food shop 😂. Kinda need them all mixed together. #mentalhealth</t>
  </si>
  <si>
    <t>https://pbs.twimg.com/media/EOmETqwU4AE4iZ5.jpg</t>
  </si>
  <si>
    <t>🇬🇧</t>
  </si>
  <si>
    <t>loud music and chocolate cake✌🏻</t>
  </si>
  <si>
    <t>C.Miller</t>
  </si>
  <si>
    <t>We running all 2020 #31blessons #itsmorethanabook #issamovement #mentalhealth #therapist #coach #folllowus #motivation #inspiration #nonprofit #consultant #501c3 #nc #hopeandvision #iteach #youlearn #goingglobal</t>
  </si>
  <si>
    <t>https://pbs.twimg.com/media/EOmEP2LXkAMrcfQ.jpg</t>
  </si>
  <si>
    <t>Global</t>
  </si>
  <si>
    <t>Author|Therapist|Life Coach|Podcaster|Educator|Nonprofit Consultant 💜❤️💛</t>
  </si>
  <si>
    <t>http://www.hopeandvisionoutreach.com</t>
  </si>
  <si>
    <t>Find joy in the small things. ☺️ #OtterlyHopeful #MentalHealth #MentalIllness</t>
  </si>
  <si>
    <t>https://pbs.twimg.com/media/EOmENKWUEAA4tVR.jpg</t>
  </si>
  <si>
    <t>Joseph Haraszti, MD</t>
  </si>
  <si>
    <t>Your child watching pornography on the computer what should you do? ttps://bit.ly/2Tvy76c #pornography #children #compiter #mentalhealth #psychiatry #psadena #joeharaszti</t>
  </si>
  <si>
    <t>Pasadena, CA</t>
  </si>
  <si>
    <t>Dr. Joe Haraszti is a world-renown psychiatrist and addictionologist who specializes in the treatment of depression, addiction and bipolar illness.</t>
  </si>
  <si>
    <t>Frank Sonnenberg</t>
  </si>
  <si>
    <t>Are You Always on the Run? ➤  | by Frank Sonnenberg | #MentalHealth #EmotionalIntelligence</t>
  </si>
  <si>
    <t>http://bit.ly/2AGcG8h</t>
  </si>
  <si>
    <t>New York Metropolitan Area</t>
  </si>
  <si>
    <t>Top 100 Thought Leaders in America | Author, Soul Food: Change Your Thinking, Change Your Life | One of America's Most Influential Small Business Experts</t>
  </si>
  <si>
    <t>http://www.franksonnenbergonline.com</t>
  </si>
  <si>
    <t>Helena O'Brien</t>
  </si>
  <si>
    <t>Day 17 #100daysofwalking although it felt more like skating tonight 😅⛸ #NeverGiveUp This is not a race it’s healing 💖 #cancerwarrior #mentalhealth #keepwalking #PTSD #thankyou #motivation #keepgoing @ciarakellydoc @NewstalkFM #travelsafe</t>
  </si>
  <si>
    <t>https://pbs.twimg.com/media/EOmD51gVUAAvqFz.jpg</t>
  </si>
  <si>
    <t>Cork, Ireland</t>
  </si>
  <si>
    <t>Sales &amp; Marketing Manager of the award-winning &amp; unique 4* boutique Montenotte Hotel, Cork. Breast Cancer Warrior 💖 Views are my own.</t>
  </si>
  <si>
    <t>http://www.themontentottehotel.com</t>
  </si>
  <si>
    <t>Amanda ⚖️</t>
  </si>
  <si>
    <t>All I ask for tonight is my heart to not be racing for no reason.. #anxiety #mentalhealth #MentalHealthAwareness</t>
  </si>
  <si>
    <t>Photography 📷 Travel ✈️ Friends 😘 Family 💕 Fiancée ♀️💍</t>
  </si>
  <si>
    <t>Alzheimer Society YR</t>
  </si>
  <si>
    <t>#caregivers of #aging parents, child with a #disability or someone with a #mentalhealth challenge can contact the @CaregiverON Helpline 1-833-416-2273 or  for #information and #support #wecareforcaregivers</t>
  </si>
  <si>
    <t>http://ontariocaregiver.ca</t>
  </si>
  <si>
    <t>https://pbs.twimg.com/media/EOQvhlYWkAAOq1R.png</t>
  </si>
  <si>
    <t>2 - 240 Edward St. Aurora, ON</t>
  </si>
  <si>
    <t>The Alzheimer Society of York Region supports the more than 15,000 York Region residents living with Alzheimer's/dementia.</t>
  </si>
  <si>
    <t>Want to work at Providence Health &amp; Services? We're hiring in #Portland, OR. See our latest job opening here!  #mentalhealth</t>
  </si>
  <si>
    <t>http://bit.ly/365j1qV</t>
  </si>
  <si>
    <t>Warrdean</t>
  </si>
  <si>
    <t>Going live soon on @Twitch with a stream of @TESOnline! Farming Vet dungeons for golds and gear as a DK Tank on the #PS4 NA server! Giveaways at goals!  #Twitch #streamer #supportsmallstreamers #MentalHealth #TESOnline #ESO #ESOStreamTeam</t>
  </si>
  <si>
    <t>https://twitch.tv/warrdean</t>
  </si>
  <si>
    <t>pic.twitter.com/p9IiGZrBD3</t>
  </si>
  <si>
    <t>My name is David, I am currently level 32 and a father of 2. I have been gaming since I was three years old starting with the NES</t>
  </si>
  <si>
    <t>https://www.twitch.tv/warrdean</t>
  </si>
  <si>
    <t>Sherry</t>
  </si>
  <si>
    <t>via @madmimi #assholes #bullying #mentalhealth #rcmp #speakingup #accountability #empowerment #PTSD #safeworkplace #happiness #misgogny #johnwalker #johncleese Excellent documentary on Assholes in our lives and why its important to speak up.</t>
  </si>
  <si>
    <t>https://madmimi.com/s/d8d9101</t>
  </si>
  <si>
    <t>Winnipeg</t>
  </si>
  <si>
    <t>TEDx presenter, Rtd. RCMP, Author, BA Conflict Resolution, International consultant, trainer &amp; educator on workplace conflict, mental health and bullying</t>
  </si>
  <si>
    <t>http://www.sherrybensonpodolchuk.com</t>
  </si>
  <si>
    <t>Beautiful Inside and Out</t>
  </si>
  <si>
    <t>Why the breathing is in the core of meditation? Read below... #mindful #mindfulness #breath #meditation #breathingexercise #wellbeing #yoga #health #mentalhealth #healthylifestyle #healthyleaving #lifestyle #brain #body</t>
  </si>
  <si>
    <t>https://www.mindful.org/6-reasons-why-mindfulness-begins-with-the-breath/?fbclid=IwAR1zArMtvwmxxhd9ogDWe641HcDXDkVoFTX6y1la_cI7FDWYizS52VRABnk</t>
  </si>
  <si>
    <t>BECOME A #VIP MEMBER OF Toronto HouseMusic Festival Check the benefits!  #THMF2020 #housemusic #deephouse #soulfulhouse #chicagohouse #jackinhouse #afrohouse #discohouse #music #festival #djs #vibes #mentalhealth #awareness #Toronto</t>
  </si>
  <si>
    <t>https://www.torontohousemusicfestival.com/vip</t>
  </si>
  <si>
    <t>Jon Salmon</t>
  </si>
  <si>
    <t>Great speaking @happyheadsuk today. It made me realise what wonderful friends I have made during these last couple of years through talking about my own #mentalhealth. Such an amazing community of people out there making the world a better place ♥️</t>
  </si>
  <si>
    <t>https://pbs.twimg.com/media/EOmCm0yU8AACTZK.jpg</t>
  </si>
  <si>
    <t>London</t>
  </si>
  <si>
    <t>Love working with people, tech &amp; content @byteentertainme @7League. Write about #mentalhealth for @MetroUK. @WGOIYH @heads_together @speakerscollect</t>
  </si>
  <si>
    <t>http://www.jon-salmon.com</t>
  </si>
  <si>
    <t>Adriana Martin</t>
  </si>
  <si>
    <t>If you constantly feel stressed, talk it out with a friend or a professional. #mentalhealth #lifetips</t>
  </si>
  <si>
    <t>http://cpix.me/a/90241498</t>
  </si>
  <si>
    <t>https://pbs.twimg.com/media/EOmCbcVWoAon7jV.jpg</t>
  </si>
  <si>
    <t>this is how to show a loved one you care: Did something happen to make you start feeling this way? #mentalhealth #depression</t>
  </si>
  <si>
    <t>Sheldon Bailey</t>
  </si>
  <si>
    <t>“More than 99% of federal drug offenders are sentenced for trafficking." "Only 92 people were sentenced for marijuana possession in the federal system in 2017, out of a total of nearly 20,000 drug convictions." #Recovery #Addiction #Mentalhealth #yyc</t>
  </si>
  <si>
    <t>https://www.washingtonpost.com/politics/2019/live-updates/general-election/fact-checking-the-first-democratic-debate/how-many-people-are-in-prison-on-marijuana-charges/?arc404=true</t>
  </si>
  <si>
    <t>Calgary, Alberta, Canada</t>
  </si>
  <si>
    <t>Journalist mentality. #Addiction &amp; #Mentalhealth Advocate. Connector. Engaging stakeholders to tackle the #OpioidEpidemic through Compassion &amp; Collaboration.</t>
  </si>
  <si>
    <t>Dave Rendle #GGTO</t>
  </si>
  <si>
    <t>I'm taking action for 24/7 #mentalhealth services for adults &amp; young people. Can you join me by signing this petition?  via @UpliftIRL</t>
  </si>
  <si>
    <t>https://my.uplift.ie/petitions/better-mental-health-services-1?bucket=&amp;source=twitter-share-button&amp;utm_campaign=&amp;utm_source=twitter&amp;share=5601e263-651b-4b82-bf25-c8e30a194cfa</t>
  </si>
  <si>
    <t>West Wales</t>
  </si>
  <si>
    <t>poet/blogger for human rights, global justice, peace and freedom.another world is not only possible..it is inevitable.</t>
  </si>
  <si>
    <t>http://teifidancer-teifidancer.blogspot.co.uk</t>
  </si>
  <si>
    <t>Mindfield</t>
  </si>
  <si>
    <t>One of our products we will be selling on the 25th January 2020 in the Shrewsbury Darwin Centre 9am - 5pm. #itseveryoneeverywhere #mentalhealth #spreadawareness #youngenterprise</t>
  </si>
  <si>
    <t>https://pbs.twimg.com/media/EOmB947W4Ag33t3.jpg</t>
  </si>
  <si>
    <t>We are a group of year 10's who want to spread awareness of mental health because #itseveryoneeverywhere and we want to make a difference in the world.</t>
  </si>
  <si>
    <t>How to Effectively Talk to Your Teen about Marijuana  #parenting #addiction #mentalhealth #teens</t>
  </si>
  <si>
    <t>http://psy.pub/1KNGyB2</t>
  </si>
  <si>
    <t>Living On The Borderline</t>
  </si>
  <si>
    <t>I am feeling so blah and so scared and anxious today I feel like no one cares etc. I wanna just. Sleep all day. Why why why? FML #LivingOnTheBorderline #Blog #YouTube #BorderlinePersonalityDisorder #MentalHealthMatters #MentalHealth #MenyalHealthAdvocate #BPDSufferer</t>
  </si>
  <si>
    <t>Blogger/YouTuber regarding #BPD #BorderlinePersonalityDisorder #NonBinary #LGBTQIA #SexPositive #Taphophile #Mapa</t>
  </si>
  <si>
    <t>https://www.youtube.com/channel/UCg-ZjZxbrEhSR3Y2PvGVftQ</t>
  </si>
  <si>
    <t>Iconic Sukhy</t>
  </si>
  <si>
    <t>#LoveIsIand and @itv have no shame!! It’s all about ratings, media coverage and social media!! They know who they are putting through to the show and they don’t care how it effects their #mentalhealth on the other side!! #olliewilliams was a set up!!!</t>
  </si>
  <si>
    <t xml:space="preserve">Some international Airport </t>
  </si>
  <si>
    <t>I am the revolution. Inventor. Boss B! Middle finger to the patriarchy. Herstory Maker. #BBUK 2017 Iconic Housemate. iconicsukhy@gmail.com</t>
  </si>
  <si>
    <t>Liam Yule</t>
  </si>
  <si>
    <t>My cousin @Ratt_Ray has been doing some awesome stuff to raise awareness for #mentalhealth &amp; #suicideprevention and raise funds for @SAMHtweets check out his latest efforts here -  RT @Ratt_Ray: Why So Sad? x Actions REALized</t>
  </si>
  <si>
    <t>https://m.youtube.com/watch?t=3s&amp;v=j0VFh4MHU-A
https://twitter.com/ratt_ray/status/1216037017882066944
https://www.thepredatorybird.com/why-so-sad-x-actions-realized/</t>
  </si>
  <si>
    <t>https://pbs.twimg.com/media/EOA7OOXWsAAdtlU.jpg</t>
  </si>
  <si>
    <t>Auchterhouse, Scotland</t>
  </si>
  <si>
    <t>The emotional &amp; exhausted ramblings of a Dad to a toddler, Suicide Prevention Manager @samhtweets , @VanguardPhotoUK ambassador, photographer (all views my own)</t>
  </si>
  <si>
    <t>https://www.facebook.com/onemanandhisnikon/</t>
  </si>
  <si>
    <t>Paul Berryman</t>
  </si>
  <si>
    <t>Fantastic diffuser from @neomorganics as part of our new mind de-cluttering to help us sleep better. iPhones also banned and left downstairs to charge overnight #mindmatters #mentalhealth…</t>
  </si>
  <si>
    <t>https://www.instagram.com/p/B7eer7ZH34JcJ9NDUiN0fiAncOvH3P2Awwjp1E0/?igshid=1dczefmwd0nlb</t>
  </si>
  <si>
    <t>Richmond, North Yorkshire</t>
  </si>
  <si>
    <t>Be nice to those on the way up, as you never know who you'll need on the way down...</t>
  </si>
  <si>
    <t>DonandBubba</t>
  </si>
  <si>
    <t>A #healthylife so often begins with good #mentalhealth. Start your journey to a happier life here.</t>
  </si>
  <si>
    <t>http://cpix.me/a/90110770</t>
  </si>
  <si>
    <t>https://pbs.twimg.com/media/EOmBhIbUwAATq89.jpg</t>
  </si>
  <si>
    <t>Bubba McCants</t>
  </si>
  <si>
    <t>http://cpix.me/a/90110769</t>
  </si>
  <si>
    <t>https://pbs.twimg.com/media/EOmBg24WAAElLki.jpg</t>
  </si>
  <si>
    <t>Panama City Beach, Florida</t>
  </si>
  <si>
    <t>From your first home to your dream home!</t>
  </si>
  <si>
    <t>http://www.donandbubba.com</t>
  </si>
  <si>
    <t>Terry Hyde</t>
  </si>
  <si>
    <t>A very good article about the difference between being a strict teacher and being a bully.  #dancers #ballerinas #maledancers #balletboys #freelancers #mentalhealth #MentalHealthAwareness #boysdancetoo #MentalHealthMatters #ballet</t>
  </si>
  <si>
    <t>https://www.dancemagazine.com/bullying-teachers-2581811648.html</t>
  </si>
  <si>
    <t>Psychotherapist, retired pro dancer</t>
  </si>
  <si>
    <t>https://www.counsellingfordancers.com</t>
  </si>
  <si>
    <t>A.S. Minor</t>
  </si>
  <si>
    <t>Sometimes it feels I'm hanging by my fingertips on a cliff, trying to hold on while not letting people see how much I'm struggling. It seems illogical to hide that at such a time, but I don't feel like explaining why I can't shake their hand. #mentalhealth #mentalhealththoughts</t>
  </si>
  <si>
    <t>Daytona Beach, FL</t>
  </si>
  <si>
    <t>Spoken word performer, author, and mental health awareness advocate. I bring that awareness on stages, in classrooms, and on my YouTube channel.</t>
  </si>
  <si>
    <t>http://www.youtube.com/asminor</t>
  </si>
  <si>
    <t>Chris Baker</t>
  </si>
  <si>
    <t>The Lack of Neuroscientific Evidence Behind Psychiatric Disorders from @MedicatingNorm1 #mentalhealth</t>
  </si>
  <si>
    <t>https://youtu.be/XsPcyhsV1Ng</t>
  </si>
  <si>
    <t>North Lincolnshire</t>
  </si>
  <si>
    <t>Fulfilling many important roles in life - Husband, Dad, Grandad, Son, Brother, Friend, Keep-fitter, Learner, Coach &amp; Acoustic Strummer. Just trying my best.....</t>
  </si>
  <si>
    <t>If you want to be happy then be happy. #health #houston#outdoors #Manchester #texas #mentalhealth #mindfulness #wellness #psychology</t>
  </si>
  <si>
    <t>Sharon Blady</t>
  </si>
  <si>
    <t>Telling my #mentalhealth story is part of my recovery &amp; advocacy to help others recognize the value of #livedexperience. Grateful to share my Story of Hope with @DavidSusman #ShamelessSelfpromoSaturday RT @DavidSusman: NEW post! Stories of Hope: Fight Another Day featuring @sharonblady  #mentalhealth #advocacy</t>
  </si>
  <si>
    <t>https://twitter.com/DavidSusman/status/1218634899558670336
http://bit.ly/2TD8LDy</t>
  </si>
  <si>
    <t>Former Health Minister, Consultant, Executive Mentor, Public Speaker &amp; Mental Health Advocate. Tweets personal, political (non-partisan) &amp; fandom based.</t>
  </si>
  <si>
    <t>http://www.sharonblady.ca</t>
  </si>
  <si>
    <t>Catherine McKenna</t>
  </si>
  <si>
    <t>On @TheWicklowWay trails today. #Maulin #Tongduff #CroneWoods So satisfying to hear the silence broken by the creaking of frozen earth underfoot &amp; the cracking of delicate sheets of ice. Far from the madding crowd! @visitwicklow @HealthyIreland #MentalHealth #100DaysWalking</t>
  </si>
  <si>
    <t>https://pbs.twimg.com/media/EOmA7XDU4AANpLx.jpg</t>
  </si>
  <si>
    <t>All views expressed are my own! Retweets are not an endorsement!</t>
  </si>
  <si>
    <t>BorrowBox</t>
  </si>
  <si>
    <t>From bestselling author Bev Aisbett comes a proven, practical and simple workbook to help people manage their #depression, with a month's worth of daily strategies and exercises for work and for home. Listen today! #30days30waystoovercomedepression #mentalhealth</t>
  </si>
  <si>
    <t>https://pbs.twimg.com/media/EOmAyz9UYAAgX6h.jpg</t>
  </si>
  <si>
    <t>BorrowBox – Your library in one app. Borrow free eBooks and eAudiobooks using our BorrowBox app.</t>
  </si>
  <si>
    <t>http://borrowbox.com</t>
  </si>
  <si>
    <t>Mad In America</t>
  </si>
  <si>
    <t>Amanda Burrill: Self-Advocacy and Self-Belief – Escaping Psychiatric Drugs #mentalhealth #podcast #Veterans</t>
  </si>
  <si>
    <t>https://www.madinamerica.com/2020/01/amanda-burrill-self-advocacy-self-belief-escaping-psychiatric-drugs/</t>
  </si>
  <si>
    <t>Cambridge, MA</t>
  </si>
  <si>
    <t>Rethinking Psychiatry Advocacy, Blogs, News, Podcasts and Resources</t>
  </si>
  <si>
    <t>http://madinamerica.com</t>
  </si>
  <si>
    <t>How Going With the Flow Helped Me Grow ||  == #mentalhealth #personalgrowth #anxiety #depression #bipolar #mhsm #mhchat</t>
  </si>
  <si>
    <t>https://bit.ly/2Tu99UW</t>
  </si>
  <si>
    <t>https://pbs.twimg.com/media/EOmAxzDUwAAG-jk.jpg</t>
  </si>
  <si>
    <t>Martin</t>
  </si>
  <si>
    <t>We are certainly not the first group (although a constantly expanding group) that those with profits to protect have attempted to shame, ignore and silence because our agenda is completely opposite to theirs. #MentalHealth #prescribedharm #antidepressants #SSRIs #patientsafety RT @benzosarebad: @PsychRecovery @Altostrata @wendyburn @timeshighered @sameerjauhar I think we all wonder why #patientsafety is not of the highest priority and why harmed patients are demonised by those who see as us an inconvenience to their beliefs.</t>
  </si>
  <si>
    <t>https://twitter.com/benzosarebad/status/1218621942632239105</t>
  </si>
  <si>
    <t>Lincolnshire. UK.</t>
  </si>
  <si>
    <t>Against #PrescribedHarm by #antidepressants &amp; #SSRIs as 1st line of #mentalillness help. Support #InformedConsent &amp; #PatientSafety for #mentalhealth treatment.</t>
  </si>
  <si>
    <t>Sunrise Academy needs your help!!  #psychology #health #houston #philanthropy #noew2017 #sdgs #csr #mentalhealth</t>
  </si>
  <si>
    <t>https://youtu.be/PtzCjgvq13c</t>
  </si>
  <si>
    <t>Jane Hunt</t>
  </si>
  <si>
    <t>[AD - Book Review] Rewrite The Stars Emma [AD- Heatherington 5*#Review @emmalou13 @HarperFiction @fictionpubteam #Family#Drama #Romance #MentalHealth #relationships #life #serendipity #BookReview #BookBloggers #JaneHuntWriter #SaturdayThoughts</t>
  </si>
  <si>
    <t>http://jolliffe01.com/2020/01/18/rewrite-the-stars-emma-heatherington-5review-emmalou13-harperfiction-fictionpubteam-familydrama-romance-mentalhealth-relationships-life-serendipity-bookreview/</t>
  </si>
  <si>
    <t>Author, BookBlogger. Cares about animal welfare. The Dangerous Gift http://amzn.to/1MKcKGT</t>
  </si>
  <si>
    <t>http://about.me/jolliffe</t>
  </si>
  <si>
    <t>TrueNorthHR</t>
  </si>
  <si>
    <t>Caring for #mentalhealth in the workplace means TALKING about mental health in the workplace. Learn more 👉  (via @MIGInsurance) #EmployeeExperience</t>
  </si>
  <si>
    <t>https://buff.ly/2sY1XWf</t>
  </si>
  <si>
    <t>https://pbs.twimg.com/media/EOmAT0uVUAATJg5.jpg</t>
  </si>
  <si>
    <t>We provide smart, simple HR solutions for businesses of every size, HR professionals, and entrepreneurs. #humantohuman #HR</t>
  </si>
  <si>
    <t>http://www.truenorthhr.ca</t>
  </si>
  <si>
    <t>Clyde Dee</t>
  </si>
  <si>
    <t>What Do You Do When Your Loved One Thinks You Are Evil? - Redefining "Psychosis" , #mentalhealth, #mentalhealthawareness, #psychosis</t>
  </si>
  <si>
    <t>https://timdreby.com/what-do-you-do-when-your-loved-one-thinks-you-are-evil/#amwriting</t>
  </si>
  <si>
    <t>Award -Winning Author, Psychotherapist, Mental Health Blogging Activist, Psychiatric Survivor, Poet</t>
  </si>
  <si>
    <t>https://timdreby.com</t>
  </si>
  <si>
    <t>Sarasota Real Estate</t>
  </si>
  <si>
    <t>The body and mind work together; improving your body is good for your #mentalhealth. #lifehacks</t>
  </si>
  <si>
    <t>http://cpix.me/a/90126101</t>
  </si>
  <si>
    <t>https://pbs.twimg.com/media/EOmAJVPWsAEFIEx.jpg</t>
  </si>
  <si>
    <t>Sarasota, FL</t>
  </si>
  <si>
    <t>RE/MAX Platinum Realty specializes in meeting all of your Real Estate needs. Visit our website for a one-stop resource for your online real estate search.</t>
  </si>
  <si>
    <t>http://www.platinumrealtyflorida.com/</t>
  </si>
  <si>
    <t>MentalHGaming</t>
  </si>
  <si>
    <t>I be live in a bit.. come say hi and help #breakthestigma surrounding #mentalHealth in gaming.. #MentalHealthAwareness #MentalHealthMatters Use Code #MentalHealthMatters #Fortnite #FortniteChapter2 rtmp://a.rtmp.youtube.com/live2</t>
  </si>
  <si>
    <t>https://pbs.twimg.com/media/EOmAIYIUUAADijJ.jpg</t>
  </si>
  <si>
    <t>I am Mental Health Gaming, a channel on Youtube hoping to talk to reduce the stigma about mental health using gaming, Look me up</t>
  </si>
  <si>
    <t>https://www.youtube.com/channel/UCKaOtx9-q9zjXj0Tnv1rBbw</t>
  </si>
  <si>
    <t>Dr. Lisa Geraghty</t>
  </si>
  <si>
    <t>Can’t thank @FinolaColgan enough for this and Gillian Coughlan RVN @AthloneIT. Going to start implementing the 5 ways of wellbeing immediately. #tesillience #mentalhealth #veterinary  RT @FinolaColgan: #SaturdayThoughts great discussion with the #veterinary professionals #resilience #wellbeing #mentalhealth @MentalHealthIrl @AthloneIT @DrLisageraghty @nursieLT</t>
  </si>
  <si>
    <t>https://twitter.com/finolacolgan/status/1218525819565498368</t>
  </si>
  <si>
    <t>https://pbs.twimg.com/media/EOl_9zHUUAA7AXB.jpg
https://pbs.twimg.com/media/EOkSkcbXsAEeMkv.jpg</t>
  </si>
  <si>
    <t>Athlone, Ireland</t>
  </si>
  <si>
    <t>Castleislander in exile!! Vet in exile!! #mediation #employmentlaw. Two teenagers, one Irish wolfhound, multiple high heels. Most of all ... Proud Kerry Woman!</t>
  </si>
  <si>
    <t>http://lisageraghty3.wix.com/lgmediation</t>
  </si>
  <si>
    <t>NESTLeeds</t>
  </si>
  <si>
    <t>Does this picture resonate?! Sometimes as parents we can be guilty of trying to do too much and that contributes to overwhelm. Try slow down today celebrate the small wins. Whatever it is, you’re doing great 👍🏼 Give yourself a break 💜 #leedsmums #leedsdads #leeds #mentalhealth</t>
  </si>
  <si>
    <t>https://pbs.twimg.com/media/EOl_txXUYAA7cIk.jpg</t>
  </si>
  <si>
    <t>Leeds, West Yorkshire, UK</t>
  </si>
  <si>
    <t>‘Promoting the wellbeing of new parents &amp; parents-to-be in Leeds.' Info on mental health &amp; wellbeing for Leeds parents. http://www.mindwell-leeds.org.uk/baby</t>
  </si>
  <si>
    <t>https://www.smartsurvey.co.uk/s/JQXUR/</t>
  </si>
  <si>
    <t>Jacqui Learoyd</t>
  </si>
  <si>
    <t>I see people with #mentalhealth diagnoses every day. The first time I met a person with diagnosed mental health needs was over ten years ago. It was a lady with #schizophrenia &amp; I was terrified of that label. She was charming &amp;amp; taught me so much. #RCSLT75 #RCSLTfirsts @RCSLT RT @RCSLT: Are you a speech &amp;amp; language therapist or service user? What was your first session like? Share your experience with us! #RCSLT75 #RCSLTFirsts</t>
  </si>
  <si>
    <t>https://twitter.com/rcslt/status/1217516800776101889
http://bit.ly/33hdn3u</t>
  </si>
  <si>
    <t>https://pbs.twimg.com/media/EL-6UXdXUAE2xGX.jpg</t>
  </si>
  <si>
    <t>HMP Berwyn Wrexham</t>
  </si>
  <si>
    <t>HMP Berwyn Lead #SLT. Passionate about #SLCN and swallowing needs of men in prison #mySLTday @givingvoiceuk award 2019. Retweet is not endorsement / own views.</t>
  </si>
  <si>
    <t>Melanie Abas</t>
  </si>
  <si>
    <t>Surely #breastfeeding is more than physical for the mother - a unique time for bonding and loving her baby - @UNICEF please think about #mentalhealth and #psychosocial #nurture for #Mother &amp; #baby @SWMH_IoPPN @GMentalHealth @MotherhoodStudy @rcpsych @Stranchi2 @mirandarwolpert RT @UNICEF: Breastfeeding isn’t just good for babies! It is also important for mothers, helping to lower risk of breast cancer, ovarian cancer, and type 2 diabetes. #EveryChildALIVE</t>
  </si>
  <si>
    <t>https://twitter.com/UNICEF/status/1026362378278121473</t>
  </si>
  <si>
    <t>https://pbs.twimg.com/media/Dj5fJKSXoAESlIV.jpg</t>
  </si>
  <si>
    <t>King's College London</t>
  </si>
  <si>
    <t>Professor of Global Mental Health, KCL Centre for GMH. Tweeting on depression, anxiety, Global Health, workforce diversity, HIV. Views are my own</t>
  </si>
  <si>
    <t>http://www.centreforglobalmentalhealth.org/</t>
  </si>
  <si>
    <t>Clary Rouge</t>
  </si>
  <si>
    <t>Bad Streak: How to take care of yourself in difficult times  via @wordpressdotcom #advice #happiness #health #mentalhealth #psychology #selfcare</t>
  </si>
  <si>
    <t>https://clarrouge.fitness.blog/2020/01/18/bad-streak-how-to-take-care-of-yourself-in-difficult-times/</t>
  </si>
  <si>
    <t>Blogger 🍷🍫</t>
  </si>
  <si>
    <t>https://clarrouge.fitness.blog/</t>
  </si>
  <si>
    <t>☃️❄️🌨 Snow Boy 🌨❄️☃️</t>
  </si>
  <si>
    <t>Everything's just going to shit right now, so I'm going to do this in the GIF an pretend everything is ok 👇👇👇👇👇👇👇👇👇👇 #MentalHealth #MentalHealthAwareness #MentalHealthMatters #KeepTalkingMH #ItsOkNotToBeOk #mentalillness #BeFuckinKind</t>
  </si>
  <si>
    <t>pic.twitter.com/yqYlkulSzv</t>
  </si>
  <si>
    <t>North West, England</t>
  </si>
  <si>
    <t>Openly suffer with #depression &amp; #anxiety, had a therapist, #BeFuckinKind 15 years #sober, @OhoraEmily is my Queen 👑</t>
  </si>
  <si>
    <t>https://mentalhealthadvocate2024.wordpress.com</t>
  </si>
  <si>
    <t>#PropagandaLive! Teaching girls to hate. #WomensMarchLA #WomensMarchNYC #WomensMarch2020 Time for the #Hate&amp; #PinkPissyHats Parade! #Haters of #BABY #Women. #Man-haters. #Emasculators. #Victimhood #Mentalhealth #TDS #KAG2020 #Trump2020 @SenGillibrand @RoArquette🤡🤣@GavinNewsom RT @SenGillibrand: The Women’s March was one of the most inspiring moments I’ve ever witnessed in politics. As women gather again for #WomensMarch2020—it's clear that this movement is growing. We’re leading the fight for this democracy, proving time and again how just much we can accomplish.</t>
  </si>
  <si>
    <t>https://twitter.com/sengillibrand/status/1218552772989214721</t>
  </si>
  <si>
    <t>https://pbs.twimg.com/media/EOkrSYFX4AEU7xT.jpg</t>
  </si>
  <si>
    <t>Brian Canavan</t>
  </si>
  <si>
    <t>I will keep shamelessly saying this, #newdecadenewapproach seems to be talking to the same faces with the same approach and ignoring what is right here in #NorthernIreland. As always our door is open to anyone interested in being serious in our approach to #mentalhealth RT @DucaCanavan: Award winning for #Innovation in #Psychotherapy &amp; best rated NI business in the #psychology field on Google.All this achieved in less than 2 years of practice,actually 6 months from when we 1st published our new website online (links below) come visit me at @OrthodermClinic 😉</t>
  </si>
  <si>
    <t>https://twitter.com/DucaCanavan/status/1218623505945763842</t>
  </si>
  <si>
    <t>https://pbs.twimg.com/media/EOlrldHU0AA07yc.jpg</t>
  </si>
  <si>
    <t>Innocent victims and mental health are a passion, a fully integrated and social society are a necessity</t>
  </si>
  <si>
    <t>https://www.northernslant.com/tag/international-biocentric-psychoanalysis-institute/</t>
  </si>
  <si>
    <t>Shanna Katz Kattari</t>
  </si>
  <si>
    <t>Excited for @UChicagoSSA PhD student Samantha Guz to be presenting on our group study on depression and suicide risk for young people at the multi facet intersection of gender identity and sexual orientation. #sswr2020 #lgbtq #mentalhealth</t>
  </si>
  <si>
    <t>https://pbs.twimg.com/media/EOl-rLcXsAAwJJb.jpg</t>
  </si>
  <si>
    <t>Ypsilanti, MI</t>
  </si>
  <si>
    <t>She/her. #Queer #disabled White cis Jewish Femme. Researcher | Educator | Author | #SocialWork faculty @ #UMich. Loves cats &amp; mysteries. Opinions=own. 💋🌈</t>
  </si>
  <si>
    <t>http://www.shannakattari.com</t>
  </si>
  <si>
    <t>His Image Quarterly</t>
  </si>
  <si>
    <t>#WeekendVibes Incredible work by artist ag_art_design_ . . . . #love #instagood #photooftheday #fashion #work #happy #like4like #followme #picoftheday #follow #mce #selfie #mentalhealth #art #instadaily #friends…</t>
  </si>
  <si>
    <t>https://www.instagram.com/p/B7edIwLBRPp/?igshid=1qbvi720uwvwf</t>
  </si>
  <si>
    <t>Oklahoma City, OK</t>
  </si>
  <si>
    <t>Men’s style blog promoting mental, physical, financial and relational health. A resource to connect you to other men who inspire the same.</t>
  </si>
  <si>
    <t>http://hisimageokc.wordpress.com</t>
  </si>
  <si>
    <t>Paul Walters</t>
  </si>
  <si>
    <t>What is General Adaptation Disorder?  #mentalhealth #mentalillness</t>
  </si>
  <si>
    <t>http://psy.pub/1jnqtS6</t>
  </si>
  <si>
    <t>Ottawa, Canada</t>
  </si>
  <si>
    <t>I am a psychotherapist at Pinecrest-Queensway Community Health Centre and a volunteer at Canadian Positive Psychology Network.</t>
  </si>
  <si>
    <t>http://goo.gl/rQ59TT</t>
  </si>
  <si>
    <t>Theresa Boyle</t>
  </si>
  <si>
    <t>Seeing much well-deserved praise on Twitter for this piece by @ErinAnderssen today. #mentalhealth #cdnhealth RT @epaultaylor: Finding psychiatric care is a challenge for millions of Canadians in underserved regions. The aging work force and low pay are making the problem worse. How can we mend the #MentalHealth gap? By ⁦⁦@ErinAnderssen⁩ ⁦@globeandmail⁩ cdnhealth</t>
  </si>
  <si>
    <t>https://twitter.com/epaultaylor/status/1218616019037642757
https://www.theglobeandmail.com/canada/article-half-of-canadians-have-too-few-local-psychiatrists-or-none-at-all/</t>
  </si>
  <si>
    <t>Toronto, Ontario, Canada</t>
  </si>
  <si>
    <t>Health reporter for @TorontoStar. Interested in all things #onhealth &amp; #cdnhealth. Write lots about health-care reform. Send tips via DM or to tboyle@thestar.ca</t>
  </si>
  <si>
    <t>http://www.thestar.com</t>
  </si>
  <si>
    <t>L©U\§€</t>
  </si>
  <si>
    <t>These campaigns that try and support #mentalhealth and encourage people to talk are great. But when people I thought were genuine suddenly decide to ignore me as if I don’t matter, it hurts. Thanks .. you know who you are</t>
  </si>
  <si>
    <t>pic.twitter.com/15I66BX3FO</t>
  </si>
  <si>
    <t>Central Scotland</t>
  </si>
  <si>
    <t>typical Scorpio 🦂, bullshit spotter 💩 RANGERS FC 🇬🇧♥️🧡💙 Staffies 🐶 ❤️ tweet occasional sweary words, banter essential 😜😜😜</t>
  </si>
  <si>
    <t>Finding Heather</t>
  </si>
  <si>
    <t>January Blues a new blog post!! Check it out now! Exploring my own struggles with #mentalhealth and #anxiety at this dark time of year Please know you are never alone ❤️🌈🌟</t>
  </si>
  <si>
    <t>https://heatherlostnowfound.com/2020/01/18/january-blues/</t>
  </si>
  <si>
    <t>First time blogger 👩🏻‍💻 Studying Philosophy &amp; Sociology 👩🏻‍🎓 Aspiring writer 📝Sharing my journey to help inspire🌟 #mentalhealth #writing #lgbt 🏳️‍🌈</t>
  </si>
  <si>
    <t>http://heatherlostnowfound.com</t>
  </si>
  <si>
    <t>Lulu Ⓥ</t>
  </si>
  <si>
    <t>what about #mentalhealth #chats on twitter ? miss 'em ? want them back ? help @ttf_ella ! RT @ttf_ella: Right guys, what's your thoughts? Do you miss or not miss the Twitter chats mental health-related that we used to have going on in our community?👀 PLEASE SHARE!</t>
  </si>
  <si>
    <t>https://twitter.com/ttf_ella/status/1218610524864307201</t>
  </si>
  <si>
    <t>France</t>
  </si>
  <si>
    <t>44 , Vegan #Atheist #Geek, #MovieReviews #Movies #Cinema, #genderfluid #MentalHealthBlogging ; #AnimalLover #HumanRights #CultSurvivor</t>
  </si>
  <si>
    <t>https://www.blogger.com/profile/12082146445356829527</t>
  </si>
  <si>
    <t>Izabel Maciver</t>
  </si>
  <si>
    <t>Best way to describe anxiety is that you're lost at sea and your boat is sinking the rational route is to look to land or help but when you have anxiety all you can do is sink into the sea #anxiety #MentalHealthAwareness #mentalhealth</t>
  </si>
  <si>
    <t>Brathay Trust</t>
  </si>
  <si>
    <t>Rates of depression &amp; anxiety in teenagers have increased by 70% in the past 25 years! We want to help change this by providing targeted programmes to support young people. Help young people with poor #mentalhealth by donating here:</t>
  </si>
  <si>
    <t>https://buff.ly/2tPD3If</t>
  </si>
  <si>
    <t>https://pbs.twimg.com/media/EOl9j8JU8AAzKCE.jpg</t>
  </si>
  <si>
    <t>UK</t>
  </si>
  <si>
    <t>Our mission is to improve the life chances of children and young people. We do this by inspiring them to engage positively in their communities.</t>
  </si>
  <si>
    <t>http://www.brathay.org.uk</t>
  </si>
  <si>
    <t>PopUp ChatTogether</t>
  </si>
  <si>
    <t>Struggling, or just getting by? Need a chat? If you or someone close to you is dealing with mental health issues, join us at Pop Up @ChatTogether in #Shrewsbury #Shropshire, to talk about #mentalhealth, #wellbeing and more with others who’ve been there:</t>
  </si>
  <si>
    <t>https://www.facebook.com/events/848248692280846/</t>
  </si>
  <si>
    <t>Shropshire</t>
  </si>
  <si>
    <t>A chance for people with mental health issues, and others, to meet up for a chat. Email popupchattogether@gmail.com and find us on Facebook too!</t>
  </si>
  <si>
    <t>https://www.facebook.com/pages/Pop-Up-Chat-Together/311177515713413</t>
  </si>
  <si>
    <t>https://pbs.twimg.com/media/EOl9VldXUAMV0O7.jpg</t>
  </si>
  <si>
    <t>CEL at Alvernia</t>
  </si>
  <si>
    <t>Check out this article by Forbes to see how employers and employees can deal with mental health in a nurturing, yet productive way. #mentalhealth #productivity</t>
  </si>
  <si>
    <t>https://bit.ly/2ZN7mv7</t>
  </si>
  <si>
    <t>Reading, PA</t>
  </si>
  <si>
    <t>The Center for Entrepreneurial Leadership provides resources and education to help leaders grow business, increase value and support regional economic growth.</t>
  </si>
  <si>
    <t>http://www.alvernia.edu/about/center_for_entrepreneurial_leadership/index.html</t>
  </si>
  <si>
    <t>GO Poetry &amp; Philosophy</t>
  </si>
  <si>
    <t>Melancholy A curse Bestowed by The universe. My vulnerability Coupled with Trust. Always broken Infinite pieces. Love the Catalyst of Chaos. Once again Building a facade Of smiles I advance. @RealisticPoetry #depressionfeelslike #vss365 #mentalhealth</t>
  </si>
  <si>
    <t>pic.twitter.com/siCDnC7occ</t>
  </si>
  <si>
    <t>#poetrycommunity #philosopher #shortstory #writerscommunity hey, I showed up in your search - #follow On occasion, we all get lucky writing something.</t>
  </si>
  <si>
    <t>Name cannot be blank</t>
  </si>
  <si>
    <t>Jos_Angeles</t>
  </si>
  <si>
    <t>I'm probably not what you thought</t>
  </si>
  <si>
    <t>Mousey 🦊🧡🐭</t>
  </si>
  <si>
    <t>Ever struggle with burnout #twitchfam? You are not alone Not ever. Really wish I'd made more effort to stay within the @heartsupport network when I was at my lowest. They really make the most of supporting the community with #mentalhealth Live now 💜</t>
  </si>
  <si>
    <t>http://www.twitch.tv/heartsupport</t>
  </si>
  <si>
    <t>Find your own voice. Be Brave. #TruthMatters Music, Parody &amp; Vlogging about #MentalHealth #MyMSStory &amp; everythin Dxed in 2016. Twitchfam:We're here for you.</t>
  </si>
  <si>
    <t>https://www.youtube.com/channel/UCy2bM1Fsx_HI1hSOznsfVCw</t>
  </si>
  <si>
    <t>Sleep is so critical to #MentalHealth and this is telling: 'Back in 2005, Canadians averaged about eight hours of sleep a night. By 2013, it had dropped to seven. Now about 40 per cent of Canadians are dealing with sleep disorders.' #BellLetsTalk</t>
  </si>
  <si>
    <t>http://bit.ly/2RtYPHM?utm_campaign=coschedule&amp;utm_source=twitter&amp;utm_medium=hanna_higher</t>
  </si>
  <si>
    <t>Jefferson Evans</t>
  </si>
  <si>
    <t>Reposting @aldamostertembracethewrinkle: - via @Crowdfire #lifecoach #motivation #coaching #inspiration #love #lifecoaching #coach #selflove #life #mindset #selfcare #lifestyle #mindfulness #meditation #entrepreneur #success #personaldevelopment #loveyourself #mentalhealth</t>
  </si>
  <si>
    <t>https://pbs.twimg.com/media/EOl8cSXW4AEXU7m.jpg</t>
  </si>
  <si>
    <t>Waterman retired: #surfing and #outrigger racing Interests: #fitness #nutrition #longevity #vegan #painter #poet #countrymusic #countrydancer not looking</t>
  </si>
  <si>
    <t>http://BootScootinReview.com</t>
  </si>
  <si>
    <t>Dangote™®</t>
  </si>
  <si>
    <t>Abuja Nigeria</t>
  </si>
  <si>
    <t>Gentle and Easy going person</t>
  </si>
  <si>
    <t>explorearoundthecorner</t>
  </si>
  <si>
    <t>Quick jaunt to the woods today #woods #trees #river #peace #quiet #Mindfulness #Wellbeing #mentalhealth #outdoor #explorearoundthecorner</t>
  </si>
  <si>
    <t>Http://www.explorearoundthecorner.com</t>
  </si>
  <si>
    <t>https://pbs.twimg.com/media/EOl8PXyUwAASKgW.jpg</t>
  </si>
  <si>
    <t>Encouraging people to go out and find adventure in their local areas and beyond. Promoting fresh air and outdoors to increase wellbeing.</t>
  </si>
  <si>
    <t>https://www.explorearoundthecorner.com</t>
  </si>
  <si>
    <t>Emma</t>
  </si>
  <si>
    <t>Everyone talks about #anxiety. But what's the difference between #anxiety we all feel at times and an #anxiety disorder...?  #mentalhealth #wellbeing #blog #blogger #bloggers #wellbeingblog #mentalhealthblog</t>
  </si>
  <si>
    <t>https://mymusingsandme.co.uk/anxiety-vs-anxiety-disorder/</t>
  </si>
  <si>
    <t>Works in #mentalhealth education. Blogs at http://www.mymusingsandme.co.uk on mental health and wellbeing. YA novel is WIP Can be found reading, writing, blogging</t>
  </si>
  <si>
    <t>http://www.mymusingsandme.co.uk</t>
  </si>
  <si>
    <t>Just Call Me Ken</t>
  </si>
  <si>
    <t>We use to pray for times like this...🙏🏾 #DreamChasers #SaturdayVibes #WomensMarch2020 #SpaceForce #BlackTwitter #Forbes #FastCompany #MentalHealth #AutismAwareness #Depression #Anxiety #LasVegas #Arizona #Art 🎨🧩</t>
  </si>
  <si>
    <t>https://pbs.twimg.com/media/EOl79leUEAAKKJh.jpg</t>
  </si>
  <si>
    <t xml:space="preserve">Las Vegas, NV </t>
  </si>
  <si>
    <t>Aurtism C.E.O. / The War against Depression &amp; Anxiety will be won! #Autism Advocate 💪🏾 🏆 #MentalHealth</t>
  </si>
  <si>
    <t>http://www.Aurtism.org</t>
  </si>
  <si>
    <t>Lia  📚🦇</t>
  </si>
  <si>
    <t>Happy #Caturday! 🥰 Can we please go back to 2 weeks ago when the weather was deliciously crisp and sunny?! ☀️ I’m all for chill weather but this incessant rain is wrecking havoc on my #mentalhealth... 💆‍♀️</t>
  </si>
  <si>
    <t>https://pbs.twimg.com/media/EOl775BUYAAD0jw.jpg</t>
  </si>
  <si>
    <t>🚀 Outer Space</t>
  </si>
  <si>
    <t>*easily distracted by sparkling objects*</t>
  </si>
  <si>
    <t>https://www.goodreads.com/BookishQuest</t>
  </si>
  <si>
    <t>ElLois</t>
  </si>
  <si>
    <t>#Mentalhealth #MentalHealthMatters @JPBrown5 Hey Jordan, maybe a few Pooh comments once in a while? Thank you Pooh for your wisdom. RT @Robinson_Linds: It's #WinnieThePoohDay Pooh:"Today was a Difficult Day" Piglet: "Difficult Days are so much easier when you know you've got someone there for you. And I'll always be here for you, Pooh." We all have "Difficult Days". We all need someone to sit with us on a "Difficult Day"</t>
  </si>
  <si>
    <t>https://twitter.com/Robinson_Linds/status/1218464125543690240</t>
  </si>
  <si>
    <t>https://pbs.twimg.com/media/EOjaqhgWAAAMdPr.jpg</t>
  </si>
  <si>
    <t>Passionate about #childsponsorship</t>
  </si>
  <si>
    <t>purespark</t>
  </si>
  <si>
    <t>Catch the #spark @yourpurespark #mentalhealth #depression #MentalHealthMatters</t>
  </si>
  <si>
    <t>https://pbs.twimg.com/media/EOl72KZXUAAnSvC.jpg</t>
  </si>
  <si>
    <t>Mental Health Stigma Slayer🧠🗡; believes there are many ways to tackle mental illness. Personally effect by mental illness #bipolar #silencetheshame.</t>
  </si>
  <si>
    <t>https://linktr.ee/yourpurespark</t>
  </si>
  <si>
    <t>DistressCentreOttawa</t>
  </si>
  <si>
    <t>If you or someone you know is in a dark place, please know therere is help. Please call the Distress Centre. Our are phone lines are open 24/7. 613.238.3311 #ottawa #ottcity #yow #ottnews #mentalhealth #mentalhealthawareness #mentalhealthmatters #ItsOkNotToBeOk</t>
  </si>
  <si>
    <t>Ottawa</t>
  </si>
  <si>
    <t>We offer 24/7 support, crisis intervention &amp; education services to residents of the Champlain region. 613-238-3311 &amp; 866-996-0991. Office line 613-238-1089.</t>
  </si>
  <si>
    <t>https://www.dcottawa.on.ca</t>
  </si>
  <si>
    <t>Kim Amadril</t>
  </si>
  <si>
    <t>#MentalHealth BBC News - Miscarriage can lead to 'long-term post-traumatic stress'</t>
  </si>
  <si>
    <t>https://www.bbc.com/news/health-51093999</t>
  </si>
  <si>
    <t xml:space="preserve"> Los Angeles California, USA </t>
  </si>
  <si>
    <t>#IranElection2009 #Feminist #BornResisting. If you're Silent, Complicit. #writer #rare #autoimmune If you're not #BLUENOMATTERWHO</t>
  </si>
  <si>
    <t>http://www.kimamadril.com</t>
  </si>
  <si>
    <t>Katie Marie🥀</t>
  </si>
  <si>
    <t>One of the most difficult things in the world is trying to keep something that's hurting so much on the inside to yourself in fear of burdening anyone else. 💔😪 #bpd #mentalhealth #MentalHealthMatters #depression #borderlinepersonalityDisorder</t>
  </si>
  <si>
    <t>stuck in the middle with you</t>
  </si>
  <si>
    <t>BanjeeBoo! Absolutely bonkers, Thrill seeker. Drink &amp; swear too much don't laugh enough, Life's a battle! Smitten with my Martin💕Films, Music &amp; Chelsea FC💙</t>
  </si>
  <si>
    <t>Wellin5</t>
  </si>
  <si>
    <t>Online #counselling can have many benefits. Here are some of the reasons Wellin5 clients have chosen online counselling for their #mentalhealth needs:</t>
  </si>
  <si>
    <t>http://ow.ly/iRfy50xYqCS</t>
  </si>
  <si>
    <t>Online</t>
  </si>
  <si>
    <t>Secure, professional online counselling is here. Our innovative Wellin5 platform is your road to a happier, healthier you.</t>
  </si>
  <si>
    <t>https://www.wellin5.com</t>
  </si>
  <si>
    <t>Author Laura T Johnson</t>
  </si>
  <si>
    <t>Check out my new blog post. #MentalHealth is real! RT @AuthorLauraJ: Happy Friday! As promised, I'm sharing another part of me. As always comment, like, and share. And if you would like to do so, share your own stories.</t>
  </si>
  <si>
    <t>https://twitter.com/AuthorLauraJ/status/1218275123662290945
http://lauratjohnson.wordpress.com/2020/01/17/the-landing/</t>
  </si>
  <si>
    <t>Tennessee</t>
  </si>
  <si>
    <t>I write romance with a twist. Welcome to the world of Suspense Romance Novelist Laura T Johnson. 📕📖📚 #DVsurvivor #blogger #writercommunity http://amzn.to/2FU7ZIE</t>
  </si>
  <si>
    <t>Have you broken your own heart?  💔#Mentalhealth</t>
  </si>
  <si>
    <t>http://bit.ly/370BGFC</t>
  </si>
  <si>
    <t>NicholasHayman 🇪🇺🇬🇧🇪🇸🇮🇨Ⓥ</t>
  </si>
  <si>
    <t>This can sometimes be the hardest thing, not knowing when you're going to be better 😞 #MentalHealth RT @caringforyaa: it’s okay if u thought u were over it but it hits u all over again. it’s okay to fall apart even after u thought u had it under control. u are not weak. healing is messy. there is no timeline for healing</t>
  </si>
  <si>
    <t>https://twitter.com/caringforyaa/status/1218615725243424768</t>
  </si>
  <si>
    <t>Devon, UK &amp; Fuerteventura 🇪🇺</t>
  </si>
  <si>
    <t>19 year old • Liberal • Mental Health • Climate Change • Vegan • #ActuallyAutistic</t>
  </si>
  <si>
    <t>KT</t>
  </si>
  <si>
    <t>#SS Saturday Splash it's jyst a matter of tyme #family #friends #association #frienemies #enemies #profound #revolution #unit #all #world #live #better #spiritualhealing #mentalhealth #physicalhealth…</t>
  </si>
  <si>
    <t>https://www.instagram.com/p/B7ebC4Uh7gl/?igshid=1ozx51vsk00nc</t>
  </si>
  <si>
    <t>JUPITER</t>
  </si>
  <si>
    <t>Entrepreneur, Music Artist/Entertainer, Herbal/Organic Fragrance developer, Apparel rep, Contact KT 917-653-4259 Hcekingtwistic@gmail.com</t>
  </si>
  <si>
    <t>http://www.facebook.com/KingTwistic</t>
  </si>
  <si>
    <t>Can you recommend anyone for this #psychiatry job in Colville, WA? Click the link in our bio to see it and more. Psychiatry Physician Leader at NorthEast Washington Alliance Counseling Services #mentalhealth</t>
  </si>
  <si>
    <t>Is this thing on??</t>
  </si>
  <si>
    <t>Come one, come all, #mentalhealth is fun 🤹🏻‍♀️</t>
  </si>
  <si>
    <t>https://pbs.twimg.com/media/EOl6W3RWkAAzdt_.jpg</t>
  </si>
  <si>
    <t>Gina</t>
  </si>
  <si>
    <t>UPDATE: #MICHIGAN Legislature passes #MentalHealth hotline 🙂👍🙂👍</t>
  </si>
  <si>
    <t>https://www.wilx.com/content/news/Bill-to-create-Michigan-mental-health-hotline-nears-final-OK-566978981.html</t>
  </si>
  <si>
    <t>Haunting the GOP's nightmares.</t>
  </si>
  <si>
    <t>Progressive. Activist. Passionate and Bold. I *heart* PBO. Please follow back! If I don't follow back right away, hang in there! P.S. RWNJs will be blocked.</t>
  </si>
  <si>
    <t>🏴󠁧󠁢󠁷󠁬󠁳󠁿</t>
  </si>
  <si>
    <t>Just because... I don’t think people realise how much #nature has a positive impact on your #mentalhealth Feeling shit? Go for a #walk It works 🥰 RT @ValaAfshar: The mysterious and beautiful movement of trees</t>
  </si>
  <si>
    <t>https://twitter.com/valaafshar/status/1213288365463871488</t>
  </si>
  <si>
    <t>pic.twitter.com/ZwueOnuw3C</t>
  </si>
  <si>
    <t>Cardiff, Wales</t>
  </si>
  <si>
    <t>🏴󠁧󠁢󠁷󠁬󠁳󠁿 Strangetowner. Dwlu ar gŵn. Cymraes falch IAWN. Love dogs. VERY proud Welsh lady. 🏴󠁧󠁢󠁷󠁬󠁳󠁿 ‘’Be the person your dog thinks you are.’’</t>
  </si>
  <si>
    <t>Rosy Window Productions</t>
  </si>
  <si>
    <t>Your child's best year yet! find out more at  #happynewyear #newyearnewyou #familygoals #health #love #mentalhealth #childrensbooks #confidence #mindset #success #motivation #newyear #2020 #clarity #read #teach #happykids #healthykids #goals #kidgoals</t>
  </si>
  <si>
    <t>http://rosywindow.com</t>
  </si>
  <si>
    <t>https://pbs.twimg.com/media/EOl5-ZfU4AAlfMJ.jpg</t>
  </si>
  <si>
    <t>Fort St John British Columbia</t>
  </si>
  <si>
    <t>Through stories, pictures, guided meditation and hypnotherapy, we inspire children to develop the skills to live happy, healthy, productive lives.</t>
  </si>
  <si>
    <t>Love Leggings</t>
  </si>
  <si>
    <t>What are the benefits of meditation? Check out our blog:  #Meditation #MentalHealth #Mindfulness</t>
  </si>
  <si>
    <t>http://ow.ly/9jeA30q6AJc</t>
  </si>
  <si>
    <t>https://pbs.twimg.com/media/EOl6JFFUwAAeOvq.jpg</t>
  </si>
  <si>
    <t>Leggings for the modern day you. However you wear them, we’ve got you covered. #MyLoveLeggings</t>
  </si>
  <si>
    <t>http://bit.ly/2JNDzfv</t>
  </si>
  <si>
    <t>NoStigmas Mental Health</t>
  </si>
  <si>
    <t>"The stigma around my symptoms did nothing but make me more isolated, more alone and more anxious. Now I'm getting help. But it could have been sorted sooner..." #NoStigmas #MentalHealth #PeerSupport</t>
  </si>
  <si>
    <t>https://www.time-to-change.org.uk/blog/mental-health-stigma-doesnt-solve-issues-it-just-makes-them-worse</t>
  </si>
  <si>
    <t>Worldwide!</t>
  </si>
  <si>
    <t>#NoStigmas is a global peer-led community advocating for #mentalhealth &amp; #suicideawareness by empowering allies through education, support &amp; action.</t>
  </si>
  <si>
    <t>http://nostigmas.org</t>
  </si>
  <si>
    <t>TheHPPJournal</t>
  </si>
  <si>
    <t>#AnimatedVideos stimulate #GenZ #collegestudents to discuss #MentalHealth #PhysicalHealth. See how they did it at Bowling Green in #TheHPPJournal  @BGSUHHS @Mludy @Jesskiss @DrMorganBGSU #ActiveLearning @SOPHEtweets @KathleenMRoe @genhealthEQ @TheAnimaker</t>
  </si>
  <si>
    <t>http://bit.ly/2EMfuTg</t>
  </si>
  <si>
    <t>https://pbs.twimg.com/media/EOl6G2DVUAAY3gv.jpg</t>
  </si>
  <si>
    <t>Washington, D.C</t>
  </si>
  <si>
    <t>Health Promotion Practice (HPP) publishes authoritative, peer-reviewed articles devoted to the practical application of health promotion and education.</t>
  </si>
  <si>
    <t>https://journals.sagepub.com/home/hpp</t>
  </si>
  <si>
    <t>European Thrombosis &amp; Haemostasis Alliance (ETHA)</t>
  </si>
  <si>
    <t>Glad to see this topic highlighted by @WHO_Europe; #mentalhealth is an important aspect of a #thrombosis diagnosis #Postthromboticsyndrome RT @hans_kluge: Great get-together with @WHO_Europe staff to discuss #mentalhealth issues. I will put staff mental health at the centre of my vision to take the Regional Office towards further excellence, leaving no one behind. #LetsTalk</t>
  </si>
  <si>
    <t>https://twitter.com/hans_kluge/status/1218434323306688513</t>
  </si>
  <si>
    <t>https://pbs.twimg.com/media/EOi_jZaXkAEtA5a.jpg</t>
  </si>
  <si>
    <t>Brussels, Belgium</t>
  </si>
  <si>
    <t>#ETHA, an alliance of 24 related orgs, advocates for better awareness &amp; prioritisation of #thrombosis &amp; #hemostasis in #EU patient safety &amp; research programmes</t>
  </si>
  <si>
    <t>http://www.ETHA.eu</t>
  </si>
  <si>
    <t>Progress Place</t>
  </si>
  <si>
    <t>The best business networking event in Toronto taking place March 5th, 2020 . Go to Progress Place’s website to find out more about our complimentary breakfast event:  #ClubhouseWorks #ProgressPlace #RotaryToronto #MentalHealth</t>
  </si>
  <si>
    <t>http://progressplace.org/breakfast.html</t>
  </si>
  <si>
    <t>https://pbs.twimg.com/media/EOl6BJdWAAE-pz8.jpg</t>
  </si>
  <si>
    <t>576 Church St. Toronto, ON</t>
  </si>
  <si>
    <t>At Progress Place we believe that recovery from mental illness is possible. We're a community offering hope, respect &amp; opportunities for personal development.</t>
  </si>
  <si>
    <t>http://www.progressplace.org</t>
  </si>
  <si>
    <t>Majority of Oxfordshire #suicide victims 'not in contact with #mentalhealth services'</t>
  </si>
  <si>
    <t>https://www.oxfordmail.co.uk/news/18162570.oxfordshire-suicide-prevention-group-unveils-2020-2024-strategy/?ref=twtrec</t>
  </si>
  <si>
    <t>Psychology Reads</t>
  </si>
  <si>
    <t>Recommended reading choices on the subject of psychology  #psychology #mentalhealth</t>
  </si>
  <si>
    <t>https://ift.tt/1TImMuM</t>
  </si>
  <si>
    <t>Books and resources based on and around psychology.</t>
  </si>
  <si>
    <t>Need a #MentalHealth Boost? Try This Now ||  == #anxiety #depression #adhd #bipolar #mhchat #mhsm</t>
  </si>
  <si>
    <t>https://bit.ly/3ag9LmU</t>
  </si>
  <si>
    <t>https://pbs.twimg.com/media/EOl59lOW4AE-eUr.jpg</t>
  </si>
  <si>
    <t>coumcollege</t>
  </si>
  <si>
    <t>UNDERSTANDING ANXIETY IN MEN | A Video Preview. This powerful 5 week online course of #video presentations support students to deepen their understanding &amp; awareness of their #anxiety with the teachings of the Ageless #Wisdom.  #Menshealth #mentalhealth</t>
  </si>
  <si>
    <t>https://buff.ly/2KVLt4T</t>
  </si>
  <si>
    <t>https://pbs.twimg.com/media/EOl59YBU4AAwUma.jpg</t>
  </si>
  <si>
    <t>http://www.coum.org</t>
  </si>
  <si>
    <t>The Nearly Man</t>
  </si>
  <si>
    <t>If this image strikes a chord with You, You may be interested to visit JacOB - ⠀⠀ #mentalhealth #poem #depression</t>
  </si>
  <si>
    <t>https://buff.ly/2HhO2fi</t>
  </si>
  <si>
    <t>https://pbs.twimg.com/media/EOl58tnUUAA-_yy.png</t>
  </si>
  <si>
    <t>Musician, Poet, Writer, living with demons</t>
  </si>
  <si>
    <t>JAcOB</t>
  </si>
  <si>
    <t>https://pbs.twimg.com/media/EOl57vEU4AEQk51.png</t>
  </si>
  <si>
    <t>JAcOB is an acronym for "http://justanordinarybloke.com" A sufferer of depression, mental health spokesman and advocate through his published music &amp; poetry.</t>
  </si>
  <si>
    <t>http://justanordinarybloke.com</t>
  </si>
  <si>
    <t>Theravive</t>
  </si>
  <si>
    <t>Recreational cannabis use is associated with the relief of stress, anxiety, and depression, according to some users.  #mentalhealth #cannibas #depression</t>
  </si>
  <si>
    <t>https://bit.ly/38j78PG</t>
  </si>
  <si>
    <t>Mental Health | Therapy</t>
  </si>
  <si>
    <t>Reducing mental health stigma and connecting folks with great counselors and psychologists.</t>
  </si>
  <si>
    <t>http://www.theravive.com</t>
  </si>
  <si>
    <t>anna.belle_wrestler</t>
  </si>
  <si>
    <t>Even if you don't feel like it, you are ready for #Recovery in fact, you deserve it 😉 #EatingDisorsers #Anorexia #Bulimia #BingeEating #MentalHealth #Psychology</t>
  </si>
  <si>
    <t>https://www.truewarrior.fm/recovery-101</t>
  </si>
  <si>
    <t>El Centro (California)</t>
  </si>
  <si>
    <t>Youtuber 🎬 Eating Disorders Survivor 💪 From Anna to Belle 🔜 Graphic Design 💻 From Córdoba City 🇦🇷 Living in El Centro 🇺🇸 🏳️‍🌈LGBT🏳️‍🌈 #TEAMSTALLION</t>
  </si>
  <si>
    <t>Kari Joys MS</t>
  </si>
  <si>
    <t>To experience #LOVE, express love! Art ~@isazapata #JoyTrain #Joy #Kindness #MentalHealth #Mindfulness #GoldenHearts #IAM #ChooseLove #FamilyTrain #IQRTG #SaturdayMorning #SaturdayThoughts #SaturdayMotivation #HappyWeekend #ThinkBIGSundayWithMarsha</t>
  </si>
  <si>
    <t>https://pbs.twimg.com/media/CVtdrd6U4AAXVmi.jpg</t>
  </si>
  <si>
    <t>Psychotherapist, Author, Educator &amp; Co-Creator #JoYTrain http://JoYTrain.org Transform Your Life to #JoY Overcome Stress, Anxiety, Depression &amp; Abuse issues</t>
  </si>
  <si>
    <t>http://www.kari-joys.com</t>
  </si>
  <si>
    <t>Having issues with disorders? SNAP nutrients can help - Learn more at  #MentalHealth #SNAPtoday</t>
  </si>
  <si>
    <t>http://www.adhdSNAP.com</t>
  </si>
  <si>
    <t>https://pbs.twimg.com/media/EOl5zewXkAEGxd4.jpg</t>
  </si>
  <si>
    <t>UoCPorters</t>
  </si>
  <si>
    <t>"It’s important to remember that everyone on campus, from the deans to the recycling wardens, has survival skills students can benefit from.." This will never get old - Superb article on Campus Security and #mentalhealth, have a read all @uochester</t>
  </si>
  <si>
    <t>https://www.theguardian.com/higher-education-network/2018/jan/05/we-all-need-to-be-less-scared-of-asking-for-help-campus-security-on-mental-health</t>
  </si>
  <si>
    <t>Chester, UK</t>
  </si>
  <si>
    <t>University of Chester Portering team, providing responsive security and related services for students and staff 24/7 365. All enquiries to 01244 511541.</t>
  </si>
  <si>
    <t>Andrea Harrn</t>
  </si>
  <si>
    <t>There are many ways to use The Mood Cards - here are a few to get started:  #mentalhealth #MentalHealthMatters</t>
  </si>
  <si>
    <t>https://goo.gl/oqsSup</t>
  </si>
  <si>
    <t>London UK</t>
  </si>
  <si>
    <t>English Psychotherapist and Creator of The Mood Cards series of cards and books http://bit.ly/moodcards http://bit.ly/moodsbox2 http://bit.ly/moodbook http://bit.ly/TheMoodDiary</t>
  </si>
  <si>
    <t>http://www.themoodcards.com</t>
  </si>
  <si>
    <t>The Mood Cards</t>
  </si>
  <si>
    <t>Unresolved #mentalhealth problems lie at the heart of our greatest social challenges #headstogether</t>
  </si>
  <si>
    <t>http://bit.ly/moodsbox2</t>
  </si>
  <si>
    <t>https://pbs.twimg.com/media/EOl5u_nUUAEnXzg.jpg</t>
  </si>
  <si>
    <t>Opening up conversations around mental health http://bit.ly/moodcards http://bit.ly/moodsbox2 http://bit.ly/moodbook http://bit.ly/TheMoodDiary</t>
  </si>
  <si>
    <t>Dharmesh Mistry</t>
  </si>
  <si>
    <t>My first tweet in a while, I’ve not been well, work related challenges #arthritis, #mentalhealth, but selflessness is getting me through the struggles I’m facing. We all need to do our bit to help the most vulnerable👍🏽@WYP_DA @ndawards @SpaBradford @bradfordmdc #homelessness</t>
  </si>
  <si>
    <t>https://pbs.twimg.com/media/EOl5uMrU8AA4q51.jpg</t>
  </si>
  <si>
    <t>Leeds, England</t>
  </si>
  <si>
    <t>Gary Bukowski,MA, CFRE</t>
  </si>
  <si>
    <t>Cory's Story Making A Difference at Sarah A Reed Children's Center @Fund2007 #adhd #mentalhealth  via @SlideShare</t>
  </si>
  <si>
    <t>https://www.slideshare.net/GaryLBukowskiMACFREV/corys-story-making-a-difference-at-sarah-a-reed-childrens-center</t>
  </si>
  <si>
    <t>Erie,Pennsylvania</t>
  </si>
  <si>
    <t>Associate VP for Development Sarah A Reed Children's Center,Change Agent,Life Long Learner</t>
  </si>
  <si>
    <t>http://SarahAReed.PlannedGiving.org</t>
  </si>
  <si>
    <t>Com. Nrs. Habeebullahi Sanni</t>
  </si>
  <si>
    <t>By tackling #MentalHealth we’re harnessing the #PowerTo make a positive impact on the world. Thanks @BofA_News for keeping me informed on #WEF20. @SenorOptimista</t>
  </si>
  <si>
    <t>Lagos, Nigeria</t>
  </si>
  <si>
    <t>||Male||, ||Married to Qurratu Ayn|| ||Mental health Enthusiast|| ||Social Activist|| ||State NANNM Auditor11 || ||SDG3 Advocate|| ||UnRepentant Arsenal Fan||</t>
  </si>
  <si>
    <t>http://www.facebook.com/Hablex</t>
  </si>
  <si>
    <t>WARRIOR MENTALITY</t>
  </si>
  <si>
    <t>Evolution is built on the knowledge that only the strongest survive. It is in your genetic makeup... you are strong. Never ever give up! #MentalHealthMatters #mentalhealth</t>
  </si>
  <si>
    <t>pic.twitter.com/AW3annRg7P</t>
  </si>
  <si>
    <t>Walk your own path. A path of purpose and greatness. Start now. Worry later. You are the master of your fate, you are the captain of your soul. Notifications on</t>
  </si>
  <si>
    <t>Dr. Ray</t>
  </si>
  <si>
    <t>Research shows that our gut plays an essential role in all aspects of health including brain and #mentalhealth. This is because it digests and absorbs nutrients from our food and gets rid of waste.  #Microbiome #guthealth via @LeesaKlich</t>
  </si>
  <si>
    <t>https://buff.ly/2KNzlVm</t>
  </si>
  <si>
    <t>https://pbs.twimg.com/media/EOl5Nv_XsAEyZHC.jpg</t>
  </si>
  <si>
    <t>Sacramento, CA</t>
  </si>
  <si>
    <t>Naturopathic Physician, Wellness Expert and Life Coach</t>
  </si>
  <si>
    <t>http://www.DrRayND.com</t>
  </si>
  <si>
    <t>RoslynByfieldTherapy</t>
  </si>
  <si>
    <t>I think this should be essential viewing for all those in healthcare roles, #mentalhealth, #addiction and also politicians. It reveals the lack of proper thought and strategy in the #pain management area. #AddictedToPainkillers</t>
  </si>
  <si>
    <t>https://www.radiotimes.com/tv-programme/e/kvr2mk/horizon--s2020-e1-addicted-to-painkillers-britains-opioid-crisis/</t>
  </si>
  <si>
    <t>Psychodynamic BACP accredited counsellor (Waterloo).I tweet about mental health, therapy and wellbeing. Member of Maudsley NHS Mind and Soul Choir.</t>
  </si>
  <si>
    <t>http://www.roslynbyfieldcounselling.co.uk</t>
  </si>
  <si>
    <t>stephen</t>
  </si>
  <si>
    <t>#mentalhealth keep talking</t>
  </si>
  <si>
    <t>Colchester, England</t>
  </si>
  <si>
    <t>ENJOY LIFE HAVE FUN</t>
  </si>
  <si>
    <t>Diana</t>
  </si>
  <si>
    <t>I was described by an Ofsted inspector on Friday as “really calm” and “as cool as a cucumber” after no sleep &amp; anxiety all night. So to those of you who suffer with #anxiety know that you can appear calm and achieve great things despite it, sometimes because of it #MentalHealth</t>
  </si>
  <si>
    <t>Politics, Early Years Education, mental health and the occasional sweary rant. https://thepnerd.wordpress.com</t>
  </si>
  <si>
    <t>W. Scott</t>
  </si>
  <si>
    <t>what if #love #kindness #selfcare #selflove #lovethyneighbor #mentalhealth #poetryofinstagram #prose #words #spilledink #postcardsandbristol #wscott #thoughts #sayings #quotes #qotd #thinker #books #author #poet…</t>
  </si>
  <si>
    <t>https://www.instagram.com/p/B7eaTYVgFCj/?igshid=9igyame98xgt</t>
  </si>
  <si>
    <t>🌙 + 🪐</t>
  </si>
  <si>
    <t>Dreaming dreams wide awake / Author / Ravenclaw / Music / Isaiah 43:1-3 / BPD / Post-its and Parchment / Notecards and Scrolls / Postcards and Bristol (2/18/20)</t>
  </si>
  <si>
    <t>http://www.wscottauthor.com</t>
  </si>
  <si>
    <t>✨SassyCat3000✨</t>
  </si>
  <si>
    <t>Thanks @DeviantSuccubus for being a guest blogger #sb4mh she talks about #dissociation #DID #mentalhealth RT @Sb4Mh: Devie Talks Dissociation #guestblogger #DID #SB4MH #dissociation #mentalhealth</t>
  </si>
  <si>
    <t>https://twitter.com/Sb4Mh/status/1218542167943086080
http://sexbloggersformentalhealth.sassycat3000.net/devie-talks-dissociation-guest-blogger/</t>
  </si>
  <si>
    <t>https://pbs.twimg.com/media/EOkhpN_U0AAQGII.png</t>
  </si>
  <si>
    <t>Corn Country - Midwest</t>
  </si>
  <si>
    <t>Contains Adult Material|Impulsive|Wild Child|Sex Blogger|Podcaster|Poly|Influencer|Biker Chick|Borderline|Creator of @Sb4Mh</t>
  </si>
  <si>
    <t>http://sassycat3000.net</t>
  </si>
  <si>
    <t>👑 Dusky 🍒 - FC</t>
  </si>
  <si>
    <t>I think after #FC2020; I’ll be taking a step back from the furry fandom and social media. I just really need to work out some stuff for my own mental/emotional health. #depression #Mentalhealth</t>
  </si>
  <si>
    <t>Monterey, CA</t>
  </si>
  <si>
    <t>28 - Swaps between NSFW/SFW ~ Autistic/Non-binary {He/They}/ Bi / Queer ~ Personal/Safe space @TinyYeen ~ ESFJ-A / ESFJ-T</t>
  </si>
  <si>
    <t>It's a good point. He's not saying meds can't have a role with opioids, but #Addiction is not just opioids. We have to look far beyond meds when treating Addiction. Biopsychosocial-spiritual interventions are vital. #Recovery #Mentalhealth #yyc RT @drrickbarnett: @NedPresnall @UnhealthyAlcDrg @NIHDirector The # of those who continue to use other opioids, other drugs and alcohol and continue die to while being “retained” “maintained” or “detained” on bupe/Methadone is still staggeringly high. This group mustn’t be overlooked. Yes bupe works, yet people still die. We can do better.</t>
  </si>
  <si>
    <t>https://twitter.com/drrickbarnett/status/1218502873161650176</t>
  </si>
  <si>
    <t>joel_roosen</t>
  </si>
  <si>
    <t>The only way to make sense out of change is to plunge into it, move with it, and join the dance. #mentalhealth</t>
  </si>
  <si>
    <t>Getting fit made simple.</t>
  </si>
  <si>
    <t>Derek Dulley</t>
  </si>
  <si>
    <t>#God created ALL His children on purpose in order to have a purpose. #God's GOOD will be UPON&amp;WITHIN us ALL forever going forward...#Prayer #MentalHealth #Prayer #INTERCESSION #TwinSoul #Depression #Prayer #Addiction #Prayer #HospitalAbuse #Prayer #Jesus #JesusSaves #JesusHeals</t>
  </si>
  <si>
    <t>North Vancouver, B.C. Canada</t>
  </si>
  <si>
    <t>#AA's 12 Steps &amp; Links to Bible Scripture. Romans 8:26; Galatians 4:19. Join us in prayer for our loved ones - Matthew 18:19-20. 604-988-8703😀#SpiritualRecovery</t>
  </si>
  <si>
    <t>http://www.dulleytopbooks.com</t>
  </si>
  <si>
    <t>Tori</t>
  </si>
  <si>
    <t>Please consider signing and feeding back via the consultation process.. closing date 19th Jan...tomorrow #peersupport #mentalhealth #nhs #thirdsector #psychology #traumainformed #nothingaboutuswithoutus RT @toriotero: Join us in signing an Open Letter about the proposed Peer Support Worker Apprenticeships. We don’t think the proposal reflects the values, roots or diversity of peer support. Peer support workers &amp; allies- help us protect peer support &amp;amp; sign the letter:</t>
  </si>
  <si>
    <t>https://twitter.com/toriotero/status/1217753949236875264
https://www.nsun.org.uk/news/peer-support-worker-apprenticeships-sign-our-letter</t>
  </si>
  <si>
    <t>Manchester UK</t>
  </si>
  <si>
    <t>Intentional Peer Support trainer. Intentional community development. Co founder of Beyond Barriers. NHS. Views my own, retweets not endorsements</t>
  </si>
  <si>
    <t>My Big Fat Life</t>
  </si>
  <si>
    <t>I found this today &amp; asked my son when he made this. He replied after the break-up from his then girlfriend. I will be spending time talking to him about the signs of abuse &amp;amp; how to ask for help. This is powerful and heartbreaking. #Mentalhealth #amwriting #SpeakUp #parenting</t>
  </si>
  <si>
    <t>https://pbs.twimg.com/media/EOl3w7oVUAE1rAo.jpg</t>
  </si>
  <si>
    <t>Oregon, USA</t>
  </si>
  <si>
    <t>I write stuff. I research stuff. I own a pair of legwarmers, so there's that. I post pics of weird stuff I see.</t>
  </si>
  <si>
    <t>🤡🤡🤡#WomensMarchLA #WomensMarch #WomensMarchDC #WomensMarchNYC #WomensMarchChicago2020 #WomensMarch2020 Time for the #Haters, #Hats &amp; #Clowns Parade! #Haters of #BABY #WOMEN. #Man haters. #Emasculators. #PinkPissyHats #Victimhood #Mentalhealth #TDS #KAG2020 #Trump2020 RT @CarmineSabia: It is time for #WomensMarch2020. Where women march for rights they already have. The bravery. Want to be brave? March in Iran.</t>
  </si>
  <si>
    <t>https://twitter.com/carminesabia/status/1218612540177108992</t>
  </si>
  <si>
    <t>All She Wanted Was Validation #healthcare #MentalHealth   #content</t>
  </si>
  <si>
    <t>https://link.medium.com/epD7gbRbWU</t>
  </si>
  <si>
    <t>Online #Mindfulness Therapy via Skype. Learn how to apply mindfulness #meditation for overcoming emotional suffering. Visit: . #mentalhealth #anxietytreatment #panicattacks #OCDtreatment #PTSDtreatment #depressiontreatment #addictiontreatment</t>
  </si>
  <si>
    <t>Julia Hengstler</t>
  </si>
  <si>
    <t>Think this is a good case study piece for educators to read re. #students #mentalhealth #socialmedia #safety RT @jhengstler: Just reading @ejdickson ‘s powerful 1/20 piece “The Viral Murder of Bianca Devins” in @RollingStone . A young woman’s trajectory to online emo-anime identities ending in murder at hands of an ‘orbiter’ while wrestling with mental health issues.</t>
  </si>
  <si>
    <t>https://twitter.com/jhengstler/status/1218636235792478208
https://apple.news/AnMWWm_6_SWO8H6eDVT8u0A</t>
  </si>
  <si>
    <t>#EdTech, #Privacy, Research, Raising DigiSavvy Kids--All opinions my own; Consultant, Faculty of Ed Professor, PhD Student, Ed Technologist.</t>
  </si>
  <si>
    <t>http://jhengstler.wordpress.com</t>
  </si>
  <si>
    <t>Hey #twitchfam This lady is beautiful, funny supportive &amp; a wonderful #mentalhealth advocate. Helping people learn that it's always #timetotalk Raven has her sub goal set at 200. Come join us and find out yourself🤗 @ravenclaw0044 playing Fallout 4!</t>
  </si>
  <si>
    <t>https://clips.twitch.tv/YummyTangentialNikudonPeanutButterJellyTime</t>
  </si>
  <si>
    <t>Boxplanet</t>
  </si>
  <si>
    <t>If you're a Veteran🎖️ or know of someone with difficulty or in despair, please #ReachOut to @VETERANSCHARITY who are standing by to help confidentially. They rapidly deployed assistance to this person. Please donate, I have 🇬🇧 #PTSD #Support #Veterans #MentalHealth #InvictusGames</t>
  </si>
  <si>
    <t>https://pbs.twimg.com/media/EOl27OiU0AY_Q0F.jpg</t>
  </si>
  <si>
    <t>Plymouth, England</t>
  </si>
  <si>
    <t>I really enjoy travelling and a new found passion in making (probably quite dire) short films :)</t>
  </si>
  <si>
    <t>Hanwell Nature</t>
  </si>
  <si>
    <t>A #rewilded 61 acre urban meadow bursting with common, rare &amp; vulnerable species, some facing UK #extinction #WarrenFarm should be celebrated &amp;amp; protected for #cleanair #mentalhealth #naturerecovery #biodiversity Pls help us keep it safe 4future generations</t>
  </si>
  <si>
    <t>http://www.crowdjustice.com/case/protect-warren-farm/</t>
  </si>
  <si>
    <t>https://pbs.twimg.com/media/EOl3UJXU0AAc2Y0.jpg</t>
  </si>
  <si>
    <t>An environmental, expert led team calling on Ealing Council to protect #WarrenFarm as the species rich Nature Reserve it is. #ProtectWarrenFarm from #ecocide</t>
  </si>
  <si>
    <t>http://www.hanwellnature.com</t>
  </si>
  <si>
    <t>Support for #socialanxiety :  #mentalhealth</t>
  </si>
  <si>
    <t>http://on.fb.me/1vF5UYZ</t>
  </si>
  <si>
    <t>The Jewish Board</t>
  </si>
  <si>
    <t>People often use the term #selfcare to describe actions that have positive emotional outcomes. But what does the term actually mean? Therapists at @PsychCentral discuss self-care and share tips on how to make the practice meaningful. #mentalhealth</t>
  </si>
  <si>
    <t>https://psychcentral.com/blog/therapists-share-their-favorite-meaningful-self-care-tips/</t>
  </si>
  <si>
    <t>New York's largest mental health and social services agency. Working to help New York's most vulnerable citizens.</t>
  </si>
  <si>
    <t>http://jewishboard.org</t>
  </si>
  <si>
    <t>TheSocialLightPodcast</t>
  </si>
  <si>
    <t>Give our @instagram some love!!!! @SocialLightTalk #podcast #blogger #mentalhealth #Empowerment #Womenrising2020 #SaturdayVibes</t>
  </si>
  <si>
    <t>The Social Light Podcast hosted by @ShalaneDanielle #positivity #empowerment Help reduce #mentalhealth #stigma! IG:SocialLightTalk #momblogger</t>
  </si>
  <si>
    <t>http://www.thesociallight.org</t>
  </si>
  <si>
    <t>C.R. Ward</t>
  </si>
  <si>
    <t>I had an emotional moment as I reflected upon a recent past. Tears dwelled and my response was to write instead of using. People can change if they desire to. #amwriting #recovery #WritingCommunity #Mentalhealth</t>
  </si>
  <si>
    <t>https://crwardphotography.wordpress.com/2020/01/18/blank-canvas/</t>
  </si>
  <si>
    <t>Faith • Artist • Writer • Recovery • #mentalhealth • #writingcommunity • Emotionally void • Morally bankrupted • Weird • Student at LAFS</t>
  </si>
  <si>
    <t>http://www.crwardphotography.wordpress.com</t>
  </si>
  <si>
    <t>Lindsay Weisner @PsychShrinkMom</t>
  </si>
  <si>
    <t>I’m making a list: worst things to say to someone who is dealing with mental illness. #mentalhealth #MentalHealthAwareness #MentalHealthMatters #therapy #therapistlife #therapist #narcissisticabuse #depressionfeelslike #DepressionIsReal #AnxietyFeelsLike #SuicideAwareness</t>
  </si>
  <si>
    <t>@PsychShrinkMom Writer, cynic, wife, mother, complainer. That person in the room whose mouth moves before her brain thinks through the consequences.</t>
  </si>
  <si>
    <t>https://podcasts.apple.com/us/podcast/neurotic-nourishment/id1464366670</t>
  </si>
  <si>
    <t>What exactly is Asperser's Syndrome?  #mentalhealth #mentalillness</t>
  </si>
  <si>
    <t>http://psy.pub/1kbPgXU</t>
  </si>
  <si>
    <t>Dan Zen Carson</t>
  </si>
  <si>
    <t>🙏🎧Download Free Zen Music 🎶  #zenmusic #musica #newmusic #chillout #stressrelief #lifestyle #relaxingmusic #piano #music #relaxing #meditation #mentalhealth #music #happiness #peace #love #spa #wellness #health #mindfulness #healing #prayer #deep #mind</t>
  </si>
  <si>
    <t>http://relaxingzenmusic.com/free-zen-music/</t>
  </si>
  <si>
    <t>🎶Peaceful Zen Music for Relaxation, Meditation &amp; Sleep 🙏 Mind Body Healing : http://RelaxingZenMusic.com #ZenMusic</t>
  </si>
  <si>
    <t>http://relaxingzenmusic.com</t>
  </si>
  <si>
    <t>Jedi Knight Silver</t>
  </si>
  <si>
    <t>New Season, New Episode A Taste To Consider Podcast S2 Ep1 | Weigh You Down  via @YouTube #mentalhealth #seasonalaffectivedisorder #fitness</t>
  </si>
  <si>
    <t>https://youtu.be/HCDQyX9CFBQ</t>
  </si>
  <si>
    <t>Evolution of Man| Spirituality| Mental Health Advocate|🎙A Taste To Consider Podcast|👨🏽‍💻 http://Greatestiamblog.com| 🎤 @UandUpodcast| IG: http://Mr.I.AM_</t>
  </si>
  <si>
    <t>http://linktr.ee/mr.i.am_</t>
  </si>
  <si>
    <t>FMHI</t>
  </si>
  <si>
    <t>In recent years, several NBA All-Stars have spoken about their #MentalHealth struggles. Here's how the league is reacting and what it means for the rest of the country. #BehavioralHealth</t>
  </si>
  <si>
    <t>https://qoo.ly/33wrsg</t>
  </si>
  <si>
    <t>https://pbs.twimg.com/media/EOl2d5PU0AEdR6R.jpg</t>
  </si>
  <si>
    <t>Louis de la Parte Florida Mental Health Institute at @USFCBCS. FMHI seeks to improve services and outcome for individuals with mental and addictive disorders.</t>
  </si>
  <si>
    <t>http://www.usf.edu/cbcs/fmhi/</t>
  </si>
  <si>
    <t>Introduction to Nicola Spendlove, Author of '#MentalIllness in the Family' ||  == #mentalhealth #anxiety #depression #bipolar #mhsm #mhchat</t>
  </si>
  <si>
    <t>https://bit.ly/3ahW0ED</t>
  </si>
  <si>
    <t>https://pbs.twimg.com/media/EOl2dykVUAAyRLW.jpg</t>
  </si>
  <si>
    <t>A Chronic Voice</t>
  </si>
  <si>
    <t>“We can be our own worst enemy at times and it can be helpful to challenge and #reframe our #thoughts":  @febstarsblog #mindfulness #SelfAwareness #MentalHealth</t>
  </si>
  <si>
    <t>https://buff.ly/2NEubg8</t>
  </si>
  <si>
    <t>Articulating #chronicillness from various #perspectives. #Lupus, #Sjogrens, #AntiphospholipidSyndrome &amp; more. @HuffingtonPost blogger: http://goo.gl/3Uigrf</t>
  </si>
  <si>
    <t>http://www.achronicvoice.com</t>
  </si>
  <si>
    <t>Grief is kind of an odd process of time and memories. Almost a year since my grandmothers passed away back to back. 5 months since I lost a good friend. I recieved a card in the mail from the family. Some days are harder, with the reminders. And that's okay. #mentalhealth</t>
  </si>
  <si>
    <t>https://pbs.twimg.com/media/EOl2W8CX0AAcpzJ.jpg</t>
  </si>
  <si>
    <t>David Susman PhD</t>
  </si>
  <si>
    <t>NEW post! Stories of Hope: Fight Another Day featuring @sharonblady  #mentalhealth #advocacy</t>
  </si>
  <si>
    <t>http://bit.ly/2TD8LDy</t>
  </si>
  <si>
    <t>Lexington, Kentucky USA</t>
  </si>
  <si>
    <t>Clinical psychologist, mental health advocate, @universityofky Assistant Professor. Top 75 Mental Health Blogs. ‘Stories of Hope.’ @APA Council Leadership Team.</t>
  </si>
  <si>
    <t>http://davidsusman.com</t>
  </si>
  <si>
    <t>Elle Sutcliffe</t>
  </si>
  <si>
    <t>So I saw this picture of @CF_Russell in @mischiefcomedy #GoesWrongShow #TheLodge I thought wow fancy having a go at painting it! Hope everyone likes it! 🥰😀 #acrylic #blackandwhite #mentalhealth #mentalselfcare #inspired #bigmischieftheatrefan #idol</t>
  </si>
  <si>
    <t>https://pbs.twimg.com/media/EOl19QLU4AEo1ab.jpg</t>
  </si>
  <si>
    <t>Hopeful Actor, Soprano, Vlogger, Je peux parler le français 'un peu', team captain for Kent Latin and Ballroom Club, lover of history and great books</t>
  </si>
  <si>
    <t>https://www.youtube.com/channel/UCxtWkoMs1H_JmCn30okPpew</t>
  </si>
  <si>
    <t>Marie Petrescu</t>
  </si>
  <si>
    <t>One of the best ADHD Parenting blogs:  #ADHD #Parenting #mentalhealth #ADHDchild</t>
  </si>
  <si>
    <t>http://queenofthedistracted.blogspot.com/</t>
  </si>
  <si>
    <t>Thornhill, Canada</t>
  </si>
  <si>
    <t>I am a psychotherapist, autism advocate, and a mother of 10 year old ADHD child. A volunteer at Durham Autism Services. Interested in #Autism #Aspergers #ADHD,</t>
  </si>
  <si>
    <t>http://durham-autism.org</t>
  </si>
  <si>
    <t>K.I.S.S. Media</t>
  </si>
  <si>
    <t>Your child watching pornography on the computer ttps://bit.ly/2Tvy76c #pornography #children #compiter #mentalhealth #psychiatry #psadena #joeharaszti</t>
  </si>
  <si>
    <t>Your company has its own voice. We just turn up the volume. K.I.S.S. Media. #marketing #production #losangeles media training, social networking</t>
  </si>
  <si>
    <t>http://www.kissmediaco.com</t>
  </si>
  <si>
    <t>Patricia Freudenberg</t>
  </si>
  <si>
    <t>Speak Up! Self-Silencing May Lead To Serious Heart Problems For Women #mindsetiseverything #MentalHealth #selfawareness #Principles</t>
  </si>
  <si>
    <t>https://www.studyfinds.org/speak-up-self-silencing-may-lead-to-serious-heart-problems-for-women/</t>
  </si>
  <si>
    <t>Miss-U-Gram ®️ offers a new social media app 100% free to pay tribute when you miss someone that passed away https://www.facebook.com/TributeCopeShare/</t>
  </si>
  <si>
    <t>http://www.miss-u-gram.com</t>
  </si>
  <si>
    <t>#KenyasInsomniac</t>
  </si>
  <si>
    <t>It's almost end of January and i haven't started any book, surely, i must be doing badly. Anyone with a spare funny interesting book on #mentalhealth or #insomnia to lend me?</t>
  </si>
  <si>
    <t>kenya</t>
  </si>
  <si>
    <t>Gambler with words,event host #KenyasInsomniac #MentalHealth /Social Media Nerd ,complex thoughts</t>
  </si>
  <si>
    <t>http://www.facebook.com/www.twitter.com</t>
  </si>
  <si>
    <t>CalmPeople</t>
  </si>
  <si>
    <t>Quote of the day: I always prefer to believe the best of everybody: it saves so much trouble. Rudyard Kipling #ConflictManagement #AngerManagement #StressManagement #Choices #MentalHealth #CalmPeople #Wellbeing #EmotionalResilience #Resilience #whatinspiresme #HumanResources</t>
  </si>
  <si>
    <t>https://pbs.twimg.com/media/EOl1V0iXUAEee4E.jpg</t>
  </si>
  <si>
    <t>Experts in stress, conflict, emotional resilience &amp; anger management. Helping organisations and individuals be resilient, happy and be the calm in the storm.</t>
  </si>
  <si>
    <t>http://about.me/julian_hall</t>
  </si>
  <si>
    <t>/ no memories / #haiku #poetry - about remembering and loving posted on .@Medium  #writing #poem #poet #writingcommunity #poetrycommunity #life #health #love #wellbeing #psychology #mindhealth #wisdom #mentalhealth #spirituality #creativity</t>
  </si>
  <si>
    <t>https://link.medium.com/twjVnh7Zb3</t>
  </si>
  <si>
    <t>Marshal Mark</t>
  </si>
  <si>
    <t>This Monday is #BlueMonday, a term coined by a PR company to sell holidays. But this can give people the wrong impression of #mentalhealth, suggesting we can predict it and 'get over it' in a day. Visit…</t>
  </si>
  <si>
    <t>https://www.instagram.com/p/B7eYYY-gKOO/?igshid=kntrto4qajbi</t>
  </si>
  <si>
    <t>Newbury, England</t>
  </si>
  <si>
    <t>loves bikes and bike racing, TB46 fan, marshal at Racesafe for BSB</t>
  </si>
  <si>
    <t>Mike's Open Journal</t>
  </si>
  <si>
    <t>New Blog Post 👨🏼‍💻 I seriously needed a walk  #MHBlogger #MentalHealth #wellbeing #physicalandmentalhealth</t>
  </si>
  <si>
    <t>https://www.mikesopenjournal.com/post/i-need-a-walk</t>
  </si>
  <si>
    <t>South East, England</t>
  </si>
  <si>
    <t>@MOJO_BlogPod part of Mike’s Open Journal | Hosted by @Mike_Douglas_ talking mainly #MentalHealth | Mike@MikesOpenJournal.com</t>
  </si>
  <si>
    <t>http://www.mikesopenjournal.com/</t>
  </si>
  <si>
    <t>Kellie ❤</t>
  </si>
  <si>
    <t>I'm just starting my first shift back at work after 3 months off with suicidal thoughts and self harm. I dont know how to feel. #selfharm #mentalhealth #MentalHealthAwareness</t>
  </si>
  <si>
    <t>Love like you've never loved before ❤</t>
  </si>
  <si>
    <t>Health Nut Robb</t>
  </si>
  <si>
    <t>I wanted to find out whether Phosphatidylserine (PS) could improve anxiety. This post reveals my findings and whether you should try PS for anxiety.  #Health #MentalHealth</t>
  </si>
  <si>
    <t>http://bit.ly/2ZYdwZC</t>
  </si>
  <si>
    <t>Newcastle, England</t>
  </si>
  <si>
    <t>Join me on my journey on the shortest road to health. Longevity Diets. No-BS Fitness Advice. Deep Sleep Tips. Find my best secrets at http://bit.ly/2KPUf6P</t>
  </si>
  <si>
    <t>http://bit.ly/2Npo6oj</t>
  </si>
  <si>
    <t>#TimeToChangeWarrington</t>
  </si>
  <si>
    <t>Love this event in Liverpool. Well done to all involved. Good luck We are working hard too to #GetWarringtonTalking If we #EndTheStigma around #MentalHealth not only can we save lives &amp; get people to seek the support they may need; we can also help create more caring communities RT @talk_lpool: Blue Monday 20th January we will be at Central Station Liverpool supporting mental health in Liverpool. If you would like any information or a chat on whats available pop by and see us 08:30 - 17:30 #MerseyRail #talkliverpool @merseyrail @TimetoChange @Rethink_</t>
  </si>
  <si>
    <t>https://twitter.com/talk_lpool/status/1218586445167910913</t>
  </si>
  <si>
    <t>https://pbs.twimg.com/media/EOlJ6fJWsAAGphr.jpg</t>
  </si>
  <si>
    <t>Warrington, Cheshire</t>
  </si>
  <si>
    <t>#TimeToChangeWarrington is a hub made up of individuals &amp; companies wishing to #endthestigma &amp; #stopdiscrimination surrounding #mentalhealth &amp; #mentalillness</t>
  </si>
  <si>
    <t>Do you know the symptoms of Claustrophobia?  #mentalhealth #mentalillness</t>
  </si>
  <si>
    <t>http://psy.pub/1kbPi1W</t>
  </si>
  <si>
    <t>Mental Health MN</t>
  </si>
  <si>
    <t>Thank you to the @Mankatonews for your #advocacy! We agree that "More attention in 2020 needs to be paid to the health of our young people, including their #mentalhealth." Part of the solution includes funding more state programs to make care accessible: .</t>
  </si>
  <si>
    <t>http://bit.ly/2tm4sC8</t>
  </si>
  <si>
    <t>Minnesota</t>
  </si>
  <si>
    <t>We work to enhance mental health, promote individual empowerment, and increase access to treatment and services for persons with mental illnesses.</t>
  </si>
  <si>
    <t>https://mentalhealthmn.org/</t>
  </si>
  <si>
    <t>Oksana</t>
  </si>
  <si>
    <t>“Never let what you think you want get in the way of what you know you want.” - advice from a very smart friend of mine ❤️ #Mentalhealth #MentalHealthMatters #MentalHealthAwareness #life #liveyourbestlife #BeHappy #choices #Change #goforit #Courage #letgo</t>
  </si>
  <si>
    <t>Woodbine, Calgary</t>
  </si>
  <si>
    <t>Actor, Singer, Songwriter, Entertainer, Writer, Analyst, Spreadsheet Junkie, Presenter, Facilitator, Listener, and Lover of the Arts. 🎭🎶</t>
  </si>
  <si>
    <t>http://www.oksanaverse.com</t>
  </si>
  <si>
    <t>Good Life &amp; Wellness</t>
  </si>
  <si>
    <t>There is no way to happiness, happiness is the way!' Check out 101 thoughts you can use to transform your life, given to us by the inspiring Wayne Dyer.  #happy #happiness #health #wellness #wellbeing #mentalhealth #connection #relationships</t>
  </si>
  <si>
    <t>https://www.youtube.com/watch?v=v4sp38MOo2M</t>
  </si>
  <si>
    <t>pic.twitter.com/AthfWobYrb</t>
  </si>
  <si>
    <t>Tweeting on #wellness, #health, #fitness and #good life. Life is good! Let's make the most of it!</t>
  </si>
  <si>
    <t>Daniel Barton</t>
  </si>
  <si>
    <t>Please head over to @MateMental for a one stop shop on all #mentalhealth advice! Please give them a #follow and #RETWEEET @SheffieldStar @HoltChris @samcoopernews @domhowson @BBCSheffield @swfc @AlanBiggs1 #mentalmate #MentalHealthAwareness #LetsTalkMore #KeepFighting</t>
  </si>
  <si>
    <t>@swfc supporter, golf and gym enthusiast! Keen Fundraiser for Sheffield Charities. #mentalmate</t>
  </si>
  <si>
    <t>INFJPerspective</t>
  </si>
  <si>
    <t>Hi guys, sorry for the break time, #imback. Wanna know how it is being #INFJ? It’s like you worry that you will hurt or offend anyone you talk to. So in the end you worry to talk to anyone. And you don’t. Your just silent observer of reality overthinking everything #MentalHealth</t>
  </si>
  <si>
    <t>Insight into the mind of world’s rarest #MBTI personality type - #INFJ What of and how we think. Opinions?</t>
  </si>
  <si>
    <t>Fay Short</t>
  </si>
  <si>
    <t>Today I feel cold - how do you feel? @FaybeShort #itsokaytofeel #okaytofeel #365daysoffeeling #365feelings #feelings #mentalhealth #talkaboutmentalhealth #therapy #counselling #howdoyoufeel #howdoyoufeeltoday</t>
  </si>
  <si>
    <t>https://www.instagram.com/p/B7eXrUlAUC4/?igshid=125hp74zdp6zo</t>
  </si>
  <si>
    <t>Bangor University</t>
  </si>
  <si>
    <t>Professor in Psychology at Bangor University Psychologist, Counsellor, Educator Running til the sand runs out...</t>
  </si>
  <si>
    <t>Kaushik Sridhar</t>
  </si>
  <si>
    <t>Contented people are healthier, and healthy people are more content. Buddhists assert that your mind cannot dwell on both the positive and the negative simultaneously -  #happiness #Wellbeing #health #Mentalhealth</t>
  </si>
  <si>
    <t>https://kaushiksridhar.com/2020/01/18/love-health-and-happiness/</t>
  </si>
  <si>
    <t>Sustainability Leader l Non-Executive Director l University Lecturer l Former Professional Athlete | Views expressed are my own</t>
  </si>
  <si>
    <t>http://kaushiksridhar.com</t>
  </si>
  <si>
    <t>Kellie Scott</t>
  </si>
  <si>
    <t>In need of a hug and pain meds, 6wks sleep and some intensive mental health therapy. Anyone got a brochure? #mentalhealth #struggling #physicalpain #stigma #wtf #whyme</t>
  </si>
  <si>
    <t>Kilcreggan, Scotland</t>
  </si>
  <si>
    <t>Wanna be optimist • Trump Hater • Feminist • 5,2 • Brown hair ••••?</t>
  </si>
  <si>
    <t>Thero</t>
  </si>
  <si>
    <t>Love ballad to your #therapist with @KristenBell &amp; @YNB *Mild language use* #mentalhealth</t>
  </si>
  <si>
    <t>https://youtu.be/co3-PZ8vs-8</t>
  </si>
  <si>
    <t>Orcas, WA</t>
  </si>
  <si>
    <t>We're making it easy to mental health resources. Search for help for yourself or a loved one at http://Thero.org/directory</t>
  </si>
  <si>
    <t>http://www.thero.org</t>
  </si>
  <si>
    <t>Limbic System CBT</t>
  </si>
  <si>
    <t>Anyone can be angry, that is easy. But to be angry with the right person, to the right degree, at the right time, for the right purpose, and in the right way--that is not easy. -#Aristotle #anger #EmotionalIntelligence #mentalhealth</t>
  </si>
  <si>
    <t>Tweets to promote the part of the brain that deals with three key functions: emotions, memories &amp; arousal #Psychotherapy #Psicoterapia #Kent http://umbertocrisanti.com</t>
  </si>
  <si>
    <t>http://umbertocrisanti.com</t>
  </si>
  <si>
    <t>Lady Elena</t>
  </si>
  <si>
    <t>Destroy negative thoughts, when they first appear. This is when they are the weakest. ~ S Makwa #MentalHealth</t>
  </si>
  <si>
    <t>London, UK</t>
  </si>
  <si>
    <t>Cake addict 🍰 | #ESOL Teacher • IT Trainer for Job Centres • Private Tutor for SEN Learners. "Always leave people better than you found them."🌼🦋💫 #EsolElena</t>
  </si>
  <si>
    <t>How I Learned to Stop Worrying and Love Failure by Wil Wheaton @wilw  #creativewriting #rejection #writing #amwriting #mentalhealth #invisibleillness #startrek #TNG #depression #MentalHealth #KeepTalkingMH</t>
  </si>
  <si>
    <t>http://ow.ly/eUky50xXwoY</t>
  </si>
  <si>
    <t>https://pbs.twimg.com/media/EOlzH25W4AEq9c_.jpg</t>
  </si>
  <si>
    <t>The OFFICE Massage Co</t>
  </si>
  <si>
    <t>Mental health for small workplaces  #wellbeing #mentalhealth</t>
  </si>
  <si>
    <t>http://bit.ly/2If2F6g</t>
  </si>
  <si>
    <t>https://pbs.twimg.com/media/EOlzD2nU0AADz1G.jpg</t>
  </si>
  <si>
    <t>East Midlands, England</t>
  </si>
  <si>
    <t>On-site office massage, corporate events, #officemassage #corporatemassage #wellbeingintheworkplace #wellbeing</t>
  </si>
  <si>
    <t>http://www.office-massage.co.uk</t>
  </si>
  <si>
    <t>Why I Don't Believe in #EatingDisorder Triggers ||  == #mentalhealth #recovery #anorexia #bulimia #bingeeatingdisorder #mhsm #mhchat</t>
  </si>
  <si>
    <t>https://bit.ly/2QRksF0</t>
  </si>
  <si>
    <t>https://pbs.twimg.com/media/EOlzCepX4AEzZaK.jpg</t>
  </si>
  <si>
    <t>Richard Cosgrove</t>
  </si>
  <si>
    <t>Need help with #mentalhealth? @ samaritans 116123 @ PAPYRUS_tweets HOPELine 10am-10pm 0800 0684141 SMS 07786 209697 @ CharitySANE 4.30-10.30pm 0300 3047000 @ theCALMzone 5pm-12am 0800 585858 Webchat</t>
  </si>
  <si>
    <t>http://bit.ly/2pbLlI3</t>
  </si>
  <si>
    <t>https://pbs.twimg.com/media/EOlzCmCXsAIuMP5.jpg</t>
  </si>
  <si>
    <t>Editor &amp; writer. #Depression survivor. English &amp; EU. RT ≠ agree nor endorse. See @EditYourWords for copy editing. The Rules: http://bit.ly/2kROlmr</t>
  </si>
  <si>
    <t>http://richardcosgrove.co.uk</t>
  </si>
  <si>
    <t>Christy Honeycutt</t>
  </si>
  <si>
    <t>Lets talk about Mental health! Younger workers (under 30) compared to older workers were less comfortable talking about mental health at work (45% v 57%). #mentalhealth #youmatter #bettertogether</t>
  </si>
  <si>
    <t>https://lnkd.in/eaBFVh6</t>
  </si>
  <si>
    <t>Talent Acquisition Solutions Director specializing in RPO for Korn Ferry. Mother of Frenchie's, Texas State Bobcat &amp; a Gamer. Family, fun, loyalty &amp; integrity</t>
  </si>
  <si>
    <t>CMHA</t>
  </si>
  <si>
    <t>Bell Let's Talk Day is January 29th this year and CMHA is one of four organizations across Canada that is highlighted as providing mental health support. #BellLetsTalk #mentalhealth @Bell_LetsTalk @CMHA_NTL</t>
  </si>
  <si>
    <t>https://www.youtube.com/watch?v=LCKtwcEb6To&amp;feature=youtu.be&amp;fbclid=IwAR0AQGg2F-eKsFUOueHuG4Ya_PRunDEscIqsREjBkoiXbIs3EH-hZ_7818o</t>
  </si>
  <si>
    <t>Truro, Nova Scotia</t>
  </si>
  <si>
    <t>CMHA Colchester East Hants promotes the mental health of all and supports the resilience and recovery of people experiencing mental illness.</t>
  </si>
  <si>
    <t>https://youtu.be/-Ehj97_Qwjc</t>
  </si>
  <si>
    <t>ME Against Myself 🇧🇧🦂</t>
  </si>
  <si>
    <t>I hate the simple fact that old school black people/parents just don’t understand the importance of #mentalhealth. Jesus/church are a powerful force but praying isn’t the answer to #mentalhealth issues. #💚</t>
  </si>
  <si>
    <t>Huntington Beach, CA</t>
  </si>
  <si>
    <t>My therapist told me 8 to 10, and self medicate... 🤔</t>
  </si>
  <si>
    <t>THE BRITISH RESISTANCE🌊🇪🇺🇺🇸🇬🇧📷🗽🎥</t>
  </si>
  <si>
    <t>#mentalhealth Bad day just getting worse. Everywhere I go people see me as a problem that needs to be got rid of. People in my own personal life are just starting to eat away at me.</t>
  </si>
  <si>
    <t>POLITICAL PROTEST ACCOUNT. #Resister &amp; #Remainer. #FBPE. Trying to empty the overflowing septic tank that is The Far Right, Trump &amp; The Tories. 🌊🇪🇺🇬🇧🇺🇸</t>
  </si>
  <si>
    <t>http://www.instsgram.com/nowhere.photographs</t>
  </si>
  <si>
    <t>Ella Feelan</t>
  </si>
  <si>
    <t>Information for foster carers and teachers: Child Dissociative Checklist. Children deserve help when they're children.  #FosterCare #Dissociation #MentalHealth #Teacher</t>
  </si>
  <si>
    <t>https://secure.ce-credit.com/articles/102019/Session_2_Provided-Articles-1of2.pdf</t>
  </si>
  <si>
    <t>Author. Fiction. Psychological. Mental Health. Human condition. Thriver. Voice through story telling.</t>
  </si>
  <si>
    <t>Catherine Bowman</t>
  </si>
  <si>
    <t>Jus trying to make it thru the day. Last paycheck I got covered the holidays when we didn’twork. After bills I have nothing left. Not even food. I have no car, no family, and a bunch of empty promises. No one will read this, or even care if I disappear. #mentalhealth</t>
  </si>
  <si>
    <t>Charlotte, NC</t>
  </si>
  <si>
    <t>💕Mom of 2,Nature/Animal Lover, Vegan,Virgo,TWD,💙NFL- Panthers,Stay Woke, Music is life, Equality for All💕</t>
  </si>
  <si>
    <t>https://www.youtube.com/channel/UC1I6E15noyBLyAVReOjBR3w</t>
  </si>
  <si>
    <t>Online #Mindfulness Therapy via Skype. Learn how to apply mindfulness #meditation for healing #anxiety and #depression. Visit: . #mentalhealth #anxietytreatment #panicattacks #OCDtreatment #PTSDtreatment #depressiontreatment #addictiontreatment</t>
  </si>
  <si>
    <t>TheJayLamar™️ | #TheHustleIsLifeBrand</t>
  </si>
  <si>
    <t>Social Media Isnt Toxic, YOU ARE! | The Perspective Podcast, EP 1  via @YouTube - #podcast #perspective #vlog #content #socialmedia #toxic #mentalhealth</t>
  </si>
  <si>
    <t>https://youtu.be/SWa0uYtnvgI</t>
  </si>
  <si>
    <t>Appleton, WI</t>
  </si>
  <si>
    <t>Award Winning Social Influencer | MultiBranded Entrepreneur | Songwriter | Father | Creator Of http://TheHustleIsLifeBrand.com</t>
  </si>
  <si>
    <t>http://TheHustleIsLifeBrand.com</t>
  </si>
  <si>
    <t>https://pbs.twimg.com/media/EOlyJMeUUAA75wK.jpg</t>
  </si>
  <si>
    <t>JustsumInspiration</t>
  </si>
  <si>
    <t>What better way to make them even more on edge about you. Haha, Just BE YOU, DO YOU! #lifecoach #motivation #inspiration #love #lifecoaching #selflove #life #mindset #selfcare #lifestyle #mindfulness #entrepreneur #success #personaldevelopment #loveyourself #mentalhealth</t>
  </si>
  <si>
    <t>https://pbs.twimg.com/media/EOlyH09UUAAqbsz.jpg</t>
  </si>
  <si>
    <t>My name is Roshonda Blackmon and I Love to Inspire, motivate others &amp; Write. I'm a believer - If you adjust your view, life can actually be better than expected</t>
  </si>
  <si>
    <t>http://www.justsuminspiration.com</t>
  </si>
  <si>
    <t>ʙʀᴀɪɴ | ᴛʀᴀɪɴɪɴɢ</t>
  </si>
  <si>
    <t>BBC Mental A History of the Madhouse FULL DOCUMENTARY  via @YouTube #Asylum #MentalHealth #BrainTraining #Psychiatry</t>
  </si>
  <si>
    <t>https://youtu.be/oswUssXzFlY</t>
  </si>
  <si>
    <t>ʙᴀʀʀᴀɴǫᴜɪʟʟᴀ, ᴄᴏʟᴏᴍʙɪᴀ</t>
  </si>
  <si>
    <t>ᴄᴇᴏ &amp; ғᴏᴜɴᴅᴇʀ 🛄 ᴍᴇʀᴄᴇʟᴇɴᴀ ʟᴇᴍᴀîᴛʀᴇ @11bluesquirrel 🗨️ɴᴇᴜʀᴏᴅɪᴠᴇʀsɪᴛʏ 🧠 | ᴍʜᴀᴅᴠᴏᴄᴀᴛᴇ 💚 | ᴇᴅᴜᴄᴀᴛɪᴏɴ 📚 | ʟᴇᴀʀɴɪɴɢ 🚀 | ᴘsʏᴄʜᴏʟᴏɢʏ 🦋</t>
  </si>
  <si>
    <t>https://www.instagram.com/braintraining_club/</t>
  </si>
  <si>
    <t>A. 🥰💕</t>
  </si>
  <si>
    <t>A dinner and movie date night out with my husband while grandma and grandpa watch Griffin. My mental health needs this so much. #datenight #mentalhealth #badboysforever</t>
  </si>
  <si>
    <t>Michigan, USA</t>
  </si>
  <si>
    <t>Happiness can be found even in the darkest of times, if one only remembers to turn on the light. Albus Dumbledore| 8.18.18|💍👰🏼🤵🏻💕|8.20.19👩🏼‍🦰👨🏻👶🏼|</t>
  </si>
  <si>
    <t>http://facebook.com/amber.sobleskey</t>
  </si>
  <si>
    <t>You... You're still Here... Still Trying... Still Fighting... Still Breathing... Keep Breathing. Keep Trying. Keep Fighting 💪 The World Needs You. You. Are. Important. You. Are. Enough. You. Are. Loved ❤ #mentalhealth #YouAreNotAlone #thoughts #BeKind</t>
  </si>
  <si>
    <t>Neema Sings</t>
  </si>
  <si>
    <t>I know that blessings are coming my way! I’m giving thanks right now! 🙏🏾❤️#grateful #gratitude #thankful #positivevibes #blessed #2020 #selfcare #mentalhealth</t>
  </si>
  <si>
    <t>https://www.instagram.com/p/B7eWvdvHo86/?igshid=1j8vkus6pu0h1</t>
  </si>
  <si>
    <t>San Diego, CA</t>
  </si>
  <si>
    <t>Singer/Songwriter</t>
  </si>
  <si>
    <t>http://www.reverbnation.com/neema1</t>
  </si>
  <si>
    <t>TutorinTinseltown</t>
  </si>
  <si>
    <t>The Misery Found On Any Online Social Network The Misery Found On Any Online Social Network  #mentalhealth #selflove</t>
  </si>
  <si>
    <t>https://tutorintinseltown.com/the-misery-found-on-any-online-social-network/?utm_source=ReviveOldPost&amp;utm_medium=social&amp;utm_campaign=ReviveOldPost</t>
  </si>
  <si>
    <t>Tutor in Tinseltown is here to give parents support when it comes to their children's education and problem behavior. http://tutorintinseltown.com</t>
  </si>
  <si>
    <t>http://tutorintinseltown.com</t>
  </si>
  <si>
    <t>Vixxy Rose</t>
  </si>
  <si>
    <t>⭐️ so this cold turned into a chest infection and now into sinusitis fun times!! 🤦🏻‍♀️ so I have been relaxing in my comfy new pjs catching up on some reading and some #selfcare time ⭐️ #KeepTalkingMH #SickNotWeak #mentalhealth</t>
  </si>
  <si>
    <t>https://pbs.twimg.com/media/EOlxcDPU0AALl1B.jpg</t>
  </si>
  <si>
    <t>Bazinga⚡️ I’m an adult but not a real one! dealing with mental illness and mental health ups and downs #sicknotweak🖕🏻 PCOS 👸🏽 I blog, I draw, I drink tea!</t>
  </si>
  <si>
    <t>http://crazylittlethings.site</t>
  </si>
  <si>
    <t>U2U</t>
  </si>
  <si>
    <t>Discover I Believe In You Women's T-Shirt from U2U, a custom product made just for you by Teespring.  #motivational #inspirational #inspiredaily #affirmations #positivethoughts #mindful #positiveenergy #mindfulness #psychology #mentalhealth #selfcare</t>
  </si>
  <si>
    <t>https://buff.ly/2EX52In</t>
  </si>
  <si>
    <t>https://pbs.twimg.com/media/EOlxbbtU0AAIyxc.jpg</t>
  </si>
  <si>
    <t>When your kicking around in your comfy clothes, put on U2U and send a positive impactful message every time you look in a mirror. From you to you.</t>
  </si>
  <si>
    <t>https://teespring.com/stores/u2u-2</t>
  </si>
  <si>
    <t>Not met anyone in the 10%. Just saying. Ongoing trauma is a very significant risk factor for the development of dissociative disorders. Thought to be the root cause in at least 90 percent of people with these conditions.  #Dissociation #MentalHealth</t>
  </si>
  <si>
    <t>https://www.verywellmind.com/how-trauma-can-lead-to-dissociative-disorders-2797534</t>
  </si>
  <si>
    <t>MistryChef</t>
  </si>
  <si>
    <t>#day18 Is it such a bad thing to be just ordinary? Far too much pressure to be too many things, I'll stick with ordinary thanks!  #mentalhealth #mentalhealthawareness #mentalhealthmatters</t>
  </si>
  <si>
    <t>http://www.mistrychef.com</t>
  </si>
  <si>
    <t>https://pbs.twimg.com/media/EOlxRuPWAAIZrES.jpg</t>
  </si>
  <si>
    <t>Aylesbury, Buckinghamshire, UK</t>
  </si>
  <si>
    <t>Endeavouring to bring back the diminishing skill of cooking from scratch= less diet related diseases=less pressure on the NHS. No time to cook? MAKE TIME....</t>
  </si>
  <si>
    <t>Roisin Szczygieł</t>
  </si>
  <si>
    <t>Hi, my names Roisin and I am a prisoner in my own mind. But I will not let it win! #mentalhealth #ocd #anxiety</t>
  </si>
  <si>
    <t>pic.twitter.com/ZYsMHGdGww</t>
  </si>
  <si>
    <t>Leeds</t>
  </si>
  <si>
    <t>In order to be irreplaceable one must always be different - Coco Chanel 💜</t>
  </si>
  <si>
    <t>Dr. Meghan Novisky</t>
  </si>
  <si>
    <t>Hey, #crimtwitter! I'm looking for some strong international articles and/or books on #incarceration and #mentalhealth risks, services, comparative approaches to policy, etc. Who has some recommendations?🙂</t>
  </si>
  <si>
    <t>Cleveland, OH USA</t>
  </si>
  <si>
    <t>Criminologist @CLE_State researching health disparities &amp; other collateral consequences of mass #incarceration. PhD, Consultant for @UCCorrections. She/her.</t>
  </si>
  <si>
    <t>http://www.meghananovisky.net</t>
  </si>
  <si>
    <t>Anyone who struggles with #BPD do you ever get scared of getting better? #LivingOnTheBorderline #Blog #YouTube #BorderlinePersonalityDisorder #MentalHealthMatters #MentalHealth #MenyalHealthAdvocate #BPDSufferer</t>
  </si>
  <si>
    <t>Danny Gautama</t>
  </si>
  <si>
    <t>Don’t be afraid to Fail. It is going to happen.But the real failure in life is when the one who fails decides to pack his bags and go home.Get the F back up and try harder. You are not a failure even if you failed.Keep trying 👍🏽👍🏽#SaturdayMotivation #mentalhealth #success</t>
  </si>
  <si>
    <t>https://pbs.twimg.com/media/EOlw7CcU4AAk92s.jpg</t>
  </si>
  <si>
    <t>Bodybuilder,Inspirational writer.I am passionate about lifting weights and lifting your spirits. My heroes are Sylvester Stallone,John Cena and Bret Hart.💪🏽😎</t>
  </si>
  <si>
    <t>7 Things to Do Before You #Separate  #MentalHealth #Relationships</t>
  </si>
  <si>
    <t>https://www.psychologytoday.com/us/blog/fixing-families/202001/7-things-do-you-separate</t>
  </si>
  <si>
    <t>National College Austalia</t>
  </si>
  <si>
    <t>CHANGING LIVES. CREATING FUTURES. What are you waiting for? GET STARTED on a Course. Study Flexible Online Certificate &amp; Diploma Courses in #agedcare #communityservices #mentalhealth #disability #alliedhealth #leisureandhealth FIND COURSE:</t>
  </si>
  <si>
    <t>http://ow.ly/NlM050vLOTB</t>
  </si>
  <si>
    <t>https://pbs.twimg.com/media/EOlwxVQWAAArxtl.jpg</t>
  </si>
  <si>
    <t>We believe in the power of online education to transform lives and communities. National College Australia will give you the confidence to succeed.</t>
  </si>
  <si>
    <t>http://www.nationalcollege.edu.au/</t>
  </si>
  <si>
    <t>// Voyeur in a Highrise // a #poem about apartment living and people watching posted on .@Medium  #writing #poetry #poet #writingcommunity #poetrycommunity #life #health #design #architecture #wellbeing #mindhealth #mentalhealth #fiction #creativity</t>
  </si>
  <si>
    <t>https://link.medium.com/tAIkrawFd3</t>
  </si>
  <si>
    <t>Autism and Hypersensitivity  #parenting #autism #ASD #Hypersensitivity #mentalhealth</t>
  </si>
  <si>
    <t>http://psy.pub/hypersensitivity</t>
  </si>
  <si>
    <t>#Study: 1 in 4 Kids With #Autism May Be #Undiagnosed  #MentalHealth</t>
  </si>
  <si>
    <t>https://psychcentral.com/news/2020/01/18/study-1-in-4-kids-with-autism-may-be-undiagnosed/153266.html</t>
  </si>
  <si>
    <t>Cole Winters</t>
  </si>
  <si>
    <t>As far as I'm concerned, depression is the worst illness you can suffer from! #depression #DepressionIsReal #mentalhealth #MentalHealthAwareness #MentalHealthMatters</t>
  </si>
  <si>
    <t>Faking #Emotions at Work May Do More #Harm Than Good  #MentalHealth #mindset</t>
  </si>
  <si>
    <t>https://psychcentral.com/news/2020/01/18/faking-emotions-at-work-may-do-more-harm-than-good/153493.html</t>
  </si>
  <si>
    <t>What do you want? 🤔 #garyveechallenge #Happiness #mentalhealth #workinghard #grind #KindnessDay #Kindness #dontforgettosmile #smile #blessed #LiveYourLife #MotivationalQuotes #SaturdayFeeling #SaturdayMotivation #SaturdayThoughts #SaturdayVibes</t>
  </si>
  <si>
    <t>Abha Thapliyal</t>
  </si>
  <si>
    <t>#MentalHealth Prompt: Reach out to one person and ask them how they’re doing today. It could be a friend, a family member, a colleague or even a stranger. Just ask. And listen. You’ll be surprised by how much love you can get, when you give just a little❤️</t>
  </si>
  <si>
    <t>https://pbs.twimg.com/media/EOlwHjpUwAAJw5k.jpg</t>
  </si>
  <si>
    <t>Pune, India</t>
  </si>
  <si>
    <t>Legal Consultant. Counsellor. Activist. Zen Buddhist. Bookworm. Podcast junkie. Raising awareness about #GenderEquality and #MentalHealth.</t>
  </si>
  <si>
    <t>https://thewisezephyrus.com</t>
  </si>
  <si>
    <t>YHELP!</t>
  </si>
  <si>
    <t>Sometimes its hard to start a new beginning when things from your past keep repeating in the present. Push through it and fight the negativity to move forward. #yhelp #teens #youth #kids #newbeginnings #freshstart #letting #fightnegativity #strangerthings #memes #mentalhealth</t>
  </si>
  <si>
    <t>https://pbs.twimg.com/media/EOlwGTKUEAAPmJl.jpg</t>
  </si>
  <si>
    <t>https://www.yhelpnow.com</t>
  </si>
  <si>
    <t>Doreen Rabi, M.D.</t>
  </si>
  <si>
    <t>Thread: This is a fantastic article on the organization of #mentalhealth (and #health) care in Canada. Will summarize: 1)Too much care for the the least complicated/too little for the most. Complex care req's time, current fee schedules don't pay for that. 1/n RT @tara_kiran: How can we improve access to psychiatry in Canada? ⁦Excellent piece ⁦@globeandmail⁩ ⁦@ErinAnderssen⁩ ft. ⁦@KurdyakP⁩ Is it that we don’t have enough resources? Yes But the bigger issue is what are we doing with our resources?</t>
  </si>
  <si>
    <t>https://twitter.com/tara_kiran/status/1218616663328940033
https://www.theglobeandmail.com/canada/article-half-of-canadians-have-too-few-local-psychiatrists-or-none-at-all/</t>
  </si>
  <si>
    <t>University of Calgary</t>
  </si>
  <si>
    <t>Diabetes health services researcher, patient-centred care devotee, eHealth fanatic. Tweets reflect my thoughts, RTs interest (not endorsement ).</t>
  </si>
  <si>
    <t>Join the Mental Health Center of Denver team! See our latest job opening here:  #MentalHealth #MentalHealthAwareness</t>
  </si>
  <si>
    <t>http://bit.ly/2v2r9M1</t>
  </si>
  <si>
    <t>Mental Health For US</t>
  </si>
  <si>
    <t>#MentalHealth fact: even though tens of millions of Americans live with mental illness, less than half will receive treatment. It's time to break down the barriers preventing people from timely, affordable care! #MentalHealthforUS</t>
  </si>
  <si>
    <t>https://pbs.twimg.com/media/EOlv02uUYAA0E-X.png</t>
  </si>
  <si>
    <t>#MentalHealthforUS is a nonpartisan, educational coalition elevating mental health and addiction in policy conversations around the country.</t>
  </si>
  <si>
    <t>http://www.mentalhealthforus.net</t>
  </si>
  <si>
    <t>APPC Penn</t>
  </si>
  <si>
    <t>Did '13 Reasons Why' lead to a spike in adolescent suicides? Researchers are divided. @cnnhealth @asmeleah look at new @APPCPenn @Penn study finding #13ReasonsWhy did not lead to spike.  #mentalhealth</t>
  </si>
  <si>
    <t>https://cnn.it/2RuZOcP</t>
  </si>
  <si>
    <t>Philadelphia, PA</t>
  </si>
  <si>
    <t>Annenberg Public Policy Center. Politics, science &amp; health. @factcheckdotorg, SciCheck, @civicsrenewal, Transatlantic Working Group. RT≠endorsement</t>
  </si>
  <si>
    <t>http://annenbergpublicpolicycenter.org</t>
  </si>
  <si>
    <t>About Islam</t>
  </si>
  <si>
    <t>Once a word has been spoken, it can never be taken back. Do you stop to think before you speak? #kindness #IslamicBehaviour #mentalhealth</t>
  </si>
  <si>
    <t>https://buff.ly/30xXF47</t>
  </si>
  <si>
    <t>An initiative that strives to build bridges of understanding and peaceful co-existence with fellow human beings around the world.</t>
  </si>
  <si>
    <t>http://aboutislam.net/</t>
  </si>
  <si>
    <t>https://lnkd.in/f5mnJiG</t>
  </si>
  <si>
    <t>Let's get to the bottom of #Communication and how it #Works. #MentalHealth #PhysicalHealth #HealthyRelationship #Relationship #Parenting #Parents #Family #Friends #ChildDevelopment #HealthyHabits #NonVerbal @PsychToday</t>
  </si>
  <si>
    <t>https://www.psychologytoday.com/us/blog/language-in-the-mind/202001/how-does-communication-work</t>
  </si>
  <si>
    <t>The Role #PracticingGratitude Plays in #MentalHealth #Stigma. New. ||  == #gratitude #depression #anxiety #bipolar #mhsm #mhchat</t>
  </si>
  <si>
    <t>https://bit.ly/30o0AMP</t>
  </si>
  <si>
    <t>https://pbs.twimg.com/media/EOlvmWkUEAIThD2.jpg</t>
  </si>
  <si>
    <t>The rTMS Centre Sheffield</t>
  </si>
  <si>
    <t>2019 has been a successful year for The rTMS Centre (Sheffield). These achievements have been recognised by the awards we have won. #TMS #rTMS #treatment #rTMSCentre #UK #Sheffield #Insurance #mentalhealth #depression #anxiety #ocd</t>
  </si>
  <si>
    <t>https://www.rtmscentre.co.uk/rtms-centre-2019-success/</t>
  </si>
  <si>
    <t>A mental health practice specialising in Transcranial Magnetic Stimulation (#TMS) treatment for #mood and #anxiety disorders. #depression #OCD #rTMS #UK</t>
  </si>
  <si>
    <t>https://rtmscentre.co.uk</t>
  </si>
  <si>
    <t>Fathers' Rights HQ</t>
  </si>
  <si>
    <t>San Diego - Los Angeles - Santa Barbara Sponsored by http://www.MentalHealth365.com</t>
  </si>
  <si>
    <t>http://www.FathersRightsHQ.com</t>
  </si>
  <si>
    <t>Yaya - Mental Health Advocate 📖+🎨</t>
  </si>
  <si>
    <t>It's hard to put time aside for ourselves- we really need a reason to do it. That's why I make my #selfcare worksheets: accountability as well as cuteness (duh). I care a lot about #mentalhealth, so my #blog  has a few to check out 😘 #freebies</t>
  </si>
  <si>
    <t>http://yayatales.com</t>
  </si>
  <si>
    <t>https://pbs.twimg.com/media/EOlvI59WkAMWbPe.jpg</t>
  </si>
  <si>
    <t>Mental Health Blogger 💜 self-care, books &amp; more! OCD, ED ☀️ Rep. by @AbiRFellows at #TGLA MH + Books on YouTube: http://bit.ly/2HMSPpA FREE Self-Care Worksheets⬇</t>
  </si>
  <si>
    <t>https://yayamentalhealth.carrd.co/</t>
  </si>
  <si>
    <t>Mental Healthcare Act 2017</t>
  </si>
  <si>
    <t>Wondering why you can't stop eating rice, corn, bread and dairy? #mentalhealth #food4mind #mindfood #MentalHealthAwareness #MentalHealthMatters RT @AidanMcCullen: “When combined with stomach acid, gluten in wheat, casein in dairy, albumin in rice, and zein in corn turn into exorphins, which can have opiate-like effects on the brain, making it very hard to stop eating them.” @DocAmen @Amen_Clinics next Thursday on @TheInnoShow</t>
  </si>
  <si>
    <t>https://twitter.com/AidanMcCullen/status/1218193242447122434</t>
  </si>
  <si>
    <t>New Delhi, India</t>
  </si>
  <si>
    <t>Not affiliated to any official government or medical body. Tweets are not legal advice.</t>
  </si>
  <si>
    <t>Antoinette Serrato</t>
  </si>
  <si>
    <t>Wow, I am 3 followers away from 700! How did that happen? Let me introduce myself! My name is Antoinette! I'm a MS student doing climatology research on seasonal forecasts! I am a weather nerd and love red lipstick. I also tweet about #MentalHealth, #WomenInSTEM, and puns.</t>
  </si>
  <si>
    <t>Reno, NV</t>
  </si>
  <si>
    <t>BS, Meteorology, ISU. UNR Geography MS student. I tweet about weather, geography, #WomenInSTEM, mental health, &amp; various other shenanigans. Views mine. She/her.</t>
  </si>
  <si>
    <t>Sewer</t>
  </si>
  <si>
    <t>I think someone I know up close is suffering from Borderline personality disorder or something similar. It's getting difficult. What to do? Which is best place in Kerala for consulting? Kindly help. #Mentalhealth #MentalHealthMatters @mheduNIMHANS @shweta_nimhans</t>
  </si>
  <si>
    <t>Identify me by my name!</t>
  </si>
  <si>
    <t>What Are Some Healthy Foods To Eat Interview: Registered Dietitian Michelle Reveals Her Best Healthy Foods To Eat #overeating #eatingdisorder #obesity #diet #weightloss #bodyimage #mentalhealth</t>
  </si>
  <si>
    <t>http://zpr.io/thFNa</t>
  </si>
  <si>
    <t>https://pbs.twimg.com/media/EOluuVBWoAEqIAA.png</t>
  </si>
  <si>
    <t>Linda Gibson</t>
  </si>
  <si>
    <t>#5things i was grateful for today 1 wonderful sunrise🌄 2 the beauty of frost❄️ 3 first cuppa of the day☕ 4 10 mins #mindfulness training😊 5 the roof over my head🏡 #mentalhealth #MentalHealthMatters #depression #DepressionIsReal #anxiety #gratitude #Happiness #joy #JoyTrain</t>
  </si>
  <si>
    <t>Laugh, and the world laughs with you!</t>
  </si>
  <si>
    <t>(っ◔◡◔)っ𝓒𝓸𝓷𝓷𝓲𝓮 💜</t>
  </si>
  <si>
    <t>My mind have gone dark again... And so, I continue on with my exchanged text messages with the @samaritans here's hoping I don't do nothing too serious, on impulse 🤦‍♀️😔 #mentalhealth #Depression #eatingdisorders #bulimia #DumpTheScales #Dropthedisorder #fuckyoumentalillness 💚</t>
  </si>
  <si>
    <t>pic.twitter.com/cA2oydDQwz</t>
  </si>
  <si>
    <t>West Midlands, England</t>
  </si>
  <si>
    <t>ᴵ ᴬᵐ ᴹᵉ, ᴺᵒᵗ ᵀʰᵉ ᴸᵃᵇᵉˡˢ ᵀʰᵉʸ ᴳᵃᵛᵉ ᴹᵉ ❤️ ᴹᴴfᴬⁱᵈᵉʳ, ᴹᵃᵃˢᵗʳⁱᶜʰᵗ ᴵⁿᵗᵉʳᵛⁱᵉʷ ᴾʳᵃᶜᵗⁱᵒⁿᵉʳ, ᴱˣ ˢᵉʳᵛⁱᶜᵉ ᵁˢᵉʳ, ᴹᴴ ᴬᵈᵛᵒᶜᵃᵗᵉ, ᴸⁱᵛᵉᵈ ᴱˣᵖᵉʳⁱᵉⁿᶜᵉ ˢᵖᵉᵃᵏᵉʳ, ᴮᵒʳⁿ ˢᵘʳᵛⁱᵛᵒʳ 💚ᴵᴺᶠᴶ</t>
  </si>
  <si>
    <t>http://www.goodreads.com/SpecialCornersConnie</t>
  </si>
  <si>
    <t>Soybean oil consumption has been on a rise in India as well. Should we be worried? #mentalhealth #MentalHealthAwareness #MentalHealthMatters #mentalillness RT @NeuroscienceNew: America's most widely consumed cooking oil causes genetic changes in the brain Soybean oil, the most consumed cooking oil in the US, has been linked to neurological and metabolic alterations #inmice.</t>
  </si>
  <si>
    <t>https://twitter.com/NeuroscienceNew/status/1218235087021625345
https://neurosciencenews.com/soybean-oil-genetics-asd-15505/amp/</t>
  </si>
  <si>
    <t>A Former Vegan confesses how Veganism was destroying her health  "They ate eggs, or the occasional fish, or piece of meat, all to keep themselves healthy, but were too scared to admit to it on their blogs." #MentalHealth #KnowledgeisPower</t>
  </si>
  <si>
    <t>https://buff.ly/371Bd61</t>
  </si>
  <si>
    <t>https://pbs.twimg.com/media/EOltih6WkAEr3Ep.jpg</t>
  </si>
  <si>
    <t>The Real Honz</t>
  </si>
  <si>
    <t>Practice #gratitude for increased #happiness.  #psychology #mentalhealth</t>
  </si>
  <si>
    <t>https://dailyhealthpost.com/gratitude-rewires-brain-happier/?fbclid=IwAR1FQ-DFXf-V6u66c25RWa0BBzovb-Uy5ygqsI8AbvJPZUGuO17oKQbsIgw</t>
  </si>
  <si>
    <t>Suburb of Gotham City</t>
  </si>
  <si>
    <t>Architect by day; mildly-overweight superhero by night...</t>
  </si>
  <si>
    <t>David Paul Harrison</t>
  </si>
  <si>
    <t>Swimming with men @RobBrydon the meaning behind this film really hits home. Glad you enjoyed it @bosworth_alison @NHFTNHS defo worth a watch #worthlessness #mentalhealth #swimmingwithmen #hope RT @bosworth_alison: Thank you @DPHarrison27 ..... We've just watched 'swimming with men' on your recommendation and can confirm we laughed and cried! A great film 👏👏👏 @MHFAEngland #MentalHealthMatters #weareNHFT</t>
  </si>
  <si>
    <t>https://twitter.com/bosworth_alison/status/1218614963075457025</t>
  </si>
  <si>
    <t>Corby, England</t>
  </si>
  <si>
    <t>I am what I am. All views are my own. Passionate about Mental Health.</t>
  </si>
  <si>
    <t>/ 3 Ways to Survive When Life Knocks You Down -- And Get Up Stronger / #writing about how to heal the pain and hurt of failure posted on .@Medium  #selfimprovement #health #lifehacks #life #mentalhealth #psychology #mindhealth #relationships #wellness</t>
  </si>
  <si>
    <t>https://link.medium.com/SK7FfYoTY2</t>
  </si>
  <si>
    <t>Open 10pm-1am tonight @TheNightBus1 is there for anyone whose feeling low, not yourself and need to get something off your chest. Our volunteers will listen and talk to you, a problem shared is a problem halved. I’ll be there brewing tonight too. Address in pic ❤️#mentalhealth</t>
  </si>
  <si>
    <t>https://pbs.twimg.com/media/EOltPHSUUAAO8se.jpg</t>
  </si>
  <si>
    <t>Vitalized Future</t>
  </si>
  <si>
    <t>I wanted to see whether Phosphatidylserine (PS) could help with anxiety. This write-up uncovers my findings and whether you should use PS for anxiety.  #MentalHealth #WellBeing</t>
  </si>
  <si>
    <t>http://bit.ly/35yL3Lc</t>
  </si>
  <si>
    <t>Vitalized Future gives you amazing insights about vitality, longevity &amp; health optimization. Find our best secrets at http://bit.ly/2P11XPJ</t>
  </si>
  <si>
    <t>http://bit.ly/2GUbFgb</t>
  </si>
  <si>
    <t>Ali D</t>
  </si>
  <si>
    <t>Just starting your #weekend? What ways will you care for yourself? Sometimes we feel inclined to be “#productive” on our days off, but at what cost? Listen to your #body today. #Mentalhealth #anxiety #depression #work #recovery</t>
  </si>
  <si>
    <t>24 year old blogger, mental health advocate, and peer worker, living beyond the label schizoaffective. Follow me on IG: written_in_the_photo</t>
  </si>
  <si>
    <t>http://ThePhilosophicalPsychotic.com</t>
  </si>
  <si>
    <t>Lindsay</t>
  </si>
  <si>
    <t>I just published The Lost Art Of Resilience  #mentalhealth #mentalillness #schizophrenia #bipolar #depression #anxiety</t>
  </si>
  <si>
    <t>https://link.medium.com/iUZSXU2el3</t>
  </si>
  <si>
    <t>Dallas, TX</t>
  </si>
  <si>
    <t>Author of For The Love Of Sanity and other #mentalhealth related books. #Blogger. Peer Support Specialist. @TheMightySite Contributor. TEDx Nominee.</t>
  </si>
  <si>
    <t>http://www.thedopamineflux.com</t>
  </si>
  <si>
    <t>Corrine Barraclough</t>
  </si>
  <si>
    <t>Stop #ParentalAlienation 🙏🏼 #auspol #Mentalhealth #familylaw #depression #SuicidePrevention #sobriety #hope #custodybattle</t>
  </si>
  <si>
    <t>https://pbs.twimg.com/media/EOlso-wU0AAl4We.jpg</t>
  </si>
  <si>
    <t>Gold Coast via UK, NYC, SYD</t>
  </si>
  <si>
    <t>Writer, editor, TV, giggler, inspiration seeker. @DailyTelegraph + @SpectatorOz + @SkyNewsAust contributor + http://www.facebook.com/CorrineBarracloughWriter</t>
  </si>
  <si>
    <t>Parenting Mental Health</t>
  </si>
  <si>
    <t>the impact of bullying on victims can last for decades, leading to poorer physical and psychological health.⁣⁣⁣ Discuss school #bullying with us here:  #Parenting #MentalHealth</t>
  </si>
  <si>
    <t>https://bit.ly/345kOvQ</t>
  </si>
  <si>
    <t>https://pbs.twimg.com/media/EOlsbcSUwAAHNj6.jpg</t>
  </si>
  <si>
    <t>Friendly community for parents of teenagers dealing with depression &amp; anxiety. No judgment, just acceptance &amp; support. Join us on FB &amp; IG!</t>
  </si>
  <si>
    <t>https://www.eventbrite.co.uk/e/2019-pmh-conference-tickets-68931085733</t>
  </si>
  <si>
    <t>Pineapple Support</t>
  </si>
  <si>
    <t>We want to support others so they never have to feel alone. Having someone there to listen can make all the difference in someone’s life. Help someone feel heard. Volunteer as a listener today.  💕🍍💕 #Pineapplesupport #mentalhealth</t>
  </si>
  <si>
    <t>https://pineapplesupport.org/volunteer-as-a-listener/</t>
  </si>
  <si>
    <t>https://pbs.twimg.com/media/EOlsZp8X4AIZ0TO.jpg</t>
  </si>
  <si>
    <t>Pineapple - Your Safe Word - The adult industry support network, providing mental health care and advice to performers across the globe.</t>
  </si>
  <si>
    <t>http://pineapplesupport.org</t>
  </si>
  <si>
    <t>Tara Genovese, LCSW</t>
  </si>
  <si>
    <t>If you say that you don't care what people think. Then it should be easy for you to communicate your needs and show a wide range of emotions, not just anger. #mentalhealth</t>
  </si>
  <si>
    <t>Illinois, USA</t>
  </si>
  <si>
    <t>Social worker providing online therapy and wellness services to our nation’s innovators</t>
  </si>
  <si>
    <t>http://taragenovese.com</t>
  </si>
  <si>
    <t>🇿🇦 Roadtripping 4 Charity 🇬🇧</t>
  </si>
  <si>
    <t>Penny for Your Thoughts #lowkey of a man lost in thought.  #photography #photographer #fineart #man #model #mood #mentalhealth #roadtrip4charity</t>
  </si>
  <si>
    <t>https://www.emcphotography.biz/portraits-1</t>
  </si>
  <si>
    <t>https://pbs.twimg.com/media/EOlsYZdXsAMGj0u.jpg</t>
  </si>
  <si>
    <t>East, England</t>
  </si>
  <si>
    <t>Undertaking a #roadtrip in aid of #MentalHealth, #Homelessness, #Cancer and #animal/#wildlife #charities #roadtrip4charity #Blog: http://emcphotography.biz/blog</t>
  </si>
  <si>
    <t>https://emcphotography.biz</t>
  </si>
  <si>
    <t>How can #ADHD affect a child's ability to succeed at #school? @ellenbraaten has the answers on our blog.  #wecanmanagethis #mentalhealth</t>
  </si>
  <si>
    <t>http://bit.ly/ADHD_School-Home</t>
  </si>
  <si>
    <t>How to Avoid a #SuicideAttempt and Cope with #Depression ||  == #mentalhealth #mdd #majordepression #mhsm #mhchat</t>
  </si>
  <si>
    <t>https://bit.ly/39W7ZY4</t>
  </si>
  <si>
    <t>https://pbs.twimg.com/media/EOlsQwUUUAAdrWY.jpg</t>
  </si>
  <si>
    <t>Lucy</t>
  </si>
  <si>
    <t>7 simple but effective ways to ensure a good mental health day and how I cope with my chronic depression and anxiety  #mentalhealth #mentalhealthawareness #depression #mentalhealthmatters</t>
  </si>
  <si>
    <t>http://dld.bz/huDzC</t>
  </si>
  <si>
    <t>https://pbs.twimg.com/media/EOlsQ3FUEAEsu6I.jpg</t>
  </si>
  <si>
    <t>Royal Tunbridge Wells, England</t>
  </si>
  <si>
    <t>Family, lifestyle blogger. Finding happiness. Chasing rainbows. Writing about #mentalhealth and #babyloss and family life. #BiBs2018 Inspire finalist.</t>
  </si>
  <si>
    <t>https://mrshsfavouritethings.com/</t>
  </si>
  <si>
    <t>SeniorCareAdvice</t>
  </si>
  <si>
    <t>Mental Health Challenges: Help for Caregivers  #SeniorCare #ElderCare #MentalHealth #SeniorMentalHealth</t>
  </si>
  <si>
    <t>https://bit.ly/2NCwAYC</t>
  </si>
  <si>
    <t>Sausalito, CA</t>
  </si>
  <si>
    <t>https://seniorcareadvice.com/</t>
  </si>
  <si>
    <t>Owl Practice</t>
  </si>
  <si>
    <t>Pro Tip: Your first step out of school should be to set yourself up with the support systems that will help you structure your new practice and manage your daily workload and appointments.  #mentalhealth #therapists</t>
  </si>
  <si>
    <t>https://bit.ly/2Mdz80Q</t>
  </si>
  <si>
    <t>Canada's comprehensive practice management solution for psychologists, social workers, and therapists</t>
  </si>
  <si>
    <t>http://www.owlpractice.ca</t>
  </si>
  <si>
    <t>💼Mentor💼Peter CJ🇨🇦</t>
  </si>
  <si>
    <t>New to Twitter. Are you from Halifax? Want to talk and ask for Advice? I am a FREE Mentor for Emotional Distress and Mental Health. #Halifax #mentorship #mentalhealth #novascotia #BellLetsTalk</t>
  </si>
  <si>
    <t>Halifax, Nova Scotia</t>
  </si>
  <si>
    <t>Peter Cloutier-Jabalee. 29/Male. 'Because if I'm alive in 25 years I'm gonna change the world or be changed by the world' -- Tupac 1996</t>
  </si>
  <si>
    <t>Dave</t>
  </si>
  <si>
    <t>yeah I've got or have had most of these still trying to figure out my shit. #mentalhealth</t>
  </si>
  <si>
    <t>https://pbs.twimg.com/media/EOlsCKRWoAEnawb.jpg</t>
  </si>
  <si>
    <t>running my ass off and getting old</t>
  </si>
  <si>
    <t>http://www.mixer.com/kelticdave</t>
  </si>
  <si>
    <t>Emily | That Weird Girl Life🐱</t>
  </si>
  <si>
    <t>NEW | My latest blog post is up and live! But *trigger warning* is has to do with emetophobia and my story of suffering from it, so if that subject upsets you, check out one of my other posts!😊 #lbloggers @BloggingBabesRT #theclqrt @USBloggerRT #Mentalhealth @BloggerShare2</t>
  </si>
  <si>
    <t>https://pbs.twimg.com/media/EOlr_tzUwAAR_kt.png</t>
  </si>
  <si>
    <t>USA</t>
  </si>
  <si>
    <t>INFJ | Bookworm | Introvert | Feminist | Cat Enthusiast | Horror Fan | Weirdo</t>
  </si>
  <si>
    <t>http://www.thatweirdgirllife.com</t>
  </si>
  <si>
    <t>The Cup Is Half Full Metal Alchemist</t>
  </si>
  <si>
    <t>Importance of #nutrition in #Mentalhealth . by @NutritionalThe3</t>
  </si>
  <si>
    <t>https://link.medium.com/4UlZ0wsO92</t>
  </si>
  <si>
    <t>AZ</t>
  </si>
  <si>
    <t>The Tares thrive on the barren ground, but the fruits of their labors are bitter.</t>
  </si>
  <si>
    <t>http://www.jeffreybrauer.blogspot.com/</t>
  </si>
  <si>
    <t>Anthony Figueroa</t>
  </si>
  <si>
    <t>Don't let mental noise distract you from your #lifegoals. #mentalhealth</t>
  </si>
  <si>
    <t>http://cpix.me/a/90328490</t>
  </si>
  <si>
    <t>https://pbs.twimg.com/media/EOlrzGKWoAAYSOd.jpg</t>
  </si>
  <si>
    <t>Orlando, FL</t>
  </si>
  <si>
    <t>http://Www.facebook.com/anthonyorlandorealtor</t>
  </si>
  <si>
    <t>countrypiper</t>
  </si>
  <si>
    <t>We Need To Do More! #MentalHealthAwareness #depressionhelp #preventsuicide #suicidethoughts #beyourself #mentalhealth #movement #sudbury @TownOfSudbury @SudburyTC</t>
  </si>
  <si>
    <t>https://pbs.twimg.com/media/EOlryy0UEAAwe1x.jpg</t>
  </si>
  <si>
    <t>Sudbury, East</t>
  </si>
  <si>
    <t>Craftsman, Businessman, Countryman but most importantly trying my best to be a Gentleman 🎩</t>
  </si>
  <si>
    <t>Eleanor</t>
  </si>
  <si>
    <t>Felt good after doing this yesterday so let's try again! Here's 5 good things from today: ♡ Went to town with family. ♡ Listened to AJR. ♡ Drank some Pepsi again. ♡ Had lunch at a cafe. ♡ Got a blog post scheduled for next week. #5goodthings #mentalhealth</t>
  </si>
  <si>
    <t>Wales, United Kingdom</t>
  </si>
  <si>
    <t>Blogger // Small YouTuber // Baby Witch // Self Rescuing Princess</t>
  </si>
  <si>
    <t>https://mxrshmallowqueen.com</t>
  </si>
  <si>
    <t>I had to hit my breaking point in order to finally start pursuing my dreams with a passion. And that’s when I realized I had to start being myself — always and no matter what.  #mentalhealth #depression #happiness #hope</t>
  </si>
  <si>
    <t>Romeo O. Luzano Jr.</t>
  </si>
  <si>
    <t>They might not give you the opportunity to define yourself from your own but at least you are working towards your mental health recovery. Happy Sunday! K E E P G O I N G #mentalhealth 👍🏻</t>
  </si>
  <si>
    <t>🇵🇭🇦🇺Vegan • Mental Health Advocate • Psychiatric Nurse • Mental Illness • Drug Addiction • Disability • Animals • Books • Outdoors • Mountaineering</t>
  </si>
  <si>
    <t>http://www.instagram.com/romeoluzanojr</t>
  </si>
  <si>
    <t>HealthCentral</t>
  </si>
  <si>
    <t>Electroconvulsive therapy, despite popular opinion, improves depression for 70 to 90 percent of patients, much more than drugs. But it has its risks.  #depression #mentalhealth</t>
  </si>
  <si>
    <t>http://ow.ly/4RdY50xYxA1</t>
  </si>
  <si>
    <t>Empowering you to take control of your health and well-being, no matter your starting point. #LiveBoldLiveNow</t>
  </si>
  <si>
    <t>http://www.healthcentral.com</t>
  </si>
  <si>
    <t>What are the Common Problem Areas in Children With ASD?  #autism #ASD #Asperger #mentalhealth</t>
  </si>
  <si>
    <t>http://bit.ly/1G2s7DX</t>
  </si>
  <si>
    <t>lets talk about mental health 🇿🇼</t>
  </si>
  <si>
    <t>My fellow #twimbos does this sound familiar. It doesn’t have to be like this, if we all played our part &amp;!educated each other on #mentalhealth then we won’t always need to point fingers at the divine or give witchcraft more power than it actually has. Let’s end the stigma</t>
  </si>
  <si>
    <t>pic.twitter.com/fHHthQRxj1</t>
  </si>
  <si>
    <t>harare, zimbabwe</t>
  </si>
  <si>
    <t>Mental Health Advocate!Recruitment Expert! Student of Public Relations!Founder of Rupasa: A place to talk!Champion Listener!Willing to learn to be a better man!</t>
  </si>
  <si>
    <t>MHANorthShore</t>
  </si>
  <si>
    <t>Are you aware of this #mentalhealth resource, learn more about @NotOKApp RT @NotOKApp: What if there was a resource to help you reach out when you’re struggling BEFORE you’re in a crisis? 🧐</t>
  </si>
  <si>
    <t>https://twitter.com/NotOKApp/status/1218603781484617729</t>
  </si>
  <si>
    <t>https://pbs.twimg.com/media/EOlZrbeWsAALVTj.jpg</t>
  </si>
  <si>
    <t>Evanston, IL</t>
  </si>
  <si>
    <t>Mental Health America of the North Shore, improves mental health through education and advocacy. This page is not a substitute for professional help.</t>
  </si>
  <si>
    <t>http://www.mhans.org/</t>
  </si>
  <si>
    <t>Stan Cho</t>
  </si>
  <si>
    <t>It was great meeting with @MayorPaterson of @cityofkingston! We discussed issues surrounding #mentalhealth, affordable housing and tourism in his community!</t>
  </si>
  <si>
    <t>https://pbs.twimg.com/media/EOlqQQPUYAASZ1U.jpg</t>
  </si>
  <si>
    <t>MPP for #Willowdale and Parliamentary Assistant to the Minister of Finance. Small business owner, proud Korean-Canadian, passionate Torontonian.</t>
  </si>
  <si>
    <t>http://www.stancho.ca</t>
  </si>
  <si>
    <t>What do you do for #selfcare? #SelfCareSaturday #mentalhealth RT @NotOKApp: #selfcare can look like this or it can look like: 👉🏽Saying “no” 👉🏽Unfollowing negative social media accounts 👉🏽deleting toxic people from your contacts 👉🏽getting enough sleep 👉🏽drinking enough water 👉🏽opening up to a friend</t>
  </si>
  <si>
    <t>https://twitter.com/NotOKApp/status/1218572801587716098</t>
  </si>
  <si>
    <t>https://pbs.twimg.com/media/EOk9gRrXUAEC0IV.jpg</t>
  </si>
  <si>
    <t>Heather Boyd 🇨🇦</t>
  </si>
  <si>
    <t>DIY Fidget Spinner Ring Tutorial  via @YouTube #AnxietyFeelsLike #mentalhealth #diy #jewellery #therapy #stressrelief #ADHD</t>
  </si>
  <si>
    <t>https://youtu.be/ABQKlGs5hyw</t>
  </si>
  <si>
    <t>Montreal, Canada</t>
  </si>
  <si>
    <t>http://heatherboydwire.com Comics: http://instagram.com/heatherboydcom… Wire Art &amp; Jewelry Making videos on YouTube: http://bit.ly/2GfRFSt</t>
  </si>
  <si>
    <t>http://bit.ly/2GfRFSt</t>
  </si>
  <si>
    <t>In case you missed these ideas for dealing with #mentalhealth in #college #backtoschool2020 RT @kennedyforum: "By being more proactive and equipping students to deal with mental health issues before they become too large to manage, fewer students will need crisis services."</t>
  </si>
  <si>
    <t>https://twitter.com/kennedyforum/status/1218571267512598533
https://www.mic.com/p/theres-a-mental-health-crisis-on-campus-heres-how-colleges-can-fix-it-19768879</t>
  </si>
  <si>
    <t>Asian-Jobs.com</t>
  </si>
  <si>
    <t>♨️RECRUIT - TRAIN - SOBRIETY♨️ #NowHiring a SRHS Credentialing Specialist CLICK HERE:  #sobriety #addictiontreatment #MentalHealth #BehavioralScience #MentalHealthMatters #Psychology #Counseling #jobfairy #JobSeekersSA #JobsAct #jobhuntchat #JobFair</t>
  </si>
  <si>
    <t>https://buff.ly/301HADS</t>
  </si>
  <si>
    <t>https://pbs.twimg.com/media/EOlp4FtX4AAp4y_.jpg</t>
  </si>
  <si>
    <t>http://www.Asian-Jobs.com has 1000's of USA jobs for bilingual/Asian-speaking professionals nationwide</t>
  </si>
  <si>
    <t>http://www.Asian-Jobs.com</t>
  </si>
  <si>
    <t>Wilton Consulting Group</t>
  </si>
  <si>
    <t>Great to see presentations related to #mentalhealth in every time slot at #FarmSmart20. Such an important range of topics that need to be addressed. Looking forward to this one on stress &amp; self care with @cassiejosephson</t>
  </si>
  <si>
    <t>https://pbs.twimg.com/media/EOlpzT0U0AAC1dl.jpg</t>
  </si>
  <si>
    <t xml:space="preserve">Expertise in agriculture and the environment. We bring the right people together to foster collaboration in agri-food systems and rural communities. </t>
  </si>
  <si>
    <t>http://www.wiltongroup.ca</t>
  </si>
  <si>
    <t>The NAN Project</t>
  </si>
  <si>
    <t>A small change in perspective can go a long way'. In her talk, Kamna Chhibber espouses her belief that only through empathy and understanding can the stigma surrounding #mentalhealth disorders be dispelled.</t>
  </si>
  <si>
    <t>https://www.youtube.com/watch?v=sjVTDWv4w7g</t>
  </si>
  <si>
    <t>The NAN Project is on Twitter! Follow our journey to bring depression awareness and suicide prevention programs to MA communities. Visit http://thenanproject.org</t>
  </si>
  <si>
    <t>http://thenanproject.org</t>
  </si>
  <si>
    <t>Empathyzme</t>
  </si>
  <si>
    <t>If it’s a crisis to you it’s a crisis to us. Text Talk to 741741 to talk to a trained Crisis Counselor via text.  #mentalhealth RT @sammyjeanss: i’ve personally used this several times to help with my mental health. it’s simple and someone’s always there to listen via text.</t>
  </si>
  <si>
    <t>http://Crisistextline.org
https://twitter.com/sammyjeanss/status/1217940749137911814
https://twitter.com/CrisisTextLine/status/1217856572363288578</t>
  </si>
  <si>
    <t>I’m a trained, volunteer Crisis Text Line Crisis Counselor.</t>
  </si>
  <si>
    <t>Hajer Nakua</t>
  </si>
  <si>
    <t>Mental health care doesn’t need to start or end with psychiatrists, there are many other health care providers that can should be part of this multi-level system to increase access to patients. I also think online talk therapy sessions can increase accessibility #mentalhealth /1 RT @katie_bingham: I have some thoughts on this article 1/</t>
  </si>
  <si>
    <t>https://twitter.com/katie_bingham/status/1218615835411013642
https://www.theglobeandmail.com/canada/article-half-of-canadians-have-too-few-local-psychiatrists-or-none-at-all/</t>
  </si>
  <si>
    <t>Neuroscience Graduate Student @UofT &amp; @CAMHnews | Bilingual Science Communicator: IG @itshajernakua | Chair-Elect @OHBM_Trainees | she/her</t>
  </si>
  <si>
    <t>Mental Health Talk</t>
  </si>
  <si>
    <t>Maybe I could get through to him [#depression] if I wasn’t so preoccupied with my own bleak perspective. ~ Summer #MentalHealth #Relationships #Love</t>
  </si>
  <si>
    <t>https://mentalhealthtalk.info/depression-love-relationship</t>
  </si>
  <si>
    <t>MHT is a blog of #MentalHealth stories by real peeps w/ lived experience. Most tweets are quoting the 200+ guest bloggers. Curated by Trish.</t>
  </si>
  <si>
    <t>http://MentalHealthTalk.info</t>
  </si>
  <si>
    <t>CASWA</t>
  </si>
  <si>
    <t>#RandomActsOfKindness is a blog that showcases some amazing ways that you can spread kindness and positivity. Take a look at some ideas and let us know your favourite!  #Kindness #mentalhealth #payitforward</t>
  </si>
  <si>
    <t>https://bit.ly/3algvzV</t>
  </si>
  <si>
    <t>https://pbs.twimg.com/media/EOlo-NJXUAANds5.jpg</t>
  </si>
  <si>
    <t>Caithness &amp; Sutherland</t>
  </si>
  <si>
    <t>CASWA- Caithness &amp; Sutherland Women’s Aid. We support Women, Children &amp; Young People who are experiencing or who have experienced Domestic Abuse.</t>
  </si>
  <si>
    <t>http://www.caswa.org.uk</t>
  </si>
  <si>
    <t>Garry Duke</t>
  </si>
  <si>
    <t>Alberta &amp; Palm Springs, CA</t>
  </si>
  <si>
    <t>Kimberley Giles</t>
  </si>
  <si>
    <t>We've chosen 14/8/2020 to get married. It's the anniversary of the date I was first sectioned &amp; it's always been a hard day/time for me to get through. That will change from now on ❤️ I'll be celebrating being ALIVE with my man, my son, my family &amp;amp; my friends. #mentalhealth</t>
  </si>
  <si>
    <t>Kirkcaldy, Scotland</t>
  </si>
  <si>
    <t>Mummy to Thomas, my Clubfoot Cutie 👣 Mature Student @ #EdinburghNapier #MentalHealth Warrior 💪 Lover of the #SocialSciences</t>
  </si>
  <si>
    <t>"The strongest people are not those who show strength in front of the world but those who fight and win battles that other do not know anything about." - Jonathan Harnisch #itseveryoneeverywhere #mentalhealth #spreadawareness</t>
  </si>
  <si>
    <t>Manage Your Time to Help You Manage Your #Anxiety ||  == #mentalhealth #gad #stress #timemanagement #mhsm #mhchat</t>
  </si>
  <si>
    <t>https://bit.ly/2TmO7ri</t>
  </si>
  <si>
    <t>https://pbs.twimg.com/media/EOlovAIX0AErbe3.jpg</t>
  </si>
  <si>
    <t>Janice Lyons</t>
  </si>
  <si>
    <t>This can be a big lesson in being aware of our judgements. There is often more going on then we are seeing or are aware of. #projectlovetank #mentalhealth #hamont #counsellor #anxiety #selfhelp #selfcare #feelyourfeelings #endthestigma</t>
  </si>
  <si>
    <t>https://pbs.twimg.com/media/EOlou1zX0AAMOBu.jpg</t>
  </si>
  <si>
    <t>Registered Professional Counsellor &amp; Self Worth Activist | Lover of: Chocolate, Fluffy Animals &amp; Mom Life | Join me on my mission to live &amp; teach self care*</t>
  </si>
  <si>
    <t>http://www.janicelyons.com/the-podcast/</t>
  </si>
  <si>
    <t>Angie M.V.</t>
  </si>
  <si>
    <t>Thoughts became #muddled, days stayed the same, eyes watched over me analyzing my brain wanting to cure me. Was it too late? Yet hope lingered &amp; that kept me sane. #vss365 #mentalhealth</t>
  </si>
  <si>
    <t>A creative being stuck in a human vessel 🖋️ Galactic Old Soul 🛸✨ Happy wife. Poetic nerd. BA in Psychology. 🖤 Hoping to publish a book in 2020 📚</t>
  </si>
  <si>
    <t>Richard Harris</t>
  </si>
  <si>
    <t>If you are struggling during this time of year, please know you are not alone. Everyone has a purpose, even when it’s not clear.  #mentalhealth</t>
  </si>
  <si>
    <t>https://bit.ly/2LZPPdv</t>
  </si>
  <si>
    <t>https://pbs.twimg.com/media/EOlogCeUEAEjr2N.jpg</t>
  </si>
  <si>
    <t>Bay Area</t>
  </si>
  <si>
    <t>CEO of Harris Consulting Group &amp; Head of #Salestraining @SalesHacker Top 25 Inside #Sales Leader 3 yrs in a row, Husband, Father, &amp; Springsteen Fan</t>
  </si>
  <si>
    <t>http://www.theharrisconsultinggroup.com</t>
  </si>
  <si>
    <t>Respectful Ways</t>
  </si>
  <si>
    <t>Their mental health will help DECIDE their grades! #SEL #mentalhealth #RespectfulWays RT @DrP_Principal: Your child’s mental health is way more important than their grades! #MaslowBeforeBloom #WhateverItTakesForKids</t>
  </si>
  <si>
    <t>https://twitter.com/DrP_Principal/status/1218268466026876930</t>
  </si>
  <si>
    <t>https://pbs.twimg.com/media/EOgotfLWsAAl_Fx.jpg</t>
  </si>
  <si>
    <t>Georgia, USA</t>
  </si>
  <si>
    <t>Respectful Ways is a digital social-emotional learning curriculum for PreK-12 using research-based activities to teach children compassion, respect, and more!</t>
  </si>
  <si>
    <t>https://respectfulways.com</t>
  </si>
  <si>
    <t>Since having #DialecticalBehaviorTherapy (#DBT), I've learned how to manage and regulate my emotions and I no longer have to run around like a rabid dog trying my best to scare the world away from me so I don’t get hurt. ~ Dee #MentalHealth #BPD #Forgive</t>
  </si>
  <si>
    <t>https://mentalhealthtalk.info/forgive-BPD-DBT</t>
  </si>
  <si>
    <t>thobias</t>
  </si>
  <si>
    <t>#sandBoxed</t>
  </si>
  <si>
    <t>Katie Woodland</t>
  </si>
  <si>
    <t>WTF! This is like rocking up to A&amp;E and your child has broken their leg and the staff going, 'But it's still attached. Come back if it falls off &amp;amp; we'll do something' We have a National HEALTH Service not National Physical Health Service!  #mentalhealth</t>
  </si>
  <si>
    <t>https://www.telegraph.co.uk/news/2020/01/03/children-mental-distress-denied-nhs-help-close-suicide/</t>
  </si>
  <si>
    <t>Wrockwardine Wood</t>
  </si>
  <si>
    <t>#Psychologist, #Business Coach, #Speaker &amp; #Author - helping #femaleentrepreneurs build successful and profitable businesses. FREE #webclass #books &amp; #blog 👇</t>
  </si>
  <si>
    <t>http://linktr.ee/katie._.woodland</t>
  </si>
  <si>
    <t>Alan Stokes</t>
  </si>
  <si>
    <t>Horizon has launched its podcasting career1 our first episode is out and we are planning some fantastic future ones look out for more details &amp; take a listen to the first.  #podcasters #mentalhealth #healthandwellness #counselling #Horizonplymouth</t>
  </si>
  <si>
    <t>http://therapyguy.buzzsprout.com/</t>
  </si>
  <si>
    <t>https://pbs.twimg.com/media/EOlnp8mW4AIdxhv.jpg</t>
  </si>
  <si>
    <t>Director at Horizon Counselling in Plymouth offering a different perspective on Counselling, Hypnotherapy, CBT, Coaching.</t>
  </si>
  <si>
    <t>http://www.horizonplymouth.co.uk</t>
  </si>
  <si>
    <t>Do you have a #MentalHealth story to tell? Please DM me and let's talk. #Storytelling #GuestBlogging</t>
  </si>
  <si>
    <t>Marta Waller</t>
  </si>
  <si>
    <t>What you should do if you find your child watching pornography on the computer ttps://bit.ly/2Tvy76c #pornography #children #compiter #mentalhealth #psychiatry #psadena #joeharaszti</t>
  </si>
  <si>
    <t>Southern California</t>
  </si>
  <si>
    <t>Genesis Psychiatric Solutions</t>
  </si>
  <si>
    <t>As the saying goes, your health is your wealth. It is important to maintain good physical health to impact good mental health.  #mindset #mentalhealth #attitude #lifestyle #somedocs #psychtwitter #nutrition #physicalhealth #eatinghabits #excercise</t>
  </si>
  <si>
    <t>https://www.youtube.com/watch?v=3doWrVbCTF4&amp;t</t>
  </si>
  <si>
    <t>McLean, VA &amp; Washington, DC</t>
  </si>
  <si>
    <t>A mind, body, &amp; spirit approach to mental health. @DoctorOlele is the CEO and co-founder.</t>
  </si>
  <si>
    <t>http://www.gpsmindset.com</t>
  </si>
  <si>
    <t>💖Kelly💖</t>
  </si>
  <si>
    <t>I am beautiful ♥️ I am smart♥️ I am resilient ♥️ I am funny♥️ I am sensitive ♥️ I am SO worthy ♥️ I am loved and needed♥️ I'm going to start telling myself these things everyday! Because they are so true! I'm a beautiful woman with a heart to match♥️ #mentalhealth #selflove</t>
  </si>
  <si>
    <t>https://pbs.twimg.com/media/EOlnQKLUUAAoCUF.jpg</t>
  </si>
  <si>
    <t>Im kelly,wife, wrestling fan,horror movie fan, I LOVE scotland! huge outlander fan!!! lover of peace and love! lighting up the world one smile at a time♥️♥️</t>
  </si>
  <si>
    <t>I struggled hard just to try and get a glimpse of this power that controlled her. That's when I started using drugs. I had to find out what could be that powerful and why. ~ Anonymous  #MentalHealth #Addiction #Suicide #PTSD @KrasmanCentre</t>
  </si>
  <si>
    <t>https://mentalhealthtalk.info/you-are-not-alone</t>
  </si>
  <si>
    <t>Ravish Kumar</t>
  </si>
  <si>
    <t>Ghaziabad, India</t>
  </si>
  <si>
    <t>Reader. Tweets book reviews.</t>
  </si>
  <si>
    <t>Patient Expert Group UK</t>
  </si>
  <si>
    <t>Night all sleep well lyn #mentalhealth</t>
  </si>
  <si>
    <t>Manchester, UK</t>
  </si>
  <si>
    <t>formally RecoveryCastle. Patient Expert Group champions patients and carers becoming key partners in mental health research in the UK</t>
  </si>
  <si>
    <t>https://livedexperiencepro.wixsite.com/patientexpertgroupuk</t>
  </si>
  <si>
    <t>Émilie M.</t>
  </si>
  <si>
    <t>First time #toronto after two sold out events at Carnegie Hall!! @michelmeditates bringing #neveralone movement. @DeepakChopra @_poonacha_ Gabriella Wright #BellLetsTalk #mentalhealth #SuicidePrevention #torontoevents #conscioustoronto @CP24Breakfast @CityLife @BTtoronto</t>
  </si>
  <si>
    <t>pic.twitter.com/4lff3mpmPY</t>
  </si>
  <si>
    <t>http://www.emiliemacas.ca</t>
  </si>
  <si>
    <t>don’t worry, i’m fine 🙃</t>
  </si>
  <si>
    <t>Let’s be real about our #mentalhealth; we’re not always “fine” 🧠</t>
  </si>
  <si>
    <t>A weekly podcast discussing all mental health topics your average politician won't. Let's be real about our #mentalhealth; we're not always "fine". 🗣🌎🧠</t>
  </si>
  <si>
    <t>http://dwiforg.com</t>
  </si>
  <si>
    <t>Autism research on detecting emotions  #autism #asd #mentalhealth</t>
  </si>
  <si>
    <t>https://psy.report/autism-detecting-emotions</t>
  </si>
  <si>
    <t>Sophie</t>
  </si>
  <si>
    <t>I have raised 40% of my target amount for @MindCharity as I’m doing a sponsored night hike, up snowdon, in May. To sponsor me, please follow the link in my bio. Thank you! 😘 #mentalhealth #mentalhealthawareness #healthyminds #mindcharity #sponsor</t>
  </si>
  <si>
    <t>Cycling daily 🚴🏼‍♀️ for #REDJanuary2020 ❤️ and fundraising for @MindCharity Link below 👇🏻</t>
  </si>
  <si>
    <t>https://bit.ly/36Vxg2R</t>
  </si>
  <si>
    <t>Blaikie89 🥃</t>
  </si>
  <si>
    <t>Saw a man jump to his death from the top of a car park and splat today. I had blood and pieces of him on my boots. It didn't actually happen. But, I saw it.. 😐😔 #mentalhealth</t>
  </si>
  <si>
    <t>Proud Daddy. King with a Queen. Gamer. Legend.</t>
  </si>
  <si>
    <t>http://www.instagram.com/blaikie_photography</t>
  </si>
  <si>
    <t>Make the most of the awful things [#Depression] that happen to you. Unfortunately, it happens that we spend a long time self-commiserating. This is to waste time and to lack respect toward ourselves. ~ Denny  #MentalHealth #TeenDepression</t>
  </si>
  <si>
    <t>https://mentalhealthtalk.info/depression-in-teens</t>
  </si>
  <si>
    <t>Mother Distracted, Family Lifestyle Blog In Wales</t>
  </si>
  <si>
    <t>Does anyone else do this? Drive to their appointment a day early to check where to park? #anxiety #mentalhealth</t>
  </si>
  <si>
    <t>http://bit.ly/2rHmPMV</t>
  </si>
  <si>
    <t>https://pbs.twimg.com/media/EOlmNzsXUAItXIy.jpg</t>
  </si>
  <si>
    <t>Family lifestyle #blogger nr #Cardiff in beautiful #ValeofGlamorgan, #SouthWales. 👨‍👩‍👧‍👦👠👛🍷🧘‍♀️🎠🏛🖋🏴󠁧󠁢󠁷󠁬󠁳󠁿♥️</t>
  </si>
  <si>
    <t>https://www.motherdistracted.co.uk</t>
  </si>
  <si>
    <t>The Umbrella Project</t>
  </si>
  <si>
    <t>So many great #Authenticity projects happening this week! ☂️ Keep up the awesome #UmbrellaSkill work! We love to see everything that you’re up to. ⭐️ #UmbrellaProject #SEL #MentalHealth</t>
  </si>
  <si>
    <t>https://pbs.twimg.com/media/EOlmNORU8AEB82L.jpg</t>
  </si>
  <si>
    <t>Kitchener, Ontario</t>
  </si>
  <si>
    <t>A parenting strategy and classroom program that empowers children and communities to choose wellbeing. ☂️ #UmbrellaSkills #UmbrellaProject</t>
  </si>
  <si>
    <t>http://www.umbrellaproject.co/</t>
  </si>
  <si>
    <t>Stephanie Brown</t>
  </si>
  <si>
    <t>Found this picture in a thrift store. What attitude are you choosing today? #fabulous #attitude #Mindset #Mindfulness #mentalhealth</t>
  </si>
  <si>
    <t>https://pbs.twimg.com/media/EOlmKuuXUAIvmJS.jpg</t>
  </si>
  <si>
    <t>Ontario Canada</t>
  </si>
  <si>
    <t>Entrepreneur, Speaker, singer/songwriter, poet, mom of 3 teens, co owner of Living Alive Granola and mental health advocate.</t>
  </si>
  <si>
    <t>http://livingalivegranola.ca</t>
  </si>
  <si>
    <t>Contessa Lynn Lowery</t>
  </si>
  <si>
    <t>"Dance of the Butterflies" finished today. #artbycontessa #healyourbrain #arttherapy #copingwithmentalillness #abstractart #abstractpainting #artist #mentalhealthadvocate #mentalhealth #mentalheathawareness #paintyourpain</t>
  </si>
  <si>
    <t>https://pbs.twimg.com/media/EOll_EoU0AAV4nw.jpg</t>
  </si>
  <si>
    <t>Albuquerque, NM</t>
  </si>
  <si>
    <t>Self-taught artist, mental health advocate, master's degree graduate, freelance tutor and teacher, entrepreneur, and everything in between.</t>
  </si>
  <si>
    <t>http://www.facebook.com/creationsbythecountess</t>
  </si>
  <si>
    <t>COMING JUNE2020 Yours truly will be spinning at Toronto House Music Festival.  #THMF2020 #housemusic #deephouse #soulfulhouse #chicagohouse #jackinhouse #afrohouse #discohouse #music #festival #djs #vibes #mentalhealth #awareness #Toronto</t>
  </si>
  <si>
    <t>Alexandra A.M.</t>
  </si>
  <si>
    <t>Love this. No health without mental health #MentalHealthMatters #mentalhealth #LetsTalk #BellLetsTalk</t>
  </si>
  <si>
    <t>https://pbs.twimg.com/media/EOllr_7UwAAy_cw.jpg</t>
  </si>
  <si>
    <t>ER Psych RN who decided to become a doc. #QMed2021. Let's Talk #MedEd and Student #MentalHealth. Lover of puns, poems &amp; macarons. Cat mom. Die hard #Raptors fan</t>
  </si>
  <si>
    <t>RiverviewCMHC</t>
  </si>
  <si>
    <t>Love #YourSelf  #Wellness #therapy #mentalhealth</t>
  </si>
  <si>
    <t>https://www.riverviewcmhc.org/</t>
  </si>
  <si>
    <t>https://pbs.twimg.com/media/EOlliS-WsAIi23C.jpg</t>
  </si>
  <si>
    <t>As a Community Mental Health Center, serving in and around Martin County, we offer a wide array of psychological services.</t>
  </si>
  <si>
    <t>http://www.riverviewcmhc.org/</t>
  </si>
  <si>
    <t>I have suffered with #depression all my life and have struggled all my life to survive, but I wouldn’t want to have it any other way. ~ Interview with Leah  #MentalHealth #EatingDisorder #AbusiveMarriage @KrasmanCentre</t>
  </si>
  <si>
    <t>https://mentalhealthtalk.info/depression-abuse</t>
  </si>
  <si>
    <t>📒Jessi is Writing ✒</t>
  </si>
  <si>
    <t>Bipolar Daily Goals 💜Take meds 🔲Eat 🔲Make chicken-n-dumplings 🔲Eat again 🔲Writing stuff 🔲Dishes Not much going on in my house today. #bipolar #anxiety #mentalhealth #depression</t>
  </si>
  <si>
    <t>Reader of shifters &amp; inked men, writer of vamp &amp; shifter romance, bipolar, foodie, anxious single mom of 22yo boy &amp; 18yo girl. Soon another to call me Nama.</t>
  </si>
  <si>
    <t>http://insanewomanwritings.blogspot.com</t>
  </si>
  <si>
    <t>Jesus Trujillo</t>
  </si>
  <si>
    <t>Try to come to terms with both the bad and the good in your life to help reduce stress. #mentalhealth #wellbeing</t>
  </si>
  <si>
    <t>http://cpix.me/a/90161577</t>
  </si>
  <si>
    <t>https://pbs.twimg.com/media/EOllZKxVUAAwjOM.jpg</t>
  </si>
  <si>
    <t>Troy MI</t>
  </si>
  <si>
    <t>Loving Father and Husband 👨‍👩‍👧‍👧 | Realtor 🏠 | RE Investor 🏬</t>
  </si>
  <si>
    <t>https://jt.brookstonerealtors.com</t>
  </si>
  <si>
    <t>Here is a deep breathing exercise to help you lose negative energy and gain a fresh perspective. Deep breathing is said to be very powerful #loneliness #mentalhealth #selfcare #therapy #anxiety #depression #healing #help</t>
  </si>
  <si>
    <t>https://youtu.be/r3aKhHCkkPc</t>
  </si>
  <si>
    <t>LearnedHealth.com</t>
  </si>
  <si>
    <t>Are you tired of wondering if you should make a #doctors appointment?  Cant decide if you want to pay money to see if something is wrong? Oder Your Own #labTests. #MentalHealth #Hypertension #ChronicPain</t>
  </si>
  <si>
    <t>http://learnedhealth.com</t>
  </si>
  <si>
    <t>https://pbs.twimg.com/media/EOllTVyUUAIlJ1n.png</t>
  </si>
  <si>
    <t>http://learnedhealth.com - Resources to help you make informed medical decisions. Identify Health Concerns, Order Your Lab Tests, Become a Healthier.</t>
  </si>
  <si>
    <t>https://learnedhealth.com/</t>
  </si>
  <si>
    <t>Online #Mindfulness Therapy via Skype. Learn how to apply mindfulness #meditation to break free from #anxiety &amp; #depression. Visit: . #mentalhealth #anxietytreatment #panicattacks #OCDtreatment #PTSDtreatment #depressiontreatment #addictiontreatment</t>
  </si>
  <si>
    <t>#PTSD and New Year's Resolutions--Love Yourself ||  == #mentalhealth #mhsm #mhchat</t>
  </si>
  <si>
    <t>https://bit.ly/2tMGboD</t>
  </si>
  <si>
    <t>SSAFA</t>
  </si>
  <si>
    <t>"Bob had knocked on the door several times and I ignored him. Then he posted a note through the door." In 2019, Paul's life turned around after he met @SSAFADorset caseworker Bob, who runs a woodland #wellbeing group for veterans experiencing isolation &amp; #mentalhealth problems.</t>
  </si>
  <si>
    <t>https://pbs.twimg.com/media/EOa2ftkWoAQoj2Y.jpg</t>
  </si>
  <si>
    <t>Worldwide</t>
  </si>
  <si>
    <t>We are SSAFA, the Armed Forces charity. We provide lifelong support for our Forces and their families, whenever and wherever they need us.</t>
  </si>
  <si>
    <t>http://www.ssafa.org.uk</t>
  </si>
  <si>
    <t>Isn’t it interesting how we can live so many years in a blur? Looking back I recall living on the edge, anticipating loss at every turn, even when we were at our happiest. ~ Suzie  #MentalHealth #Depression #Anxiety #OCD</t>
  </si>
  <si>
    <t>https://mentalhealthtalk.info/anxiety-inherited</t>
  </si>
  <si>
    <t>Your abilities can take you to the top, but it is your character that will keep you there.#houston #noew2017 #sdgs #csr #mentalhealth</t>
  </si>
  <si>
    <t>Paul Taylor</t>
  </si>
  <si>
    <t>Finding psychiatric care is a challenge for millions of Canadians in underserved regions. The aging work force and low pay are making the problem worse. How can we mend the #MentalHealth gap? By ⁦⁦@ErinAnderssen⁩ ⁦@globeandmail⁩ cdnhealth</t>
  </si>
  <si>
    <t>Patient Navigation Advisor at Sunnybrook Health Sciences Centre. Focused on #Health, #Science as well as Space.</t>
  </si>
  <si>
    <t>The #SkinPicking became steadily worse. I'd fake being sick and stay home from school whenever my make-up couldn’t cover the picked areas. Once, I didn’t leave the house for a week. ~ Veva  #MentalHealth #BDD #Dermatillomania #Depression #EatingDisorder</t>
  </si>
  <si>
    <t>https://mentalhealthtalk.info/skin-picking</t>
  </si>
  <si>
    <t>Kayla Duff</t>
  </si>
  <si>
    <t>Today’s a low mental health day. I’m not sure exactly why, other than knowing I still have a long way to go in healing from that last relationship. Depression’s medium. #mentalhealth check-in. How are you doing, really?</t>
  </si>
  <si>
    <t>YA fantasy writer/journalism student/future librarian. She/Her. Photographer. Dog mom. ENFP and Hufflepuff. 🇺🇸🇮🇪🇳🇴🏳️‍🌈#WritingCommunity</t>
  </si>
  <si>
    <t>https://kaylaeduff97.wixsite.com/fictionechoes</t>
  </si>
  <si>
    <t>Sunrise Academy needs your help!!  #socialmedia #nonprofit #charity #storytelling #Houston #texas #mentalhealth</t>
  </si>
  <si>
    <t>Kaylee Rose, M.A., LAC</t>
  </si>
  <si>
    <t>Healthy Communication 101: criticize the behavior, not the person. #prevention #MentalHealth #Wellness</t>
  </si>
  <si>
    <t>Princeton, NJ</t>
  </si>
  <si>
    <t>MA Clinical Mental Health | Healer | Harm Reduction | Mindfulness | Attempting to Decolonize My 🧠 &amp; Therapy |Yoga Teacher | Reiki Practitioner | She/Her</t>
  </si>
  <si>
    <t>Vince_leo</t>
  </si>
  <si>
    <t>Lagos</t>
  </si>
  <si>
    <t>Researcher. Impact driven. Shoe maker. Ihunanyachukwu! (God's love)</t>
  </si>
  <si>
    <t>#FREEeBook!!! Tickling the #Stigma #Cartoon E-book by MentalHealthTalk ( ) #MentalHealth</t>
  </si>
  <si>
    <t>https://mentalhealthtalk.info/cartoon-ebook</t>
  </si>
  <si>
    <t>🏴󠁧󠁢󠁷󠁬󠁳󠁿 H.Q. 🇦🇺🙏</t>
  </si>
  <si>
    <t>Surrey. The first photo (Frensham Pond) was somewhere I went regularly just to help my #depression and #mentalhealth in my 20s and 30s . Also walked around Devil's Punch Bowl and @guildfordcathedral</t>
  </si>
  <si>
    <t>https://pbs.twimg.com/media/EOlkaYYW4AAPxf1.jpg</t>
  </si>
  <si>
    <t>Faroe Islands</t>
  </si>
  <si>
    <t>Advocate &amp; blogger of #mentalhealth focusing on #depression #ptsd #anxiety - #WritingCommunity ⚽️ @SpursOfficial / @wwfcofficial 🎶 @Manics / @Muse / @Paramore</t>
  </si>
  <si>
    <t>https://www.lonelytumbleweed.com</t>
  </si>
  <si>
    <t>BurgersandBands</t>
  </si>
  <si>
    <t>You have the power. You are in control. You can keep fighting. And you can ask for help whenever you may need it. #Hope #Mentalhealth #BurgersandBands #Youarenotalone #Quote #Inspirationalquote</t>
  </si>
  <si>
    <t>https://pbs.twimg.com/media/EOlkJhHUUAAqoij.jpg</t>
  </si>
  <si>
    <t>Relax With Lucy</t>
  </si>
  <si>
    <t>Its story's like these that really affirm to me why I deliver meditation classes and offer wellbeing support to my local community! Connection is one of the most powerful things. #mentalhealth #ageUK #meditation #relaxwithlucy</t>
  </si>
  <si>
    <t>pic.twitter.com/dAps0vt7Ev</t>
  </si>
  <si>
    <t>Manchester, England</t>
  </si>
  <si>
    <t>Meditation &amp; Relaxation Specialist. Mental Health &amp; Wellbeing Specialist. Mum &amp; Loving Wife.</t>
  </si>
  <si>
    <t>http://www.relaxwithlucy.co.uk</t>
  </si>
  <si>
    <t>20 Post Election Self-Care Tips LINK:  #mentalhealth</t>
  </si>
  <si>
    <t>https://liberomagazine.com/mentalhealth/post-election-self-care/?utm_source=ReviveOldPost&amp;utm_medium=social&amp;utm_campaign=ReviveOldPost</t>
  </si>
  <si>
    <t>https://pbs.twimg.com/media/EOljh28XkAEKg0m.jpg</t>
  </si>
  <si>
    <t>JOAVAH</t>
  </si>
  <si>
    <t>Listen to InTheZONE by Joavah on #SoundCloud  #CHICAGO #chicagorapper #chicagoartist #chi #hiphop #atlantarapper #depression #overcoming #mentalhealth #rapper #rapmusic #musicstudio #producer #music #musician #SoundCloud #soundcloudrapper #king #urban #pop</t>
  </si>
  <si>
    <t>https://soundcloud.com/joavah/inthezone</t>
  </si>
  <si>
    <t>Chicagoland rapper 📧 JOAVAH1@GMAIL.COM</t>
  </si>
  <si>
    <t>mindyourmind</t>
  </si>
  <si>
    <t>Personality disorders describe a wide range of illnesses that have unique symptoms, signs and impacts on a person’s life. Learn more about them here:  #PersonalityDisorder #MentalHealth</t>
  </si>
  <si>
    <t>https://bit.ly/2QRrFok</t>
  </si>
  <si>
    <t>https://pbs.twimg.com/media/EOLu5oKX4AcJzUA.jpg</t>
  </si>
  <si>
    <t>Official profile of mindyourmind, a national, innovative, mental health program for youth and young adults. Located in London, ON Canada.</t>
  </si>
  <si>
    <t>http://www.mindyourmind.ca</t>
  </si>
  <si>
    <t>EARTHWithJohn Holden</t>
  </si>
  <si>
    <t>The Florida House Experience is innovating how we treat mental illness and happy to say that they’re seeing results. Thank you for allowing EARTH to bring the topic of mental health to life! #MentalHealth #Wellness</t>
  </si>
  <si>
    <t>https://pbs.twimg.com/media/EOljXxhVAAEEmz1.jpg</t>
  </si>
  <si>
    <t>florida</t>
  </si>
  <si>
    <t>Six-time Emmy Award winner John Holden takes us around the globe in an entertaining &amp; informative exploration into creating a better world!</t>
  </si>
  <si>
    <t>https://www.starmediatv.com/</t>
  </si>
  <si>
    <t>SaraJaneKehler</t>
  </si>
  <si>
    <t>Your emotions are a gift. Fight the lie that being emotional is being weak.  via @SaraJaneKehler #mentalhealth #emotionalhealth #mumlife #writingcommunity</t>
  </si>
  <si>
    <t>https://saralivingfree.com/2020/01/10/being-emotional-is-not-being-weak/</t>
  </si>
  <si>
    <t>Manitoba</t>
  </si>
  <si>
    <t>#Writer of #middlegrade #fiction, #blogger of inspirational #nonfiction, wife, living the #mumlife, compulsive #organizer, http://www.saralivingfree.com</t>
  </si>
  <si>
    <t>http://linktr.ee/sarajanekehler</t>
  </si>
  <si>
    <t>https://www.lnk.xyz/HkdcPy-eU?aduc=KdOfcXB1579375292918</t>
  </si>
  <si>
    <t>Mind Tree Solutions</t>
  </si>
  <si>
    <t>Who are we to judge?........ 🌈🤷‍♀️ #respect #mindfulness #disability #mentalhealth @elft_ppl @kamila_naseova #compassion</t>
  </si>
  <si>
    <t>https://pbs.twimg.com/media/EOljUPVU4AETPBj.jpg</t>
  </si>
  <si>
    <t>Bedfordshire and Milton Keynes</t>
  </si>
  <si>
    <t>Life is tough and change happens 😰. I share the tools that support wellbeing, mental health recovery and personal growth. 🇬🇧 🙏🏼☕️ Sharing is caring.</t>
  </si>
  <si>
    <t>Jon Vanstone</t>
  </si>
  <si>
    <t>Great to see people reaching out for help ... #mentalhealth RT @CNplus: Rise in calls to industry mental health helpline</t>
  </si>
  <si>
    <t>https://twitter.com/CNplus/status/1218189367870545921
http://dlvr.it/RNDcYP</t>
  </si>
  <si>
    <t>https://pbs.twimg.com/media/EOfgxiVVUAAVXUb.jpg</t>
  </si>
  <si>
    <t>Bringing creative innovation to regulatory sector to benefit Construction industry. Member of BRAC, Chair of Competent Persons Forum &amp; Trade Association Forum.</t>
  </si>
  <si>
    <t>https://www.linkedin.com/profile/view?id=AAkAAABkILkBDIJzntz9LdqwGnSEHK4QtiGwd8M&amp;authType=NAME_SEARC</t>
  </si>
  <si>
    <t>Brian E. Thomas</t>
  </si>
  <si>
    <t>The Benefits of CBD | Infographic  #CBD #cbdoil #CBDlife #Hemp #hempoil #Cannabidiol #mentalhealth #Anxiety #OCD #ADHD #EpilepsyAwareness #epilepsy #BehavioralHealth #Alzheimers #MuscleTension #KansasCity #Lenexa #CBDPlusHealth</t>
  </si>
  <si>
    <t>https://buff.ly/2YqPF2q</t>
  </si>
  <si>
    <t>Kansas City</t>
  </si>
  <si>
    <t>An innovative, digital leader experienced in emerging trends, #Tech, #AI, #BigData; contributor @CIOOnline; podcaster &amp; blogger. #USMC combat vet.</t>
  </si>
  <si>
    <t>https://brianthomas.me</t>
  </si>
  <si>
    <t>Stuart Baker</t>
  </si>
  <si>
    <t>I bloody love cooking...... i feel proper chilled out after an hour in the kitchen. Photo by @henriette_lang #mentalhealth #mentalillness #depression #anxiety #suicide #selfcare #healthierlifestyle #cycling…</t>
  </si>
  <si>
    <t>https://www.instagram.com/p/B7ePVcdgc-N/?igshid=16exp87v02osk</t>
  </si>
  <si>
    <t>Author, Speaker &amp; Mental Health Advocate. Host of The Mental Lunch radio show. Founder of The Mindset Triangle. #TagTheTriangle</t>
  </si>
  <si>
    <t>https://mindsettriangle.com</t>
  </si>
  <si>
    <t>Just seen this on @reddit 🤬🤬 If someone is attempting to end their lives because they are experiencing a severe #mentalhealth crisis it does not make them a criminal - it means they need real help! Think the Judge should apologise for what he said!</t>
  </si>
  <si>
    <t>https://www.theguardian.com/uk-news/2020/jan/16/teenager-who-threatened-suicide-on-road-prosecuted-for-third-time</t>
  </si>
  <si>
    <t>Stephen J Pharro</t>
  </si>
  <si>
    <t>Still #Free on #Amazon #Kindle! Released today and people ask why I do it for free? I am in this for the love not the money. An insane new take on the #Zombie #book genre with an immunity and cause unlike any other! #Mentalhealth driven #scifi! #freebook #thriller #freebie RT @BookCleansing:  *New Release!* #Free on #Amazon #Kindle! A new take on the #Zombie genre with an immunity and cause like no other! A #mentalhealth driven #apocalyptic #thriller.. Enjoy! #freebook #freebie #scifi #romance #horror #ebook #novel #awareness #apocalypse</t>
  </si>
  <si>
    <t>https://twitter.com/BookCleansing/status/1218510806037532673
https://www.amazon.co.uk/dp/B083Z4XRJZ/ref=cm_sw_r_tw_apa_i_uJViEbWVXRKSK</t>
  </si>
  <si>
    <t>Frome, England</t>
  </si>
  <si>
    <t>Mental Health Driven Author!😇 Works For NHS!🦉A nobody drifting through a world of somebodies 💔 Also home to Rare Karaoke! Did you survive the Cleanse?</t>
  </si>
  <si>
    <t>Prohibition Facts: with reduction in availability of alcohol comes reduction in domestic violence against women. #Recovery #Addiction #Mentalhealth #yyc RT @KeithNHumphreys: @BaDorfman @docraina And no one cared about violence against women then, but later studies showed that when alcohol availability is cut off (e.g., Finnish alcohol monopoly strike), domestic violence drops also. There is far more violence connected to legal use of alcohol that the illegal drug trade.</t>
  </si>
  <si>
    <t>https://twitter.com/KeithNHumphreys/status/1218561932023615488</t>
  </si>
  <si>
    <t>Sarah “Sam” Saltiel</t>
  </si>
  <si>
    <t>Check out the reviews for my new poetry book, now available on Kickstarter!  #book #poet #poetry #kickstarter #crowdfunding #publication #published #intimacy #Mentalhealth</t>
  </si>
  <si>
    <t>https://www.kickstarter.com/projects/211273324/a-thesaurus-for-the-way-water-returns-a-poetry-chapbook?ref=user_menu</t>
  </si>
  <si>
    <t>https://pbs.twimg.com/media/EOlh6DCU4AADR24.jpg</t>
  </si>
  <si>
    <t>Part time writer, full time ball of chaos</t>
  </si>
  <si>
    <t>http://sarahsamsaltiel.com</t>
  </si>
  <si>
    <t>Calgary Counselling Centre</t>
  </si>
  <si>
    <t>Curious about counselling? CCC stands out from other counselling services because: we don't have a wait list and our fees are based on a sliding scale. There are no barriers to what we offer. See for yourself:  #yyc #mentalhealth</t>
  </si>
  <si>
    <t>http://ow.ly/vYV930q9r0z</t>
  </si>
  <si>
    <t>https://pbs.twimg.com/media/EOlh4dvWAAA0f-a.jpg</t>
  </si>
  <si>
    <t>Here for you, when you need us. Counselling and group programs with world class care and no wait list.</t>
  </si>
  <si>
    <t>http://www.calgarycounselling.com</t>
  </si>
  <si>
    <t>OCD - my glasses and me - have I improved since I wrote this post about my experience with obsessive-compulsive disorder?  #ocd #mentalhealth</t>
  </si>
  <si>
    <t>http://bit.ly/2L1McSu</t>
  </si>
  <si>
    <t>https://pbs.twimg.com/media/EOlh4XPU0AA9-DB.jpg</t>
  </si>
  <si>
    <t>#LadyGaga Takes an #Antipsychotic and Talks #Psychosis ||  == #mentalhealth #bipolar #depression #schizoaffective #schizophrenia #mhchat #mhsm</t>
  </si>
  <si>
    <t>https://bit.ly/2RfMZmx</t>
  </si>
  <si>
    <t>https://pbs.twimg.com/media/EOlh321X0AA8PCY.jpg</t>
  </si>
  <si>
    <t>"Wanting to help others is natural and can come from a place of good, but if it becomes a problematic pattern, it could be 'Savior Complex.'"  #Mentalhealth</t>
  </si>
  <si>
    <t>http://bit.ly/3143xAR</t>
  </si>
  <si>
    <t>Foothills Forage</t>
  </si>
  <si>
    <t>Talk more Ask more Listen more... Thanks to @domoreag for the great presentation on #mentalhealth in agriculture at this year's #ladieslivestocklessons</t>
  </si>
  <si>
    <t>https://pbs.twimg.com/media/EOlh1aEU0AEhZnl.jpg</t>
  </si>
  <si>
    <t>High River, Alberta</t>
  </si>
  <si>
    <t>Innovation, Education, and Regenerative Agriculture. Non-profit applied research &amp; extension organization in southern AB.</t>
  </si>
  <si>
    <t>http://www.foothillsforage.com</t>
  </si>
  <si>
    <t>Melody Okereke</t>
  </si>
  <si>
    <t>Industrial Pharmacist in View| Researcher| #ArtificialIntelligence| Aspiring Innovator| Lead @YNRF_ |Blogger @IPSFAfRO| #DataScience #BigData #Coding</t>
  </si>
  <si>
    <t>https://www.linkedin.com/in/melody-okereke-7a23b5143</t>
  </si>
  <si>
    <t>Alphalake Ai</t>
  </si>
  <si>
    <t>#AI has been used to make a breakthrough in understanding previously unexplained brain features. Reinforced learning could be used to understand, learn and motivate brain disorders. #DeepLearning #MentalHealth #HealthTech</t>
  </si>
  <si>
    <t>https://www.independent.co.uk/life-style/gadgets-and-tech/news/artificial-intelligence-deepmind-ai-human-brain-neuroscience-a9286661.html</t>
  </si>
  <si>
    <t>Alphalake is a leading global tech startup transforming health organisations into #Automation &amp; #AI innovators. Follow us for news on #RPA, #DigitalHealth, #DPX</t>
  </si>
  <si>
    <t>http://alphalake.ai</t>
  </si>
  <si>
    <t>Dr Elizabeth McNaught</t>
  </si>
  <si>
    <t>Thoughts can be overwhelming, when they occur take a few minutes out and focus on your breathing, try to breath slower and deeper. It won’t magically deal with the thoughts but it will help you move to a calmer place to challenge them! #mentalhealth</t>
  </si>
  <si>
    <t>Medical Dr &amp; author of 'Life Hurts: a doctor’s personal journey through #anorexia'. Passionate about #eatingdisorders &amp; inspiring hope in #mentalhealth recovery</t>
  </si>
  <si>
    <t>http://www.LifeHurts.net</t>
  </si>
  <si>
    <t>green chimneys</t>
  </si>
  <si>
    <t>Our school is designed for students who have been unsuccessful in a traditional educational setting and who require a small, structured and therapeutically supportive setting:  #therapeutic #education #specialeducation #specialneeds #mentalhealth</t>
  </si>
  <si>
    <t>https://www.greenchimneys.org/therapeutic-special-education/green-chimneys-school/who-we-serve/</t>
  </si>
  <si>
    <t>https://pbs.twimg.com/media/EOg43KVX0AUHYWq.jpg</t>
  </si>
  <si>
    <t>Brewster, NY</t>
  </si>
  <si>
    <t>Helping young people maximize their full potential by providing services that create and nurture connections to the community and the natural world.</t>
  </si>
  <si>
    <t>http://www.greenchimneys.org</t>
  </si>
  <si>
    <t>Ali B</t>
  </si>
  <si>
    <t>I am really struggling tonight, anyone wanna chat? 😓 #mentalhealth #crisis #support #depression #anxiety #help #SuicidePrevention #selfharm #SaturdayMood</t>
  </si>
  <si>
    <t>I just tweet random shit 🎤🎸🥁</t>
  </si>
  <si>
    <t>Nish Parikh</t>
  </si>
  <si>
    <t>New pitch... New idea 💡 and a new way of promoting employee #emotional #wellbeing #wellness and #mentalhealth #workplacehealth #workplacewellness @RangamC sourceabled Stay tuned for the result from the pitch! @…</t>
  </si>
  <si>
    <t>https://www.instagram.com/p/B7eOXiwgfRO/?igshid=n0fvtp7q26lx</t>
  </si>
  <si>
    <t>Employment Social Innovator | HRTech Architect | Contingent| EmploymentForEveryone | MSP | Autism / Disability / Veteran / Hiring Programs http://NishParikh.com</t>
  </si>
  <si>
    <t>http://www.NishParikh.com</t>
  </si>
  <si>
    <t>Ketka</t>
  </si>
  <si>
    <t>Review of #mentalhealth promotion interventions in #schools. Authors conclude need for broader evidence base.We are building research into what we are doing from the outset. And will keep learning!  #edtech #wellbeing #teachers #primaryschool</t>
  </si>
  <si>
    <t>https://www.ncbi.nlm.nih.gov/pubmed/29752493</t>
  </si>
  <si>
    <t>Interactive adventure podcasts for kids. Nurturing social &amp; emotional wellbeing &amp;creativity! #Startup #EdTech #mentalhealth Co-founders Isabelle &amp; @FarhanaMann</t>
  </si>
  <si>
    <t>http://www.ketka.co.uk</t>
  </si>
  <si>
    <t>https://pbs.twimg.com/media/EOlg9OXXkAIxeUV.jpg</t>
  </si>
  <si>
    <t>Hache Arlene, C.M.</t>
  </si>
  <si>
    <t>Andrew is exactly correct! As a person who was involved in the consultation on a peripheral level, there was significant concern among colleagues that the scope of assisted suicide would expand to include people with disabilities. #mentalhealth #disability RT @bmorsh: You are a moron</t>
  </si>
  <si>
    <t>https://twitter.com/bmorsh/status/1218515058793287681
https://twitter.com/acoyne/status/1218191551056302081</t>
  </si>
  <si>
    <t>Yellowknife, NT, Canada</t>
  </si>
  <si>
    <t>Advocate of social change working 35 years in the North. 2012 Queen Elizabeth II Diamond Jubilee Medal; 2009 Order of Canada; MA in Leadership</t>
  </si>
  <si>
    <t>@Evgeniya Larionova, NP</t>
  </si>
  <si>
    <t>#mentalhealth Get out there! Follow #NIHHealthy2020 goals because you’re unique, beautiful and not alone!!! 🌳🌎☘️🌿🌱🌵🌴🍄🌞🌍🌈☀️☃️ @Evgeniya_NP #nihHEALinitiative #MentalHealthAwareness #MentalHealthMatters #nih #mentalillness #SaturdayThoughts RT @NIH: Did you know your social connections can positively influence your health? This year, try to find ways to get involved with others. Get some ideas on how and read more about the biology of relationships here:  #NIHhealthy2020 #socialconnection #NIH</t>
  </si>
  <si>
    <t>https://twitter.com/nih/status/1213529807352406016
https://newsinhealth.nih.gov/2017/02/do-social-ties-affect-our-health</t>
  </si>
  <si>
    <t>pic.twitter.com/cWlmDBLeGG</t>
  </si>
  <si>
    <t>Boston</t>
  </si>
  <si>
    <t>Nurse Practitioner #improving world #substance use, #bariatric surgery, #HIV/AIDS, #stigma #obesity #weight loss #mentalhealth @bidmcwls</t>
  </si>
  <si>
    <t>http://bidmc.org/wls</t>
  </si>
  <si>
    <t>MuskokaRegion.com</t>
  </si>
  <si>
    <t>The #Gravenhurst #youth council’s first public event will be at the Gravenhurst Winter Carnival, which takes place Feb. 14 to 17, where they plan to reach out to the #community about their goals for improving #mentalhealth in town. #Muskoka</t>
  </si>
  <si>
    <t>https://www.muskokaregion.com/community-story/9811084-gravenhurst-youth-council-talks-events-arts-and-mental-health/</t>
  </si>
  <si>
    <t>Muskoka</t>
  </si>
  <si>
    <t>Metroland Media's Huntsville Forester, Bracebridge Examiner, Gravenhurst Banner, The Muskokan, Muskoka Life. 11 Main Street W Huntsville, ON, 705-789-5541</t>
  </si>
  <si>
    <t>http://www.muskokaregion.com</t>
  </si>
  <si>
    <t>K. Hawthorne</t>
  </si>
  <si>
    <t>Architects - Chapter 11 now available on #wattpad “Did you get shot in the leg again?” #amwriting #thriller #suspense #WritingCommunity #readers #mentalhealth #foundfamily</t>
  </si>
  <si>
    <t>https://my.w.tt/LF3WVZt9l3</t>
  </si>
  <si>
    <t>https://pbs.twimg.com/media/EOlgrerXUAAFVzk.png</t>
  </si>
  <si>
    <t>US</t>
  </si>
  <si>
    <t>writer. reader. HSP. introvert. they/them.</t>
  </si>
  <si>
    <t>https://www.wattpad.com/user/Architectonics</t>
  </si>
  <si>
    <t>Brandon</t>
  </si>
  <si>
    <t>Not feeling well.  via @YouTube #Buffalo #dearmananger #followme #subscribe #mentalhealth #depression #anxiety #bipolar #mentalillness #schizophrenia #positivereinforcement #curethestigma #akathisia #vlogger #twitter #sick #headache #insomnia</t>
  </si>
  <si>
    <t>https://youtu.be/4V_H52mXDoc</t>
  </si>
  <si>
    <t>Buffalo, NY</t>
  </si>
  <si>
    <t>Vlogger and Mental Health Advocate</t>
  </si>
  <si>
    <t>https://www.youtube.com/channel/UCdeH6ceO1yPtHImJ3beziXQ?view_as=subscriber</t>
  </si>
  <si>
    <t>Dr. Shawn Park</t>
  </si>
  <si>
    <t>Teenage suicide prevention  #TeenSuicide #suicide #parenting #mentalhealth</t>
  </si>
  <si>
    <t>Jungian psychoanalyst. Former NYU professor, now psychologist in private practice. Interested in #mentalhealth, #psychology, and #psychoanalysis topics.</t>
  </si>
  <si>
    <t>http://journalpsyche.org/</t>
  </si>
  <si>
    <t>Distress&amp;CrisisOntario</t>
  </si>
  <si>
    <t>If you need to talk, text SUPPORT to 258258 from anywhere in Canada or visit  and click on Chat Now. #suicideprevention #suicideawareness #mentalhealth #mentalhealthawareness #emotionalsupport #support #depression #anxiety #ptsd #ptsdawareness</t>
  </si>
  <si>
    <t>http://dcontario.org</t>
  </si>
  <si>
    <t>https://pbs.twimg.com/media/EOlgaFMXUAE3TqM.jpg</t>
  </si>
  <si>
    <t>Renee Dowling, Reflections Art Studio</t>
  </si>
  <si>
    <t>It is known that the one thing people need to pull them out of a funk or a difficult situation is hope... #reflectionsartstudio #cypresscounty #hope #wellness #mentalhealth #arttherapy #therapeuticart #mixedmedia #watercolour #artretreat #womeninbusiness #medicinehat #artclasses</t>
  </si>
  <si>
    <t>https://pbs.twimg.com/media/EOlgRa_U0AIbOT8.jpg</t>
  </si>
  <si>
    <t>Cypress County, Alberta</t>
  </si>
  <si>
    <t>artist, entrepreneur,musician, mom, wife, photographer, nature enthusiast, teacher, owner of Reflections Art Studio and Community Classroom</t>
  </si>
  <si>
    <t>http://reneelovesartreflections.com</t>
  </si>
  <si>
    <t>magic5905</t>
  </si>
  <si>
    <t>https://kingsumo.com/g/9agctd/giveaway-january-2020/mp97o47</t>
  </si>
  <si>
    <t>Love reading and sweeping.</t>
  </si>
  <si>
    <t>Kim Adele</t>
  </si>
  <si>
    <t>Nottingham, England</t>
  </si>
  <si>
    <t>International Speaker, Executive Coach. #Empowering board level leaders to lead with real #presence and #humanity.</t>
  </si>
  <si>
    <t>http://www.kimadele.org</t>
  </si>
  <si>
    <t>Ruislip Running Club</t>
  </si>
  <si>
    <t>***JOIN US TOMORROW AT 11AM*** We help support #MentalHealth and #Wellbeing to encourage people to start, return to and continue running.🏃‍♀️🏃🏻‍♂️🏃🏾 No need to book just turn up at Ruislip Cricket Club, HA4 7JZ. For more info message us or 📧 Nick at RunAndTalk@Ruislip-rc.co.uk</t>
  </si>
  <si>
    <t>https://pbs.twimg.com/media/EOlgFveXUAEg160.jpg</t>
  </si>
  <si>
    <t>Hillingdon, London</t>
  </si>
  <si>
    <t>http://www.ruislip-rc.co.uk</t>
  </si>
  <si>
    <t>Feeling at ease today. 😌 #mentalhealth #mentalhealthTwitter #MentalHealthMatters #MentalHealthAwareness</t>
  </si>
  <si>
    <t>Blackpool Carers</t>
  </si>
  <si>
    <t>All you #youngcarers #youngadultcarers of ours, go and join in with this! #mentalhealth #MentalHealthAwareness ♥ RT @BpoolCouncil: Head there for a chat, to get more info &amp; useful advice - plus learn all about the events being held during the upcoming Children's Mental Health Week 2020 ⠀⠀⠀⠀⠀⠀⠀⠀⠀⠀⠀⠀ Want more details? Visit the Chatty Bus event or DM one of the agencies involved (tagged⬆️😎)</t>
  </si>
  <si>
    <t>https://twitter.com/BpoolCouncil/status/1218213191542624262</t>
  </si>
  <si>
    <t>https://pbs.twimg.com/media/EOf2b-QX0AAePHK.jpg</t>
  </si>
  <si>
    <t>Blackpool</t>
  </si>
  <si>
    <t>If you look after a relative or friend, we provide emotional &amp; practical support to help you. Working towards a better life for carers.</t>
  </si>
  <si>
    <t>http://www.blackpoolcarers.org</t>
  </si>
  <si>
    <t>Kolawole Temidayo</t>
  </si>
  <si>
    <t>Nigeria</t>
  </si>
  <si>
    <t>i'm a Statistician (SPSS expert) Manager(NIM in view) and an Entrepreneur (ACent)</t>
  </si>
  <si>
    <t>Buzzing Through the Blood-#Brain Barrier - #Neuroscience News  #MentalHealth #Health</t>
  </si>
  <si>
    <t>https://neurosciencenews.com/blood-brain-barrier-chip-15394/</t>
  </si>
  <si>
    <t>/ I Searched for Enlightenment — and Lost the Reason to Live / a #wellness #spirituality #article posted on .@Medium  #writing #writingcommunity #life #health #mindfulness #meditation #life #mentalhealth #mindhealth #relationships</t>
  </si>
  <si>
    <t>https://link.medium.com/JQJZIFjRs2</t>
  </si>
  <si>
    <t>Rader Ward Foundation</t>
  </si>
  <si>
    <t>Ever struggle with #bodyimage? I have. An approach I find useful is to #celebrate what my body can do rather than focusing on what it looks like. I love this illustration from @EliseGravel. ❤️💙💛 #bodypositive #mentalhealth #loveyourself #selfcare</t>
  </si>
  <si>
    <t>https://pbs.twimg.com/media/EOlfj12XsAMwosL.jpg</t>
  </si>
  <si>
    <t>Greenville, SC</t>
  </si>
  <si>
    <t>Founded after the death of our teen son, we offer mental health, suicide prevention, and grief support resources, and Montessori scholarships.</t>
  </si>
  <si>
    <t>http://raderward.com</t>
  </si>
  <si>
    <t>Pratik Nair</t>
  </si>
  <si>
    <t>Great article in the Globe today about a shortage of psychiatrists across Canada:  Positioning psychiatric help (as it currently exists) as a silver bullet to address #Mentalhealth burden is ineffective 1/2</t>
  </si>
  <si>
    <t>North York, Toronto</t>
  </si>
  <si>
    <t>Have we decided if we like being part of the plan? KTE @jackdotorg alum @UofT_dlsph</t>
  </si>
  <si>
    <t>Ian Kremer</t>
  </si>
  <si>
    <t>Please re-Tweet these 10 tips to help you manage negative thoughts. (image via @BelievePHQ) #MentalHealth #caregiving #Alzheimers #dementia</t>
  </si>
  <si>
    <t>https://pbs.twimg.com/media/DZsd3boXkAEHiCB.jpg</t>
  </si>
  <si>
    <t>Leaders Engaged on #Alzheimer’s Disease (LEAD) is a diverse national coalition of organizations advancing #dementia quality of life, care, support &amp; research.</t>
  </si>
  <si>
    <t>http://www.leadcoalition.org</t>
  </si>
  <si>
    <t>Tonya Chandler</t>
  </si>
  <si>
    <t>Dealing with some high stress levels? Here's how to come back down. #mentalhealth #wellness</t>
  </si>
  <si>
    <t>http://cpix.me/a/90122842</t>
  </si>
  <si>
    <t>https://pbs.twimg.com/media/EOle_AXUcAABB4Q.jpg</t>
  </si>
  <si>
    <t>St Augustine, FL</t>
  </si>
  <si>
    <t>Mother ie: Social Psychologist, Domestic Engineer, Culinary Artist, Fashion Expert, Entertainer &amp; Chauffeur....True occupation, Realtor</t>
  </si>
  <si>
    <t>These findings could make huge waves in understanding how we can recover from trauma - take a look! 👉  (via @mentaldaily_com) #emotionalintelligence #mentalhealth</t>
  </si>
  <si>
    <t>https://buff.ly/36zlJ93</t>
  </si>
  <si>
    <t>https://pbs.twimg.com/media/EOleqgYU4AoVO4v.jpg</t>
  </si>
  <si>
    <t>KTL Ltd</t>
  </si>
  <si>
    <t>Our #graphic #design course has a world of opportunities. Learn how to #3D #print, #design packaging, make #stencils, #models and more. Based in #Derby for #youngpeople aged 16-24. Click here  #NEET #education #parents #training #wellbeing #mentalhealth</t>
  </si>
  <si>
    <t>http://tiny.cc/7wbk8y</t>
  </si>
  <si>
    <t>https://pbs.twimg.com/media/EOlepLTVAAAZ_W_.jpg</t>
  </si>
  <si>
    <t>Derby, England</t>
  </si>
  <si>
    <t>Training provider based in Derby offering Sewing, Textiles, Graphic Design, Maths and English qualifications.</t>
  </si>
  <si>
    <t>http://www.ktl-ltd.co.uk</t>
  </si>
  <si>
    <t>My voice is my own</t>
  </si>
  <si>
    <t>Learning to own/accept fear/embarrassment rather than letting them rule your life is a long hard continuous journey but boy is it worth it when you do even the smallest thing that would normally cause you panicked anxiety #mentalhealth #MentalHealthMatters #MentalHealthAwareness</t>
  </si>
  <si>
    <t>I'm a visually impaired, gay woman in the 21st century I'm living the high life right now</t>
  </si>
  <si>
    <t>http://mylifemystory862.wordpress.com</t>
  </si>
  <si>
    <t>Henpicked</t>
  </si>
  <si>
    <t>Brain fog is not something we simply need to accept as part of menopause or growing older. Here are ten ways to keep your memory sharp..  #wisewomen #happiness #health #menopausetreatment #mentalhealth</t>
  </si>
  <si>
    <t>https://buff.ly/2TlZEHb</t>
  </si>
  <si>
    <t>https://pbs.twimg.com/media/EOlejJ_U8AAkjOs.jpg</t>
  </si>
  <si>
    <t>For women who weren’t born yesterday. Download a copy of our new FREE digital magazine right here http://bit.ly/HMJanuary2020</t>
  </si>
  <si>
    <t>https://henpicked.net/</t>
  </si>
  <si>
    <t>Stephanie S. Bolton</t>
  </si>
  <si>
    <t>Make Daily Meditation Your New Year's Resolution | Psychology Today  #mentalhealth #mindfulness #selfhelp #therapy #selfcare #stress #worry #anxiety #depression #meditation</t>
  </si>
  <si>
    <t>https://www.psychologytoday.com/us/blog/reaching-across-the-divide/202001/make-daily-meditation-your-new-years-resolution</t>
  </si>
  <si>
    <t>Huntsville, AL</t>
  </si>
  <si>
    <t>I'm a music therapist in private practice doing Guided Imagery and Music (GIM). Also interested in aromatherapy, gardening, meditation, women's spirituality.</t>
  </si>
  <si>
    <t>http://www.imageryandmusic.com</t>
  </si>
  <si>
    <t>Me Time Therapy</t>
  </si>
  <si>
    <t>You can't pour from an empty cup. Take care of yourself first #lifelesson #LifeLessons #positivethinking #positivevibes #positivity #changes #belief #selflove #selfbelief #selfcare #mentalhealth #metimetherapy</t>
  </si>
  <si>
    <t>https://pbs.twimg.com/media/EOlehY6UYAAmq6C.jpg</t>
  </si>
  <si>
    <t>Oakley, England</t>
  </si>
  <si>
    <t>Individual and couples counselling for a wide range of issues. Face to Face, telephone and online counselling provided.</t>
  </si>
  <si>
    <t>http://www.metimetherapy.org</t>
  </si>
  <si>
    <t>Mercer UK</t>
  </si>
  <si>
    <t>The 3 main causes of work-related poor #mentalhealth are too much pressure, workload impacting on the ability to take leave and negative work relationships. Find out more in the new @BITC #MentalHealthAtWork 2019 Report:  #wellbeing #UK #WEF20</t>
  </si>
  <si>
    <t>http://bit.ly/378HFYO</t>
  </si>
  <si>
    <t>https://pbs.twimg.com/media/EOlefRfUEAA1iIj.jpg</t>
  </si>
  <si>
    <t>Advancing the #health, #wealth and #careers of more than 110 million people worldwide. #HR #FutureofWork #FinancialSecurity</t>
  </si>
  <si>
    <t>http://www.uk.mercer.com</t>
  </si>
  <si>
    <t>Introduction to Michael Bjorn Huseby, Author of 'Living a #BlissfulLife' ||  == #mentalhealth #anxiety #bipolar #depression #mhchat #mhsm</t>
  </si>
  <si>
    <t>https://bit.ly/2QHCAky</t>
  </si>
  <si>
    <t>https://pbs.twimg.com/media/EOlefCzWoAQf4LW.jpg</t>
  </si>
  <si>
    <t>Shopping For A Gift</t>
  </si>
  <si>
    <t>Today I'm Going To Be Fabulous Mug. 20% of the sale goes to MIND Visit &gt;&amp;gt;  #mentalhealth #MentalHealthAwareness #Health</t>
  </si>
  <si>
    <t>http://bit.ly/2TAYYhp</t>
  </si>
  <si>
    <t>https://pbs.twimg.com/media/EOlec1KWAAA_OMp.jpg</t>
  </si>
  <si>
    <t>Essex UK</t>
  </si>
  <si>
    <t>Affordable Online Gifts and accessories http://www.shoppingforagift.com An MLR Promotions Company</t>
  </si>
  <si>
    <t>http://www.shoppingforagift.com</t>
  </si>
  <si>
    <t>Rick Ross</t>
  </si>
  <si>
    <t>A chatbot pulled me out of a 'really dark place'  #chatbots #MentalHealth #Innovation #AI</t>
  </si>
  <si>
    <t>https://bbc.in/2RujGN7</t>
  </si>
  <si>
    <t>Dublin, OH</t>
  </si>
  <si>
    <t>CEO, People-centric Innovation | Technology | Digital-Age Leadership | Design</t>
  </si>
  <si>
    <t>http://linkedin.com/in/rickrossprofile</t>
  </si>
  <si>
    <t>For people young or old, anxiety symptoms can bring on many issues. Anxiety is a real problem but when it's managed well then life is easier. Try SNAP nutrients to manage naturally. Learn more at  #MentalHealth #SNAPtoday</t>
  </si>
  <si>
    <t>https://pbs.twimg.com/media/EOleSwYWsAEk40V.jpg</t>
  </si>
  <si>
    <t>DimkpaUcheBright</t>
  </si>
  <si>
    <t>Nurse Entrepreneur, Registered Nurse, Registered Psychiatric Nurse, Community Mental Health Advocate, Certified Addiction Specialist, Passionate Lover of @LFC.</t>
  </si>
  <si>
    <t>Simple Reminders</t>
  </si>
  <si>
    <t>hey you! you are so creative! #mentalhealth</t>
  </si>
  <si>
    <t>A mental health bot to spread love and support in cute little reminders!</t>
  </si>
  <si>
    <t>Megan Elliott OT</t>
  </si>
  <si>
    <t>Three days spent at a #kaizen event this week focusing on service development in the Harrogate and York #crisisteams. Thanks @TEWV for the opportunity to have my say on the future of mental health services! #occupationaltherapist #crisisclinician #mentalhealth</t>
  </si>
  <si>
    <t>Occupational Therapy Graduate. Crisis Clinician in Harrogate mental health services :) love all things crafty, yoga, mindfulness, mental health, makaton 😊</t>
  </si>
  <si>
    <t>GOATY'S NEWS (UK)🇬🇧🇪🇺</t>
  </si>
  <si>
    <t>#Children at risk of #suicide in #Wales are still "falling through the gaps", the children's commissioner has warned. #YouthSuicides #SuicidePrevention #SelfHarm #MentalHealth #Papyrus #Schools #YouthClubs #Youth #Community #SocialServices #News</t>
  </si>
  <si>
    <t>https://www.bbc.co.uk/news/uk-wales-51156066</t>
  </si>
  <si>
    <t>Devon UK</t>
  </si>
  <si>
    <t>SMEM. SEARCH &amp; RESCUE News, SEVERE WEATHER &amp; General News ~ LGBT+🏳️‍🌈.Follow/tag choice not endorsement ~ Some updates/credits only on http://facebook.com/GoatysNews</t>
  </si>
  <si>
    <t>https://goatysnews.wordpress.com</t>
  </si>
  <si>
    <t>Jim Hawkins</t>
  </si>
  <si>
    <t>Southampton Airport use therapy dogs for nervous flyers #mentalhealth ~wellbeing</t>
  </si>
  <si>
    <t>https://www.bbc.co.uk/news/av/uk-england-hampshire-51148311/southampton-airport-use-therapy-dogs-for-nervous-flyers</t>
  </si>
  <si>
    <t>Shrewsbury, Shropshire</t>
  </si>
  <si>
    <t>Mid-morning radio presenter @BBCShropshire, photographer, musician. Partner of @JaynieSings, half of @GreenMoonBand. Music, mental health, making a difference.</t>
  </si>
  <si>
    <t>http://www.jimhawkins.co.uk</t>
  </si>
  <si>
    <t>SELementaryTreasures</t>
  </si>
  <si>
    <t>Great visual showing executive functions via @organize365! #executivefunctioning, #SEL, #mentalhealth</t>
  </si>
  <si>
    <t>https://pbs.twimg.com/media/EOldpggXUAElcNB.jpg</t>
  </si>
  <si>
    <t>Elementary School Counselor and SEL enthusiast with passion for educational neuroscience, social thinking, and mindful moments.</t>
  </si>
  <si>
    <t>Loudmrsbrooks</t>
  </si>
  <si>
    <t>Myself one of my chiblins and here's my mom passed in 2012 #mentalhealth #MentalHealthMatters #SuicidePrevention She was the light of every party, the ache in men's hearts. Our world but Could never find the happiness in herself enough outted by family for fear of embarrassment👍</t>
  </si>
  <si>
    <t>https://pbs.twimg.com/media/EOldmNQWoAIzUh8.jpg</t>
  </si>
  <si>
    <t>Massachusetts</t>
  </si>
  <si>
    <t>Mom of Seven, Wife, Gamer est.1996! . TWITCH - Loudmrsbrooks . INSTA- Loud.mrsbrooks . XBOX- Loudmrsbrooks . YouTube- Loud Mrsbrooks . Snapchat- Loud Mrsbrooks</t>
  </si>
  <si>
    <t>http://streamlabs.com/loudmrsbrooks</t>
  </si>
  <si>
    <t>#Newcastle children talk #mentalhealth thanks to puppets</t>
  </si>
  <si>
    <t>https://www.bbc.co.uk/news/av/uk-england-tyne-51143669/newcastle-children-talk-mental-health-thanks-to-puppets</t>
  </si>
  <si>
    <t>Anna Pereira</t>
  </si>
  <si>
    <t>Treat your patients &amp; clients successfully! A #MentalHealth solution for #Healing from past #betrayal introduced to you by @DebiSilber on this session of Extraordinary #Instruction The Science of Treating Betrayal by @TheWellnessUniv 👉  #HowTo</t>
  </si>
  <si>
    <t>http://bit.ly/EIDebiSilber</t>
  </si>
  <si>
    <t>https://pbs.twimg.com/media/EOldSv5VUAAERGl.jpg</t>
  </si>
  <si>
    <t>NJ USA, Portugal &amp; France</t>
  </si>
  <si>
    <t>Founder of The #Wellness Universe Community &amp; Wellness Directory #WUWorldChanger https://www.WUSoulTreat.com #Retreat #WellnessEvent FB/CirclesOfInspiration</t>
  </si>
  <si>
    <t>https://www.TheWellnessUniverse.com</t>
  </si>
  <si>
    <t>TheWellnessUniverse</t>
  </si>
  <si>
    <t>Treat your patients &amp; clients successfully! A #MentalHealth solution for #Healing from past #betrayal introduced to you by @DebiSilber on this session of Extraordinary #Instruction The Science of Treating Betrayal by @TheWellnessUniv 👉  #HowTo #WUVIP</t>
  </si>
  <si>
    <t>https://pbs.twimg.com/media/EOldSxGU8AAJZjA.jpg</t>
  </si>
  <si>
    <t>#WUVIP A collective of world changers devoted to helping &amp; healing you &amp; the planet. Visit us &amp; walk away feeling better! Founders @AnnaPereiraDesi @ShariAlyse</t>
  </si>
  <si>
    <t>http://www.TheWellnessUniverse.com</t>
  </si>
  <si>
    <t>Jenny Tasker</t>
  </si>
  <si>
    <t>Treat your patients &amp; clients successfully! A #MentalHealth solution for #Healing from past #betrayal introduced to you by @DebiSilber on this session of Extraordinary #Instruction The Science of Treating Betrayal by @TheWellnessUniv 👉  #WUVIP</t>
  </si>
  <si>
    <t>https://pbs.twimg.com/media/EOldSqFWoAUXxg5.jpg</t>
  </si>
  <si>
    <t>Vancouver, B.C. Canada</t>
  </si>
  <si>
    <t>Social Media/Lounge Manager of http://TheWellnessUniverse.com #WUVIP Light, Stone &amp; Tarot Worker, Writer/Poet, and owner of http://jennyspositiveposts.com</t>
  </si>
  <si>
    <t>https://www.facebook.com/jennyspositiveposts</t>
  </si>
  <si>
    <t>♡ ᖴᖇᑌITᒪOOᑭ ♡</t>
  </si>
  <si>
    <t>This is how I have been feeling since mid November and it's only got worse. #bpd #mentalhealth RT @sadiariies:</t>
  </si>
  <si>
    <t>https://twitter.com/sadiariies/status/1216780422681546752</t>
  </si>
  <si>
    <t>pic.twitter.com/ckAidkkfeL</t>
  </si>
  <si>
    <t>۰•● ❤ ●•۰</t>
  </si>
  <si>
    <t>Lone young women struggling with #sobriety ☩ diagnosed w/ #BorderlinePersonalityDisorder, #Anxiety, #Depression, &amp; #CPTSD. ☩ Transition Into a Life Worth Living</t>
  </si>
  <si>
    <t>Sometimes I wish life was like an instant messaging app; you could delete comments before the other person sees it. #SaturdayThoughts #mentalhealth</t>
  </si>
  <si>
    <t>pic.twitter.com/wqwx0hwJ37</t>
  </si>
  <si>
    <t>If your story doesn’t have hardship your story is not good. I plug that sentence into my #selftalk every time I’m going through some hard, stressful experiences. #mentalhealth</t>
  </si>
  <si>
    <t>Grant Halliburton Foundation</t>
  </si>
  <si>
    <t>Looking forward to it! 🙌 #mentalhealth RT @IAmHereTX: We’re excited to kick off the year with our first I AM H·E·R·E Coalition Meeting on 1/22 at @GHFoundation! For 2020, the Coalition has voted to adopt a singular focus on improving access to mental health care in #SouthDallas. More info at .</t>
  </si>
  <si>
    <t>https://twitter.com/iamheretx/status/1218606964063817728
http://iamherecoalition.org</t>
  </si>
  <si>
    <t>Dallas, Texas</t>
  </si>
  <si>
    <t>Founded in 2006, Grant Halliburton Foundation promotes awareness and understanding of teen and young adult mental health and suicide prevention in North Texas.</t>
  </si>
  <si>
    <t>https://www.granthalliburton.org</t>
  </si>
  <si>
    <t>Robin Taylor</t>
  </si>
  <si>
    <t>#BritainGetTalking #itv don't be afraid to talk about issues affecting you, #itsoktotalk #mentalhealth #MentalHealthMatters #MentalHealthAwarenessDay #caring</t>
  </si>
  <si>
    <t>Shrewsbury, England, United Kingdom</t>
  </si>
  <si>
    <t>Knowing when to "listen", is as Important as knowing when to "talk"</t>
  </si>
  <si>
    <t>https://www.youtube.com/user/RobinVovin</t>
  </si>
  <si>
    <t>#Caregivers now have a a new #Resource to take advantage of, a #Hotline. This hotline is not only for their day-to-day tasks and duties, but it is available for #EmotionalSupport as well. #MentalHealth #Health #PhysicalHealth #SelfCare #Aging</t>
  </si>
  <si>
    <t>http://ow.ly/PDnG50xYWJr</t>
  </si>
  <si>
    <t>Volunteers of America Minnesota</t>
  </si>
  <si>
    <t>We have immediate openings for appointments at Vona Center for Mental Health in New Hope. To make an appointment, call 763-225-4052 or make an appointment online:  #ExceptionalCare #MentalHealth #WeBuildWellBeing #SelfCare #MentalHealthMatters #Hope</t>
  </si>
  <si>
    <t>http://bit.ly/2Zdf4gk</t>
  </si>
  <si>
    <t>Minneapolis, Minnesota</t>
  </si>
  <si>
    <t>Volunteers of America - Minnesota. Nonprofit health &amp; human service agency | Helping America's most vulnerable http://facebook.com/voamn</t>
  </si>
  <si>
    <t>http://www.voamn.org</t>
  </si>
  <si>
    <t>Elizza</t>
  </si>
  <si>
    <t>Who is with me? Please retweet if you agree. This is a powerful website too, for those interested in the correlation between #Recoveryposse and #mentalhealth RT @Break_Cycles: I'm starting 2020 off right by taking a stand for #mentalhealth and #addiction! Join me by signing the @MHforUS statement of support and let policymakers know that it’s time for #mentalhealthforus</t>
  </si>
  <si>
    <t>https://twitter.com/Break_Cycles/status/1215301986838441985
https://bit.ly/2NQWRTK</t>
  </si>
  <si>
    <t>Tallahassee, FL</t>
  </si>
  <si>
    <t>AWARD-Winning author MIRACLES OF RECOVERY, positive change-agent, facilitator of hope/miracles, dogs, writing blind, NO DMs, unless bus. or YOU WILL b deleted.</t>
  </si>
  <si>
    <t>http://www.Harriethunter.org</t>
  </si>
  <si>
    <t>HRIC Dubai</t>
  </si>
  <si>
    <t>This weeks read recommendation from our @DrThoraiya A great book to help you identify emotionally exhausting relationships #saturdayreads #dubaipsychology #letstalk #hricdubai #psychology #mentalhealth #mentalhealthawareness #mydubai</t>
  </si>
  <si>
    <t>https://pbs.twimg.com/media/EOlcTa5VUAU7RCj.jpg</t>
  </si>
  <si>
    <t>Dubai, United Arab Emirates</t>
  </si>
  <si>
    <t>International team of psychologists committed to supporting mental health across all ages, locations, &amp; nationalities. Your safe place for over 25 years.</t>
  </si>
  <si>
    <t>http://www.hricdubai.com</t>
  </si>
  <si>
    <t>Hillary K Mutai</t>
  </si>
  <si>
    <t>Sotik || Kakamega || Nairobi</t>
  </si>
  <si>
    <t>Software Developer ||Introverted extrovert || Java_son || MMUST Student</t>
  </si>
  <si>
    <t>http://www.sultanCode.com</t>
  </si>
  <si>
    <t>Borderline Mum</t>
  </si>
  <si>
    <t>No job is worth dying over. Put your #mentalhealth first</t>
  </si>
  <si>
    <t>#bpd | #depression | #anxiety | #ptsd raising awareness one tweet at a time</t>
  </si>
  <si>
    <t>The Emperor</t>
  </si>
  <si>
    <t>Milky Way Galaxy</t>
  </si>
  <si>
    <t>Academic | Town Planner | Forex Monger | Art Enthusiast | Entrepreneur.</t>
  </si>
  <si>
    <t>https://soundcloud.com/mbongenidlomo</t>
  </si>
  <si>
    <t>#MentalHealth Openness Improves Med Students' Attitudes  @YaleCSC #MedTwitter #MedStudentTwitter @somedocs</t>
  </si>
  <si>
    <t>https://www.mdmag.com/medical-news/mental-health-openness-improves-med-students-attitudes</t>
  </si>
  <si>
    <t>Rachel Atkinson #FBPE #LGBT 🇪🇺 🏳️‍🌈</t>
  </si>
  <si>
    <t>What better way to stick the bongs to #Brexiteers than to help someone wanting to help those needing support with their #mentalhealth. Let's make #FBPE about caring for those around us, rather than #brexit which is about helping the few rich men in power! RT @leahh_may: How about instead of donating to #BigBenBongs 🙄 ya share our crowdfunder to help those living with and experiencing problems with their mental health? 🥰 All forms of support grateful- a simple retweet goes a long way!  #crowdfunding #help #mentalhealth</t>
  </si>
  <si>
    <t>https://twitter.com/leahh_may/status/1218594190671654912
https://www.crowdfunder.co.uk/calm-in-chaos#start</t>
  </si>
  <si>
    <t>Student. Feminist. European, Globalist and proud. Dyslexic. #FBPE and #LGBT and proud. Tweets are my own. If you support Trump, Brexit or Tories, goodbye</t>
  </si>
  <si>
    <t>Ryan Morris</t>
  </si>
  <si>
    <t>Not everything can turn out to be a master piece, that image I posted was one of those. But that's just a sign of needing a break and I think I successfully done that by resting today because now im ready again to work on something for tomorrow #mentalhealth #SaturdayMotivation</t>
  </si>
  <si>
    <t>My Koala Kingdom on Pluto</t>
  </si>
  <si>
    <t>Animation student. Taking part in gamejams, makes concept/game art and loves koalas 🐨</t>
  </si>
  <si>
    <t>https://kingzer0.itch.io/</t>
  </si>
  <si>
    <t>Allen Y. Tien MD MHS 田一彦</t>
  </si>
  <si>
    <t>#FivePillars of #mentalhealth are sleep, exercise, diet, relationships, healthcare: participate for yourself and those you care about #PersonalNetworks . #SharedFacts</t>
  </si>
  <si>
    <t>https://www.psychcongress.com/article/evidence-exercise-antidepressant-growing-underrecognized?utm_campaign=meetedgar&amp;utm_medium=social&amp;utm_source=meetedgar.com</t>
  </si>
  <si>
    <t>Baltimore, 地球, Cape Breton           P(A|B)=P(B|A)P(A)/P(B)</t>
  </si>
  <si>
    <t>Life-course implementation science, neuro-psychiatry, epidemiology-biostat, sickle cell, semantics, network science, informatics, behavioral health ecosystem</t>
  </si>
  <si>
    <t>http://mdlogix.com</t>
  </si>
  <si>
    <t>RMHM Rural Mental Health Matters 💞👥 (Was SOMH!)</t>
  </si>
  <si>
    <t>Thank you @Keah_Maria couldn't have put this any better myself! 🙏♿ Lest we forget #invisibleillness #disability #mentalhealth &amp; inequality in rural vs urban communities #ruralmentalhealth Via @aboutfacesf RT @aboutfacesf: "Taking accessibility and disabled people into consideration is vital for any movement, because without actively including us, you’re actively choosing to exclude us." - @Keah_Maria</t>
  </si>
  <si>
    <t>https://twitter.com/aboutfacesf/status/1218579301831823360
https://www.allure.com/story/womens-march-2020-accessibility-for-people-disabilities</t>
  </si>
  <si>
    <t>Shaftesbury, England</t>
  </si>
  <si>
    <t>@SocialEnt_UK member💚 Rural Mental Health💚Aim: Launch 1ST UK rural MH 'wellness on wheels' outreach🚌. @UnLtd award winner #EndTheStigma #ruralmentalhealth</t>
  </si>
  <si>
    <t>https://www.ruralmentalhealthmatters.co.uk/</t>
  </si>
  <si>
    <t>Alicia Kropf</t>
  </si>
  <si>
    <t>The cuts have been made already, we are struggling this year with less funding. This government wants to cut more. My students can't afford anymore cuts, my #mentalhealth can't afford anymore cuts. @Sflecce Get back to the table! #EnoughIsEnough #Solidarity #cutshurtkids #ETFO</t>
  </si>
  <si>
    <t>https://pbs.twimg.com/media/EOlbhojUYAAizlb.jpg</t>
  </si>
  <si>
    <t>Mom, UGDSB Elementary Teacher/Learner, Artist, Outdoor Lover.</t>
  </si>
  <si>
    <t>Dorset Mind</t>
  </si>
  <si>
    <t>Although our Red January walk was postponed today in Longham , some REDers braved the mud &amp; did a shorter walk around the Lakes. 🥶 We still have more walks planned this #redjanuary, join us by signing up to RED January for free here:  #mentalhealth #kby</t>
  </si>
  <si>
    <t>http://bit.ly/REDJan2020</t>
  </si>
  <si>
    <t>https://pbs.twimg.com/media/EOlbgw4UYAAuz4n.jpg</t>
  </si>
  <si>
    <t>We educate people &amp; communities; challenge stigma &amp; inequality; and promote recovery towards positive mental health and wellbeing in Dorset.</t>
  </si>
  <si>
    <t>http://www.dorsetmind.uk</t>
  </si>
  <si>
    <t>❄ Liz ❄</t>
  </si>
  <si>
    <t>I strongly DETEST the question about what I work with. I've never had/been able to get a job. I've been unemployed since I left school. Shut the fuck up, and stop triggering panic attacks with your pointless small talk. #mentalhealth #unemployed</t>
  </si>
  <si>
    <t xml:space="preserve">Sweden </t>
  </si>
  <si>
    <t>Feminist. Gamer. Cat meowmy. Happy in love. She/her. Level 28. 🇸🇪</t>
  </si>
  <si>
    <t>🇨🇦 Deanna Cheng</t>
  </si>
  <si>
    <t>Mayor wants B.C. to institutionalize severely mental ill people who are homeless  / #bcpoli #mentalhealth #MentalHealthAwareness #mentalillness #homelessness #vanpoli #cdnpoli #health #cdnhealth</t>
  </si>
  <si>
    <t>https://buff.ly/2NbTKF1</t>
  </si>
  <si>
    <t>Vancouver, B.C. (Canada)</t>
  </si>
  <si>
    <t>Freelance journalist + copyeditor. @LJ50th grad. @editorscanada member. Avid bookworm. Snail mail fiend. She/her. http://SeeDisclaimer.com</t>
  </si>
  <si>
    <t>https://ca.linkedin.com/in/dmwcheng</t>
  </si>
  <si>
    <t>Transcend Recovery</t>
  </si>
  <si>
    <t>#Addictiontreatment involves understanding what #addiction does to the brain and your #mentalhealth and knowing what it takes to reverse that damage.</t>
  </si>
  <si>
    <t>https://transcendrecoverycommunity.com/addiction-affects-mental-state/</t>
  </si>
  <si>
    <t>The road to #recovery is hard, but help is here. You are not alone in your struggle. Join our #soberliving #community today! (800) 208-1211</t>
  </si>
  <si>
    <t>http://TranscendRecoveryCommunity.com</t>
  </si>
  <si>
    <t>The Trouble with #ExcessiveSelfControl ||  == #mentalhealth #selfcontrol #adhd #impulsivity #anxiety #mhchat #mhsm</t>
  </si>
  <si>
    <t>https://bit.ly/36XS8Gs</t>
  </si>
  <si>
    <t>https://pbs.twimg.com/media/EOla__UUUAE6qBl.jpg</t>
  </si>
  <si>
    <t>prolayC</t>
  </si>
  <si>
    <t>Bengaluru, India</t>
  </si>
  <si>
    <t>Salesforce Lead Solution/Technical Architect | E2E Architectural Solution| Active Listener| Problem Solver| Learner| Blogger</t>
  </si>
  <si>
    <t>https://about.me/prolaychaudhury</t>
  </si>
  <si>
    <t>An awesome #mentalhealth resource. TONS of info!  #mentalhealthawareness</t>
  </si>
  <si>
    <t>http://1.usa.gov/1vF5phF</t>
  </si>
  <si>
    <t>Lee J Plummer</t>
  </si>
  <si>
    <t>Pushup Time Day 127. I'm liking these beats. Get up, get moving, take charge and create the life you wish to live, I cannot not say this enough, because purpose is the power to our being. #pushuptime #22aday #22for22 #veterans #SuicidePrevention #Mentalhealth #HealthyLiving #life</t>
  </si>
  <si>
    <t>pic.twitter.com/TDzqb24vRi</t>
  </si>
  <si>
    <t>Damascus, OR</t>
  </si>
  <si>
    <t>Disabled Veteran 🇺🇸, Daily #PushupTime, Mental Health Advocate, Aspiring Author, Artist/Illustrator, #Leeswoodcrafts, Music/Lyric Connoisseur, Family First.</t>
  </si>
  <si>
    <t>http://LeeJPlummer.wordpress.com</t>
  </si>
  <si>
    <t>Julia Lo Bue-Said</t>
  </si>
  <si>
    <t>Another book reading list  recommended by our People Team. We’re championing wellbeing in the workplace which includes #mentalhealth through @AdvantageHQ #WellbeingWheel focuses our mind on the areas important to our people  RT @Nuovovino: Inspired by the speakers at the Globe awards @brianryoung @michellelaveric a journey into the heartland of psychiatry @Lucy_Huxley @stuartparish @atas @jlo_said @AdvantageHQ @GlobalRichards @VillageTravel5 @midcountiescoop @TTNG_Membership @TTNG_Gary @HaysTravel @HaysTravelIG</t>
  </si>
  <si>
    <t>https://happiful.com/mood-boosting-books/
https://twitter.com/nuovovino/status/1218549391654641665</t>
  </si>
  <si>
    <t>https://pbs.twimg.com/media/EOlacq0U0AARBf7.jpg
https://pbs.twimg.com/media/EOkoNbaXUAETcB8.jpg</t>
  </si>
  <si>
    <t>CEO of Advantage Travel Partnership; supporting independent travel businesses. Passionate about my work &amp; family, sharing my own personal views on twitter.</t>
  </si>
  <si>
    <t>Association Person Centred Creative Arts</t>
  </si>
  <si>
    <t>A lively workshop from one of our fantastic members! #creativearts #mentalhealth</t>
  </si>
  <si>
    <t>https://www.instagram.com/p/B7eKemng-Qw/?igshid=vajiq7szv7bd</t>
  </si>
  <si>
    <t>https://pbs.twimg.com/media/EOlaYafVUAARuLa.jpg</t>
  </si>
  <si>
    <t>Essex</t>
  </si>
  <si>
    <t>Promoting mental health, emotional wellbeing &amp; creativity through the therapeutic use of person centred creative arts. New training courses, CPD and events.</t>
  </si>
  <si>
    <t>https://www.apcca.org.uk</t>
  </si>
  <si>
    <t>#hellomynameis Georgia</t>
  </si>
  <si>
    <t>Working hard writing my speech titled 'You Are Not Defined by Your Past, the Journey and Future' for the @inspiringlt 2020 Launch Event at Goldsmith's Hall this Tuesday. Coffee is pure gold! #mentalhealth #recovery #publicspeaking #InspiringLeadershipTrust #speechwriting</t>
  </si>
  <si>
    <t>https://pbs.twimg.com/media/EOlaU6yVAAApl4g.jpg</t>
  </si>
  <si>
    <t>Passionate about Youth Mental Health 🌻 • MHFA Instructor 🌱 • Young Women's Ambassador @ Inspiring Leadership Trust• 1st year StRMHN @ UoN 🌅 Public Speaking!</t>
  </si>
  <si>
    <t>Nigel Sykes</t>
  </si>
  <si>
    <t>Whoever approved and uses isolation booths in schools is disgraceful. This is the worst thing that can be done to a child who is struggling to fit. Needs to be stopped #mentalhealth #youngminds #autism #psycosis #jonnybenjamin</t>
  </si>
  <si>
    <t>Bessacarr, England</t>
  </si>
  <si>
    <t>Fighting fibro and mental health campaigner. Hoping to raise essential research funding for psychosis treatment through a short awareness film</t>
  </si>
  <si>
    <t>Emyr Hughes</t>
  </si>
  <si>
    <t>Off you pop your pair of hypocritical self serving idiots. Harry preaches about #mentalhealth and #ClimateChange and his private jet use he clearly doesn’t care. Good riddance.  #MeghanAndHarry</t>
  </si>
  <si>
    <t>https://www.bbc.co.uk/news/uk-51163865</t>
  </si>
  <si>
    <t>Cardiff</t>
  </si>
  <si>
    <t>❤️TAKEN❤️ Entrepreneur and Regular Insomniac. Welsh, from Wales. Unfashionable since 1987.</t>
  </si>
  <si>
    <t>xmiss nightmare</t>
  </si>
  <si>
    <t>saturday vibes! road to 3k lets go!! [xbox] #NightmareSquad #mentalhealth</t>
  </si>
  <si>
    <t>https://streamlabs.com/xMiss_Nightmare1/home</t>
  </si>
  <si>
    <t>uk</t>
  </si>
  <si>
    <t>follow my: twitter- @cheekiekay Instagram- xmiss_nightmare mixer stream- xMiss_Nightmare xbox gt- xMiss Nightmare discord https://discord.gg/22TEZUJ</t>
  </si>
  <si>
    <t>https://mixer.com/xMiss_Nightmare</t>
  </si>
  <si>
    <t>WisForWellness</t>
  </si>
  <si>
    <t>C is for #countryside A stroll through Quorn on a brisk but sunny day #wisforwellness #mentalhealth #healthandwellness #freshair #walking #NewYearsResolutions #fitness #nature #calm #SaturdayThoughts #SaturdayVibes</t>
  </si>
  <si>
    <t>https://pbs.twimg.com/media/EOlaKeEUcAAlj2w.jpg</t>
  </si>
  <si>
    <t>2020 is the year of the Wellness Alphabet! Each week I'll do something uplifting beginning with that letter. Feel free to join me on my alphabetical adventure!</t>
  </si>
  <si>
    <t>Prohibition facts related to murder rates and gang violence... #Recovery #Addiction #Mentalhealth #yyc RT @BaDorfman: @docraina But the rise of organized crime during Prohibition is really more myth than fact too. The mafia became more visible, but statistics show that murder rates were steady starting after 1910. John Binders work shows that we've overestimated the gang violence associated with the era..</t>
  </si>
  <si>
    <t>https://twitter.com/BaDorfman/status/1218319355471155200</t>
  </si>
  <si>
    <t>Christina Scott</t>
  </si>
  <si>
    <t>Make the most out of YOUR situation. #traumarecovery #mentalhealth</t>
  </si>
  <si>
    <t>https://www.instagram.com/p/B7eKtXng4MH/?igshid=11q9n9q8jq2xn</t>
  </si>
  <si>
    <t>Eugene, OR</t>
  </si>
  <si>
    <t>it’s me; normal person that speaks (types) when I feel my input is important to me. #noh8 #commUNITY I adopted and had some kids. Sprinkle kindness everywhere!</t>
  </si>
  <si>
    <t>http://facebook.com/say.christina</t>
  </si>
  <si>
    <t>#mentalhealth #wellbeing Brilliant work, @ActionChildren RT @jannerdriver: “The show Curious Beasts, developed by charity Action For Children, visits schools to identify early signs of psychological and emotional issues in a bid to prevent them from developing in the future.”</t>
  </si>
  <si>
    <t>https://twitter.com/jannerdriver/status/1218464023538171904
https://www.bbc.co.uk/news/uk-england-tyne-51143669</t>
  </si>
  <si>
    <t>Laurie Mbassi</t>
  </si>
  <si>
    <t>Ydé/Paris /London/Bordeaux🛫🌍</t>
  </si>
  <si>
    <t>A Business Student at Inseec Paris. Proud Cameroonian🇨🇲 Lover of Music/Film/Movie/Overall Culture/French gourmet Lifestyle. I go on and on In God, I Trust.🙏</t>
  </si>
  <si>
    <t>We Are Golden Thread</t>
  </si>
  <si>
    <t>“Play is the highest form of research.” ~ Albert Einstein Love this activity for teaching about the brain. #semh #sel #nurturegroup #braindevelopment #mentalhealth #teacher #ukedchat #schools #birminghamschools #amygdala #brewed #teachertwitter @chrisdysonHT</t>
  </si>
  <si>
    <t>https://pbs.twimg.com/media/EOlZXlDUcAIiDFg.jpg</t>
  </si>
  <si>
    <t>Birmingham, UK</t>
  </si>
  <si>
    <t>•New to Nursery after 10 years teaching• Health and Wellbeing @stjohnschoolb11 •Forest School believer•Learner-teacher •Kids yoga trainer•Magpie•</t>
  </si>
  <si>
    <t>https://wearegoldenthread.wordpress.com</t>
  </si>
  <si>
    <t>this is how to show a loved one you care: Have you thought about getting help? #mentalhealth #depression</t>
  </si>
  <si>
    <t>DGF Blackwell - Working on book 9.</t>
  </si>
  <si>
    <t>Struggling with my #mentalhealth Just when I feel better and things improve, they crumbled. I have no issues with dying, besides, no one would know.</t>
  </si>
  <si>
    <t>Kent, England.</t>
  </si>
  <si>
    <t>Hello, I'm Dave, an indie author from South East London, England. I just released my 8th Novel, 'Captive' a crime thriller. #author #writer #writerlift.</t>
  </si>
  <si>
    <t>https://amzn.to/2O2k3Qw</t>
  </si>
  <si>
    <t>rogerscott</t>
  </si>
  <si>
    <t>Have you found your child watching pornography on the computer and you aren’t sure what to do? ttps://bit.ly/2Tvy76c #pornography #children #compiter #mentalhealth #psychiatry #psadena #joeharaszti</t>
  </si>
  <si>
    <t>http://kissmediaco.com</t>
  </si>
  <si>
    <t>Thriveworks</t>
  </si>
  <si>
    <t>Are you thinking about scheduling counseling services? Find the right kind of therapy for you!  #counseling #therapy #mentalhealth #thriveworks</t>
  </si>
  <si>
    <t>https://thriveworks.com/blog/schedule-first-counseling-session/</t>
  </si>
  <si>
    <t>https://pbs.twimg.com/media/EOlZKI1UEAAJKRj.jpg</t>
  </si>
  <si>
    <t>Premium Counseling and Life Coaching: Helping Clients Improve Happiness, Relationships, and Life Success.</t>
  </si>
  <si>
    <t>https://thriveworks.com/</t>
  </si>
  <si>
    <t>PtaSA_PHW</t>
  </si>
  <si>
    <t>Pretoria</t>
  </si>
  <si>
    <t>Faith. Hope. Love.</t>
  </si>
  <si>
    <t>ConnerStrongFoundation</t>
  </si>
  <si>
    <t>If you are here in the exhibit hall, come by booth 633 in the Changing Minds corner! Today’s drawing is at 4pm. (Rules applies) #nbc4expo @nbcwashington #mentalhealth #letsgocaps #raffle #DontEndYourStory #startlistening</t>
  </si>
  <si>
    <t>https://pbs.twimg.com/media/EOlY9cXU4AA9ZzO.jpg</t>
  </si>
  <si>
    <t>Alexandria, VA</t>
  </si>
  <si>
    <t>Turning Our Loss Into Something Positive. The flutter of a butterfly’s wings can make a difference in the world. #DontEndYourStory #StartListening #EndSuicide</t>
  </si>
  <si>
    <t>http://connerstrongfoundation.org/</t>
  </si>
  <si>
    <t>first #fiction effort in the #writingchallenge #write @taylorswift13 #anxiety #mentalhealth #mentalhealthawareness</t>
  </si>
  <si>
    <t>https://kaypodastro.wordpress.com/2020/01/18/you-take-a-deep-breath-and-you-walk-through-the-doors/</t>
  </si>
  <si>
    <t>music. jewish. red sox. #imwithher</t>
  </si>
  <si>
    <t>Vishal Yadav</t>
  </si>
  <si>
    <t>Jeremy D. Kleinhans</t>
  </si>
  <si>
    <t>An important read for everyone #MentalHealthMatters #MentalHealthAwareness #MentalHealth #Suicide RT @MentalHealthAm: "Suicidal behavior and prevention are complex. Just as there is not one single thing leading to suicidal behaviors, there is also not one single thing that will prevent them from occurring." (Content warning: suicide)</t>
  </si>
  <si>
    <t>https://twitter.com/MentalHealthAm/status/1218578801170505730</t>
  </si>
  <si>
    <t>Prime Material Plane</t>
  </si>
  <si>
    <t>Writer, Creator, #Metalhead, #DnD/#ttrpg's, #GameMaster/#DungeonMaster of @MdnghtKngdms</t>
  </si>
  <si>
    <t>https://jeremydkleinhans.wordpress.com/</t>
  </si>
  <si>
    <t>Daniela Dunn</t>
  </si>
  <si>
    <t>Just going to leave this here. . Who’s with me? 🙋🏻‍♀️ . Be kind to yourself! 🙏🏼💕 . . . #mentalhealthawareness #mentalhealth #depression #healingfromdepression #authenticity #authenticjourney #selflove…</t>
  </si>
  <si>
    <t>https://www.instagram.com/p/B7eKKytonvJ/?igshid=hskk7trq493l</t>
  </si>
  <si>
    <t>Writer • Photographer • Information Designer • Yoga Teacher • Dog and Nature Lover • Idealist • Introvert</t>
  </si>
  <si>
    <t>Paddy Stanley &amp; Associates CIC</t>
  </si>
  <si>
    <t>#mentalhealth #Employers - get the skills to support your staff with #mentalhealthfirstaid courses #addressthestress @MHFAEngland</t>
  </si>
  <si>
    <t>http://bit.ly/MHFA_PSA</t>
  </si>
  <si>
    <t>Derbyshire</t>
  </si>
  <si>
    <t>Accredited MHFA Instructor, Disability Confident employer who believes inclusion is the answer to most questions</t>
  </si>
  <si>
    <t>http://www.paddystanleyandassociates.com</t>
  </si>
  <si>
    <t>#mentalhealth #Derby employers Get the practical skills to support your staff by attending an Adult #MentalHealthFirstAid course Feb 18th @MHFAEngland #AddressYourStress</t>
  </si>
  <si>
    <t>http://bit.ly/Mental_Health_DerFeb18</t>
  </si>
  <si>
    <t>#mentalhealth #London employers Get the practical skills to support your staff by attending an Adult #MentalHealthFirstAid course Feb 11th @MHFAEngland</t>
  </si>
  <si>
    <t>http://bit.ly/Mental_Health_LonFeb11</t>
  </si>
  <si>
    <t>Stacey Bing</t>
  </si>
  <si>
    <t>I made this YouTube vid about a 6 week meditation program I've devised, and I just watched it back and realised I'm absolutely insane! 🤣 If you understand meditation then it makes perfect sense, but if you don't, it's just crazy talk. 😂 #mentalhealth</t>
  </si>
  <si>
    <t>https://youtu.be/KB7zjQpV6iU</t>
  </si>
  <si>
    <t>#Health #Fitness #nutrition #Pilates #MentalHealth</t>
  </si>
  <si>
    <t>http://www.staceybing.com</t>
  </si>
  <si>
    <t>PANDAS</t>
  </si>
  <si>
    <t>Doesn't matter how slow you go, you are moving in the right direction 💜..our support line is available till 8pm so please get in touch if you need to. 0808 1971 776 #pandashr #pna #pnd #support #family #mentalhealth #MentalHealthAwareness #mumlife #dadslife</t>
  </si>
  <si>
    <t>https://pbs.twimg.com/media/EOlYWfpX4AAJrkS.jpg</t>
  </si>
  <si>
    <t>Leading UK charity supporting families suffering from perinatal mental illnesses. Free Helpline from uk mobiles and landline -0808 1961 776</t>
  </si>
  <si>
    <t>http://www.pandasfoundation.org.uk</t>
  </si>
  <si>
    <t>#mentalhealth #Manchester employers Get the practical skills to support your staff by attending an Adult #MentalHealthFirstAid course Feb 4th @MHFAEngland</t>
  </si>
  <si>
    <t>http://bit.ly/Mental_Health_MancFeb4</t>
  </si>
  <si>
    <t>#mentalhealth #Birmingham employers Get the practical skills to support your staff by attending an Adult #MentalHealthFirstAid course Jan 28th @MHFAEngland</t>
  </si>
  <si>
    <t>http://bit.ly/Mental_Health_Birm28Jan</t>
  </si>
  <si>
    <t>#MentalHealth - "The Side Effects of Motherhood on Your Psyche" - @Shynae_Nicole "Having children are permanent adjustments to who we are as parents. We are completely responsible for another human being’s life..." Read Here:</t>
  </si>
  <si>
    <t>https://www.harnessmagazine.com/the-side-effects-of-motherhood-on-your-psyche/</t>
  </si>
  <si>
    <t>It's hard as whenever you do something slightly wrong your like right that's it I'm useless #mentalhealth</t>
  </si>
  <si>
    <t>23, stay at home mummy to Kian and bump due 14.07.2020</t>
  </si>
  <si>
    <t>Marsha Lichtenstein</t>
  </si>
  <si>
    <t>Do you find that nothing seems to go right in your life? Find out how to turn things around, FAST. Check out this post to see why, when nothing goes right, you need to go left!  @humangrowthlab #mentalhealth #selfimprovement #success</t>
  </si>
  <si>
    <t>https://buff.ly/36CE5pU</t>
  </si>
  <si>
    <t>https://pbs.twimg.com/media/EOlXy7kU0AAp3Rf.jpg</t>
  </si>
  <si>
    <t>Albuquerque</t>
  </si>
  <si>
    <t>Coach, Consultant, Blogger, Author. I help women find their voice, speak powerfully about their worth, and negotiate with authority AND grace.</t>
  </si>
  <si>
    <t>https://www.SmartCookieCoach.com</t>
  </si>
  <si>
    <t>TheTechSurgeon</t>
  </si>
  <si>
    <t>Playing a selection of games starting with #Battlefield5 Tonights stream is a special one and we will be discussing all things #mentalhealth #xbox #livestreamer #youtubegaming #twitch #twitchstreamer #smallstreamerconnect</t>
  </si>
  <si>
    <t>South Shields, England</t>
  </si>
  <si>
    <t>Casual Gamer and streamer. TheTechSurgeon on Xbox AKA the blind sniper</t>
  </si>
  <si>
    <t>Gerry1nnes</t>
  </si>
  <si>
    <t>R/T @KariJoys Thank you 😊 💚 Have a sweet #Saturday! #JoyTrain #Joy #Love #Kindness #MentalHealth #Mindfulness #GoldenHearts #IAM #StarfishClub #ChooseLove #FamilyTrain #IAMChoosingLove #SaturdayMorning #SaturdayMotivation #SaturdayThoughts RT @KariJoys: Have a sweet #Saturday! #JoyTrain #Joy #Love #Kindness #MentalHealth #Mindfulness #GoldenHearts #IAM #StarfishClub #ChooseLove #FamilyTrain #IAMChoosingLove #SaturdayMorning #SaturdayMotivation #SaturdayThoughts RT @gerrinnesmac</t>
  </si>
  <si>
    <t>https://twitter.com/karijoys/status/1218552995912138752</t>
  </si>
  <si>
    <t>https://pbs.twimg.com/media/DsxsgYKUwAE7WqP.jpg</t>
  </si>
  <si>
    <t>Richmond, TX</t>
  </si>
  <si>
    <t>Listens to Purple watches Red and White when possible. Haway the lads.. #Gerrinnesmac</t>
  </si>
  <si>
    <t>Astri Soeparyono</t>
  </si>
  <si>
    <t>people can say that they care, but it’s a lonely battle after all. #Mentalhealth</t>
  </si>
  <si>
    <t>Jakarta, Indonesia</t>
  </si>
  <si>
    <t>the first rehearsal for life is life itself.</t>
  </si>
  <si>
    <t>http://astrisoeparyono.blogspot.com</t>
  </si>
  <si>
    <t>Isabel Hunt</t>
  </si>
  <si>
    <t>The @modernlovetv episode with #annehathaway is getting all too real for my liking. 😪 Hard to watch. #mentalhealth #mentalillness #depression</t>
  </si>
  <si>
    <t>Author of "A Hidden Life" A book about #mentalillness, love &amp; life. Spring 2020! Lived Experience #depression #OCD &amp; #anxiety (sometimes #movies &amp; #TV)</t>
  </si>
  <si>
    <t>http://www.ahiddenlife.com</t>
  </si>
  <si>
    <t>Having a supportive school environment, in general, is also important when it comes to tackling bullying. Discuss school #bullying with us here:  #Parenting #MentalHealth</t>
  </si>
  <si>
    <t>https://pbs.twimg.com/media/EOlXqnZVUAUn4iR.jpg</t>
  </si>
  <si>
    <t>GEFCC</t>
  </si>
  <si>
    <t>We began providing behavioral health services in 2007 and have since expanded to provide these services in the Elgin, McHenry, Hanover Park, and Wheeling area! Find a Health Center near you:  #Counseling #MentalHealth #GEFCC</t>
  </si>
  <si>
    <t>https://gefcc.org/find-a-health-center/</t>
  </si>
  <si>
    <t>https://pbs.twimg.com/media/EOlXqaQWAAAu2U2.jpg</t>
  </si>
  <si>
    <t>Elgin, Illinois</t>
  </si>
  <si>
    <t>Greater Elgin Family Care Center (GEFCC) is an award-winning Federally Qualified Health Center that provides quality, affordable health care to all.</t>
  </si>
  <si>
    <t>http://www.gefcc.org</t>
  </si>
  <si>
    <t>Mount Sinai Adolescent Health Center</t>
  </si>
  <si>
    <t>Do you follow accounts that help or hurt your #mentalhealth?</t>
  </si>
  <si>
    <t>https://www.teenhealthcare.org/blog/social-media-self-care-7-questions-to-ask-yourself/</t>
  </si>
  <si>
    <t>New York City</t>
  </si>
  <si>
    <t>The Mount Sinai Adolescent Health Center is a free, confidential, comprehensive adolescent health care program in NYC, ages 10-22. Tweets ≠ medical advice.</t>
  </si>
  <si>
    <t>http://www.teenhealthcare.org</t>
  </si>
  <si>
    <t>"I never expected that suffering from depression would teach me some valuable lessons about life." 7 Things Depression Has Taught Me  #depression #MentalHealthMatters #MentalHealthAwareness #mentalhealth #TimetoTalk</t>
  </si>
  <si>
    <t>http://dld.bz/hpQqV</t>
  </si>
  <si>
    <t>https://pbs.twimg.com/media/EOlXoVQWsAILtfx.jpg</t>
  </si>
  <si>
    <t>Mortimers Estate Agents</t>
  </si>
  <si>
    <t>#England #Coastal Path: Cumbria and #Lancashire plans unveiled 👣🚶‍♀️ //  #walking #selfcare #mentalhealth</t>
  </si>
  <si>
    <t>http://ow.ly/wTxk50xTK7W</t>
  </si>
  <si>
    <t>https://pbs.twimg.com/media/EOlXl_pX4AAg2kF.jpg</t>
  </si>
  <si>
    <t>Lancashire</t>
  </si>
  <si>
    <t>Local estate agents, helping you for over 80 years. Based in East Lancashire. #RibbleValley #Blackburn #GreatHarwood #Clitheroe #Whalley #Accrington</t>
  </si>
  <si>
    <t>http://Mortimers-Property.co.uk</t>
  </si>
  <si>
    <t>TCS Healthcare</t>
  </si>
  <si>
    <t>"Most employers plan to highlight behavioral and mental health in the future, but they will need to address opioid abuse and suicide to succeed."  @hpayerintel #opioid #suicide #mentalhealth #healthcare</t>
  </si>
  <si>
    <t>https://zurl.co/S49g</t>
  </si>
  <si>
    <t>TCS Healthcare Technologies is a leading provider of #software &amp; #clinical solutions that support and improve #PopHealth management strategies. #Pinksocks Team!</t>
  </si>
  <si>
    <t>http://www.tcshealthcare.com</t>
  </si>
  <si>
    <t>What Not to Say to People with Serious #MentalIllnesses ||  == #mentalhealth #bipolardisorder #bipolar #depression #mdd #mhsm #mhchat</t>
  </si>
  <si>
    <t>https://bit.ly/2NiW8JR</t>
  </si>
  <si>
    <t>swizzy</t>
  </si>
  <si>
    <t>Dar es Salaam, Tanzania</t>
  </si>
  <si>
    <t>student at Institute of Accounts Arusha forex trader📈📉 manchester united fc supporter.❤</t>
  </si>
  <si>
    <t>Catherine Zahn</t>
  </si>
  <si>
    <t>For a start, let’s all agree that #MentalHealthIsHealth, and commit to equitable investment in #MentalHealth care, supports and professionals. #onpoli #cdnpoli RT @globeandmail: Half of Canadians have too few local psychiatrists, or none at all. How can we mend the mental-health gap?</t>
  </si>
  <si>
    <t>https://twitter.com/globeandmail/status/1218520679236030464
http://dlvr.it/RNHNMm</t>
  </si>
  <si>
    <t>https://pbs.twimg.com/media/EOkOGZ3U8AY40NB.jpg</t>
  </si>
  <si>
    <t>CEO of @CAMHNews. Neurologist. Mom. Optimist. I believe that #MentalHealthIsHealth. For info on CAMH programs email: info@camh.ca</t>
  </si>
  <si>
    <t>http://www.camh.ca</t>
  </si>
  <si>
    <t>MensTalkSpace</t>
  </si>
  <si>
    <t>Charities are calling on the #NHS to introduce routine checks on the #mentalhealth of all #newfathers to spot those who may be suffering from #postnataldepression  via @skynews</t>
  </si>
  <si>
    <t>http://bit.ly/2RxMLYf</t>
  </si>
  <si>
    <t>Preston</t>
  </si>
  <si>
    <t>A safe space where men can share, grow and develop. New project launching in 2019</t>
  </si>
  <si>
    <t>Zeeshan</t>
  </si>
  <si>
    <t>If your attention is on track, you have situational awareness, You execute accurately. You are clear, you adapt, and you overcome #mentalhealth #MentalHealthMatters</t>
  </si>
  <si>
    <t>Unity Therapies Counselling &amp; EFT</t>
  </si>
  <si>
    <t>Any mindful moment you put into practice can help you're wellbeing #mindfulness #wellbeing #mentalhealth #selfcare RT @MindfulEveryday: "If you crave a little calm A break from incessant mental chatter Don't try to stop thinking Instead, just start sensing. What can you see? What can you hear? What can you feel? What can you smell? What can you taste? That's #mindfulness." ~ @MELBMEDITATE</t>
  </si>
  <si>
    <t>https://twitter.com/MindfulEveryday/status/1218284467984510976</t>
  </si>
  <si>
    <t>Salford, England</t>
  </si>
  <si>
    <t>Counsellor &amp; EFT Practitioner - passionate about helping people live calmer &amp; happier lives</t>
  </si>
  <si>
    <t>The Craigen Group</t>
  </si>
  <si>
    <t>Taking a #mentalhealth day is a crucial part of self-care, giving yourself a chance to rest and recharge.  @deeppatel @Entrepreneur #leadership</t>
  </si>
  <si>
    <t>https://www.entrepreneur.com/article/340746</t>
  </si>
  <si>
    <t>Helping clients to connect with their individual and organizational purpose, engage their greatest strengths, and realize maximum impact.</t>
  </si>
  <si>
    <t>http://www.thecraigengroup.com</t>
  </si>
  <si>
    <t>BlackoutBlizzard</t>
  </si>
  <si>
    <t>I finally broke down to tears last night, and because of that, I finally felt an emotion that wasn't anger or sadness. I felt...relieved. Hard to tell if that's good as of now, but it feels like a step in the right direction, anyways. #mentalhealth #anxiety #SickNotWeak</t>
  </si>
  <si>
    <t>A 26-year old guy who fights to survive every day, and is unsure what to do with myself. #Autism #ADHD #Lonely</t>
  </si>
  <si>
    <t>TOP SECRET Knowledge and Ability &gt; *You HAVE to CONQUER Fear. **Gotta FACE The Devil to be a God. #VeteranPeerSupport #MentalHealth #NarcissisticAbuseSurvivor #NarcissistExposer #AwakenedEmpath #PowerOfaGod #ExposeTheParasites #DontLetThemEatYou #AntipsychoticComedy #Armageddon</t>
  </si>
  <si>
    <t>Matt Renshaw</t>
  </si>
  <si>
    <t>Great image from @interkonnect and @duckingpunches promoting mental health awareness. Thanks Ivan 👍🏽 . . #talktoyourfriends #mentalhealthawareness #mentalhealth #helloyellow #musicsaves</t>
  </si>
  <si>
    <t>https://www.instagram.com/p/B7eJS7VFPHB/?igshid=l0lbb4p93ogz</t>
  </si>
  <si>
    <t>North West. UK</t>
  </si>
  <si>
    <t>Dad. Science teacher, school leader, SLE. Work - curriculum design, stdnt resilience and outdoor learning. Fun - Running, mountains, biking, kayaking, drumming.</t>
  </si>
  <si>
    <t>Ninirquia</t>
  </si>
  <si>
    <t>Bite off more then you can chew ,and chew it! #houston #texas #mentalhealth #mindfulness #wellness #psychology #health #philanthropy</t>
  </si>
  <si>
    <t>🌲🦝 Cas 🌲🦝</t>
  </si>
  <si>
    <t>It would be nice to not have anxiety when I'm on anxiety medication please. #mentalhealth #MentalHealthAwareness</t>
  </si>
  <si>
    <t>pic.twitter.com/5mvq0t2eAg</t>
  </si>
  <si>
    <t>Franklin, WI</t>
  </si>
  <si>
    <t>[They/Them] 💜🤍💚• 25 • Getting Married 4/18/2020 💍✨• LoFi is the Shit • Slytherin • NBLW Pride ❤️🏳️‍🌈</t>
  </si>
  <si>
    <t>http://thegenderlesswitch.tumblr.com</t>
  </si>
  <si>
    <t>Eula Mae's Granddaughter</t>
  </si>
  <si>
    <t>Saturday moments...a resident drew this freehand and gave it to me. He's extremely talented! They are excited for the @Chiefs and the road to the #SuperBowl2020. Thought I would share! #mentalhealth #advocacy</t>
  </si>
  <si>
    <t>https://pbs.twimg.com/media/EOlWvgNWkAEnHek.jpg</t>
  </si>
  <si>
    <t>In a positive, happy place!</t>
  </si>
  <si>
    <t>Glambition...there's nothing like real beauty with ambition and a little edge! #designedtoempower #createdtoinspire</t>
  </si>
  <si>
    <t>Stew</t>
  </si>
  <si>
    <t>Great walk around the #Chatsworth estate today - deer everywhere #walking #outdoors #mentalhealth #wellbeing</t>
  </si>
  <si>
    <t>https://pbs.twimg.com/media/EOlWsDiVUAUSSt5.jpg</t>
  </si>
  <si>
    <t>Talent specialist, socially conscious, love walking. Views are my own #housing #diversity #inclusion #ukhousing #lgbt</t>
  </si>
  <si>
    <t>Rajendra</t>
  </si>
  <si>
    <t>ॐ नमः शिवाय. !! Hyper Nationalist.!! Student of Political Science.!!! Follow Me👇👇👇 100% Follow Back.👈👈👈🚩🚩🚩🚩</t>
  </si>
  <si>
    <t>Cllr Matthew Golby</t>
  </si>
  <si>
    <t>A pleasure to be at the presentation today and learn about some of the brilliant work going on in our schools around #mentalhealth RT @TalkOutLoud_: Amazing day celebrating the fantastic work schools in #northants are doing to promote positive #mentalhealth and wellbeing. Huge thanks to @MattGolby, @NorthantsPH and @ntfc players @Harrysmith30_ and @shaun_mcwilliams for supporting us and helping to present TaMHS awards ⚽️😊</t>
  </si>
  <si>
    <t>https://twitter.com/TalkOutLoud_/status/1218587896007053315</t>
  </si>
  <si>
    <t>https://pbs.twimg.com/media/EOlLNjRX4AAsZlv.jpg</t>
  </si>
  <si>
    <t>Northampton</t>
  </si>
  <si>
    <t>Leader of Northamptonshire County Council. Parish &amp; Borough councillor for New Duston, Northampton, LGA Children's Board Member &amp; Dad</t>
  </si>
  <si>
    <t>Dr. Amy Bowers</t>
  </si>
  <si>
    <t>An important and useful read on #menopause and #mentalhealth, #anxiety, #depression: "Those most at risk are women with a history of mental illness, as well as women whose moods are particularly sensitive to hormonal fluctuations." RT @ADAAConference: As Menopause Nears, Be Aware It Can Trigger Depression And Anxiety, Too |</t>
  </si>
  <si>
    <t>https://twitter.com/ADAAConference/status/1218594010052354057
https://www.npr.org/sections/health-shots/2020/01/16/796682276/for-some-women-nearing-menopause-depression-and-anxiety-can-spike</t>
  </si>
  <si>
    <t>Arlington, VA</t>
  </si>
  <si>
    <t>Licensed Clinical #Psychologist in Arlington, VA. She/Her. Providing #psychotherapy with adults. Creating deliberate practice for #wellness via #psychology.</t>
  </si>
  <si>
    <t>http://dramybowers.com</t>
  </si>
  <si>
    <t>𝓕𝓻𝓪𝓷𝓴𝓲𝓮 𝓗𝓪𝓻𝓵𝓸𝔀</t>
  </si>
  <si>
    <t>Sometimes I feel like "what's the point?", but I realize if I thought it was important for a moment, it means something. Self-doubt is just subconscious fear of succeeding. #SaturdayMotivation #mentalhealth #mindpositive #MotivationalQuotes</t>
  </si>
  <si>
    <t>Orange County, CA</t>
  </si>
  <si>
    <t>My goal for 2020 is to start writing everyday. Visual Artist. N🚫 DM. Hello #writingcommunity! IG: harlow_arts FB: xfrankiejeanx</t>
  </si>
  <si>
    <t>http://www.medium.com/@frankieharlow</t>
  </si>
  <si>
    <t>Rebel</t>
  </si>
  <si>
    <t>Me: I actually managed to have a good night last night. Sweet. Let's tackle today. Depression: Yeah, I'm gonna stop you right there, and just, nope. Me: Good morning to you, too. 🙄 #depression #depressionfeelslike #Mentalhealth #depressed</t>
  </si>
  <si>
    <t>I'm just a person riding life's roller coaster, living off of nicotine, caffeine, and broken dreams.</t>
  </si>
  <si>
    <t>Timothy Karera</t>
  </si>
  <si>
    <t>Half of #Canadians have too few local #psychiatrists, or none at all. How can we mend the #mentalhealth gap? /via @globeandmail</t>
  </si>
  <si>
    <t>https://www.theglobeandmail.com/canada/article-half-of-canadians-have-too-few-local-psychiatrists-or-none-at-all/?utm_medium=Referrer:+Social+Network+/+Media&amp;utm_campaign=Shared+Web+Article+Links</t>
  </si>
  <si>
    <t xml:space="preserve">North America </t>
  </si>
  <si>
    <t>Passionate #learner,thrilled by our #networkedsociety #Skillsgapbridging #Climatechange #Foodsecurity #Leadership #Globaldev #PersonalFinance #Bigdata</t>
  </si>
  <si>
    <t>Interesting findings on #prevention in young people.Effectiveness of CBT for children and adolescents with depression:systematic review and meta-regression #mentalhealth #publichealth</t>
  </si>
  <si>
    <t>https://www.ncbi.nlm.nih.gov/pubmed/30658278/</t>
  </si>
  <si>
    <t>Fion Law</t>
  </si>
  <si>
    <t>We may look fine physically but mentally we’re not ok. #mentalhealth</t>
  </si>
  <si>
    <t>💛 Don’t mistake my kindness for weakness 💛</t>
  </si>
  <si>
    <t>http://www.fionlaw16.wixsite.com/mysite</t>
  </si>
  <si>
    <t>MentalHealthSpeaker.pro 🇨🇦🎤</t>
  </si>
  <si>
    <t>Seasonal Affective Disorder doesn’t only happen in winter. Men can also experience perinatal depression. Poor #MentalHealth ≠ #MentalIllness. Literacy &gt; Awareness. #BellLetsTalk</t>
  </si>
  <si>
    <t>Ottawa (Algonquin Territory)</t>
  </si>
  <si>
    <t>Keynote Speaker, Panelist and Leading Canadian Difference Maker for #MentalHealth. Certified Psychological Health &amp; Safety Advisor. Views my own.</t>
  </si>
  <si>
    <t>http://www.MentalHealthSpeaker.pro</t>
  </si>
  <si>
    <t>Rep. Laura Hall</t>
  </si>
  <si>
    <t>Thoughts on what we should be addressing this legislative session? Take my 1 minute 2020 Madison County Public Opinion Survey: #Healthcare #Education #Jobs #PrisonReform #MentalHealth #VotingRights #EnviroJustice #PrisonReform #alpolitics #WomensHealth</t>
  </si>
  <si>
    <t>https://docs.google.com/forms/d/e/1FAIpQLSeHXdnTrlk2NoV3uMtBGfYPrNNT5PE7DMv9DQ7pEujqLj1p8Q/viewform</t>
  </si>
  <si>
    <t>I am an elected official in Alabama representing District 19 in the Alabama legislature. Join me at https://www.facebook.com/representativelaurahall.</t>
  </si>
  <si>
    <t>http://www.replaurahalld19.com</t>
  </si>
  <si>
    <t>Gambling_time4change</t>
  </si>
  <si>
    <t>So many telling those that suffer with #mentalhealth to seak help,or encouraging the nation to break the stigma of poor mental health &amp; raise awareness of #suicide rates/ #prevention &amp;amp; rising number of #homeless yet ignore #gambling operators behaviour contributing to the above</t>
  </si>
  <si>
    <t xml:space="preserve">UK </t>
  </si>
  <si>
    <t>Female Ex #Problemgambler, wanting help for others raising awareness #mentalhealth #CPTSD #PTSD #suicideprevention practising #mindfullness #meditation #yoga</t>
  </si>
  <si>
    <t>NAMIWalks LA County</t>
  </si>
  <si>
    <t>How do I help end the stigma?  #jointhemovement #mentalhealth #NAMIWalks #NAMIWalksLA #endthestigma</t>
  </si>
  <si>
    <t>http://ow.ly/utWB30q8TS9</t>
  </si>
  <si>
    <t>https://pbs.twimg.com/media/EOlVTISXsAAFoEo.jpg</t>
  </si>
  <si>
    <t>Join us in building a movement for a #StigmaFree LA on October 5, 2019 at Grand Park in DTLA</t>
  </si>
  <si>
    <t>https://m.youtube.com/watch?feature=youtu.be&amp;v=y1w2jh1xMUQ</t>
  </si>
  <si>
    <t>Tungasuvvingat Inuit</t>
  </si>
  <si>
    <t>The Alluriarniq program, drop-in counseling. Let's put YOUR well-being first. Mondays, 12-4 pm @ 604 Laurier Ave. W. For Inuit, 16+ &amp; a survivor of sexual violence. **first-come, first-serve basis. #well-being #mentalhealth #youfirst #alluraiarniq @Safety_Canada</t>
  </si>
  <si>
    <t>https://pbs.twimg.com/media/EOlVSxzU0AAt0br.jpg</t>
  </si>
  <si>
    <t>TI is the first of its kind, Inuit led, non-profit , charitable service provider. Enhancing lives of Inuit living outside Inuit Nunangat for over 30 years.</t>
  </si>
  <si>
    <t>http://tungasuvvingatinuit.ca/</t>
  </si>
  <si>
    <t>Samaritans Ireland</t>
  </si>
  <si>
    <t>When everywhere else is closed, we’re still open. You can talk to us – no matter what you’re going through talktous on 116 123 #WeListen #MentalHealth</t>
  </si>
  <si>
    <t>https://www.samaritans.org/ireland/how-we-can-help/contact-samaritan/</t>
  </si>
  <si>
    <t>https://pbs.twimg.com/media/EOlVRdFUcAA7Jfc.jpg</t>
  </si>
  <si>
    <t>Ireland</t>
  </si>
  <si>
    <t>Emotional support 24/7, 365 days a year. While we can't offer support via Twitter, we can on freephone 116 123, by text 087 260 90 90 or email jo@samaritans.ie</t>
  </si>
  <si>
    <t>http://www.samaritans.ie</t>
  </si>
  <si>
    <t>SEE THREAD: appears as though prohibition is evidence-based as it relates to positive health outcomes. #Recovery #Addiction #Mentalhealth #yyc RT @KevinSabet: Further reading: 1) a 30-year old op-ed in the @nytimes by Mark Moore still relevant today  2) @germanrlopez article  3) Last Call by @DanielOkrent</t>
  </si>
  <si>
    <t>https://twitter.com/KevinSabet/status/1217989059882160128
https://www.nytimes.com/1989/10/16/opinion/actually-prohibition-was-a-success.html
https://www.vox.com/2015/10/19/9566935/prohibition-myths-misconceptions-facts</t>
  </si>
  <si>
    <t>Jean-François Claude, MSM</t>
  </si>
  <si>
    <t>Ottawa - Algonquin Territory</t>
  </si>
  <si>
    <t>Personal account. Views strictly my own; RTs/Likes ≠ concurrence. Award-winning Men’s #MentalHealth advocate. Promotion &amp; Community Engagement @CEMHW_CESMMT.</t>
  </si>
  <si>
    <t>http://linkedin.com/in/jfclaudemsm</t>
  </si>
  <si>
    <t>Sue Atkins</t>
  </si>
  <si>
    <t>🎧 Sue in conversation 🎧 with Jo Fitzgerald from @TinySponges @aidingmental @primary2second 👉  #MentalHealthMatters #mentalhealth #parenting #primary2secondary #schools #teachers #teaching</t>
  </si>
  <si>
    <t>https://sueatkinsparentingcoach.com/expertinterviews/sue-in-conversation-with-jo-fitzgerald-from-little-sponges/#MentalHealthAwareness</t>
  </si>
  <si>
    <t>https://pbs.twimg.com/media/EOlUwP0UcAEaO9I.jpg</t>
  </si>
  <si>
    <t>Warlingham,Surrey</t>
  </si>
  <si>
    <t>#BBC @ThisMorning @talkRADIO @DisneyJuniorUK #TheMummyDiaries #Parenting #Broadcaster #Author Making Parenting Easy for YOU👉 http://www.TheSueAtkins.com</t>
  </si>
  <si>
    <t>http://www.TheSueAtkins.com</t>
  </si>
  <si>
    <t>Sister Love</t>
  </si>
  <si>
    <t>I feel like everyone is focusing on #guns in #eminem new video #darkness when the real issue to be focusing on here is #mentalhealth #mentalillness and how all these shootings could be prevented. #stopthestigma The shooters are suffering internally. That is why this is happening</t>
  </si>
  <si>
    <t>Writer| MH Advocate | Traveler| Foodie| #Gradschool-MedFT| InspirationalSpeaker| Podcast Creator #sisterlovewrites Trauma Informed</t>
  </si>
  <si>
    <t>http://facebook.com/SisterLoveWrites</t>
  </si>
  <si>
    <t>https://pbs.twimg.com/media/EOlUmpcUEAATfcW.jpg</t>
  </si>
  <si>
    <t>Jennifer Beekman</t>
  </si>
  <si>
    <t>The best way to erase the stigma surrounding mental health is by talking about it. Programs like this are vital to the wellbeing of our youth and I’m so glad ⁦⁦@sunildasgupta4⁩ and the ⁦@MCC_PTA⁩ have taken this initiative. #mentalhealth</t>
  </si>
  <si>
    <t>http://towncourier.com/mcps-mccpta-hosts-mental-health-and-wellness-forum/</t>
  </si>
  <si>
    <t>Journalist. Writer. USPTA certified tennis instructor. http://Bethesdamagazine.com. http://Beekmanatthebuzzer.wordpress.com. http://Equalizersoccer.com. http://Playyourcourt.com.</t>
  </si>
  <si>
    <t>Chris Hercules</t>
  </si>
  <si>
    <t>"A lot of people aren't going to be able to understand you. That's okay, don't ever stop being who you are." ~@BetterManProj #beyourself #motivation #positive #mentalhealth #success #inspiration #transformation…</t>
  </si>
  <si>
    <t>https://www.instagram.com/p/B7eH87DgK-s/?igshid=1q5530g07yebv</t>
  </si>
  <si>
    <t>Chris Hercules is a Spoken Word Artist/Jazz Poet and MC who lives in Toronto,Ontario (Canada).</t>
  </si>
  <si>
    <t>Sinch</t>
  </si>
  <si>
    <t>The world's first texting switchboard: Join #TextForHumanity! Go to  to find your local number for joining. And thank you, Sean from Singapore! #wellbeing #sinch #sthlmtech #mentalhealth</t>
  </si>
  <si>
    <t>http://www.textforhumanity.com</t>
  </si>
  <si>
    <t>https://pbs.twimg.com/media/EOlUJPzU0AA7ztf.jpg</t>
  </si>
  <si>
    <t>Bringing businesses and people closer together</t>
  </si>
  <si>
    <t>http://www.sinch.com</t>
  </si>
  <si>
    <t>Tips for Moving from Winter Break to School Mode ||  == #mentalhealth #anxiety #gad #schoolanxiety #mhsm #mhchat</t>
  </si>
  <si>
    <t>https://bit.ly/35Rlc1d</t>
  </si>
  <si>
    <t>https://pbs.twimg.com/media/EOlUI0uX4AA-oBf.jpg</t>
  </si>
  <si>
    <t>DK</t>
  </si>
  <si>
    <t>I cannot get over my fear at the thought of using my webcam on stream, wtf 😭 #SaturdayThoughts #weekend #SaturdayVibes #mentalhealth #selflove #problems</t>
  </si>
  <si>
    <t>Northern Ireland, United Kingd</t>
  </si>
  <si>
    <t>Check out my Mixer and give me a follow!👇</t>
  </si>
  <si>
    <t>https://mixer.com/R4V3RSFANTASY</t>
  </si>
  <si>
    <t>शिवम पाण्डेय</t>
  </si>
  <si>
    <t>Ayodhya, India</t>
  </si>
  <si>
    <t>Namo bhakt and Rss follow back 🙏 proud tobe INDIAN🇮🇳 modi bhakt blessed to be followed by @officeofRKsingh @SuPriyoBabul @kapilmishra_IND</t>
  </si>
  <si>
    <t>Julie Watts</t>
  </si>
  <si>
    <t>BWRT® #Quote of the Day : from September 2018 " After 40 years in the mental health field I am so impressed with BWRT - the outcomes are amazing." Dr Martha Landman, Clinical Psychologist, Australia #Psychopathology #Mentalhealth #Healthcare #BWRT...</t>
  </si>
  <si>
    <t>http://www.bwrt.org/</t>
  </si>
  <si>
    <t>Vice CEO Terence Watts BWRT®Institute, Ambassador for BWRT®: CoFounder The British Brainworking Research Society, love my dogs, champagne, all things glamorous!</t>
  </si>
  <si>
    <t>http://www.bwrt.org</t>
  </si>
  <si>
    <t>👨🏾‍💻Ismail Bolden 🧢🤑✊🏾🌊</t>
  </si>
  <si>
    <t>The most recent video has finally been released!! 😁👨🏾‍💻 come check it out here 👉🏾  #SaturdayMotivation #SaturdayMorning #contentmarketing #ContentCreator #YouTubers #HumanityFirst #HumanRights #breakthecycle #awareness #mentalhealth #help</t>
  </si>
  <si>
    <t>https://youtu.be/kguosfL35xo</t>
  </si>
  <si>
    <t>https://pbs.twimg.com/media/EOlTtVKUEAATY12.jpg</t>
  </si>
  <si>
    <t>Riverdale, IL</t>
  </si>
  <si>
    <t>Create various content for IzzyLand. link to my YT channel 👉🏾 https://www.youtube.com/channel/UCXNToNGCDrKFmQQcFsk01Nw #YangGang supporter. #HumantiyFirst</t>
  </si>
  <si>
    <t>http://www.izzylandbeyond.com</t>
  </si>
  <si>
    <t>Chris Bro</t>
  </si>
  <si>
    <t>My dad would call…usually after a @chicagobears game…hey chris how about that play in the second quarter…or wow what a comeback.  @kennedyforum @tvkatesnow #IfYouLoveSomeoneHugThemRightNow #MentalHealth</t>
  </si>
  <si>
    <t>http://bit.ly/2MXGYMv</t>
  </si>
  <si>
    <t>https://pbs.twimg.com/media/EOlTj9dXkAEBpBX.jpg</t>
  </si>
  <si>
    <t>Westchester, NY</t>
  </si>
  <si>
    <t>Husband (@tvkatesnow) Dad. Finder of great new music. http://allthingsnext.com. Customer Experience Manager at http://trylately.com AI powered social media tool</t>
  </si>
  <si>
    <t>http://allthingsnext.com/</t>
  </si>
  <si>
    <t>Demograffix</t>
  </si>
  <si>
    <t>BASICALLY!!!!! if you haven't got your copy of this book from southboundbulliez your missing out. #dontsleeponthis it makes for some #good #bedtimereading #gangshit #mentalhealth and #graffiti</t>
  </si>
  <si>
    <t>https://www.instagram.com/p/B7eHkAwl2Mk/?igshid=g6ethm4uuegl</t>
  </si>
  <si>
    <t>If your looking for an authentic graffiti style painting or bespoke artwork please contact me via the website in the link below http://demograffix.com</t>
  </si>
  <si>
    <t>http://WWW.DEMOGRAFFIX.COM</t>
  </si>
  <si>
    <t>AlphsFitness</t>
  </si>
  <si>
    <t>Are vegans healthier? What are the health risks of being vegan? Are vegans healthier than carnivores? Read all about vegan Diet here.  #health #wellness #strength #mentalhealth #vitality #energy #fitness</t>
  </si>
  <si>
    <t>http://bit.ly/30wEyHX</t>
  </si>
  <si>
    <t>https://pbs.twimg.com/media/EOlTVY7UcAAVipp.jpg</t>
  </si>
  <si>
    <t>Health Fitness Wellness</t>
  </si>
  <si>
    <t>http://www.halowellness.info</t>
  </si>
  <si>
    <t>Bharat Deshmukh</t>
  </si>
  <si>
    <t>Sunny</t>
  </si>
  <si>
    <t>Sometimes for the sake of my mental health I have to step away, realise nothing is worth risking it, and that's alright. 'Its ok to put yourself first' 'You have to look after yourself' #mentalhealth #depression #ptsd #anxiety #chronicillness #EDS #ME #MCAS #POTS #CFS #Fibro</t>
  </si>
  <si>
    <t>https://pbs.twimg.com/media/EOlTJm5VUAEJEDx.jpg</t>
  </si>
  <si>
    <t>Animal lover,campaigner #Vegan Caring for the planet #hsp #hEDS #ME #POTS #MCAS #Mentalhealth 'lifes better if you adopt an animal' #LoveAllAnimals</t>
  </si>
  <si>
    <t>Kevin Goldman</t>
  </si>
  <si>
    <t>Police: Pennsylvania Woman Drives Into Path Of Oncoming Vehicle While Waiting For Calling From God – CBS Philly #mentalhealth</t>
  </si>
  <si>
    <t>https://philadelphia.cbslocal.com/2020/01/17/police-pennsylvania-woman-drives-into-path-of-oncoming-vehicle-while-waiting-for-calling-from-god/</t>
  </si>
  <si>
    <t>Sonoma county</t>
  </si>
  <si>
    <t>Self employed and thinks for self</t>
  </si>
  <si>
    <t>Anniken Haga</t>
  </si>
  <si>
    <t>This, right here. Picture that every day for the rest of your life, and then try "not to think about it." #ChronicIllness #MyalgicEncephalomyelitis #MentalHealth</t>
  </si>
  <si>
    <t>https://pbs.twimg.com/media/EOlS-OZUUAEWPH7.jpg</t>
  </si>
  <si>
    <t>Norway</t>
  </si>
  <si>
    <t>#Author of Artificial Generation: http://books2read.com/u/bOa5GJ✒️ Dogmom 🐶 Witch in a ♿ She/her</t>
  </si>
  <si>
    <t>http://annikenhaga.wordpress.com</t>
  </si>
  <si>
    <t>Parenting &amp; Family Solutions</t>
  </si>
  <si>
    <t>Thankfully they’ve figured out that forcing people to face there fears or Flooding doesn’t work very well for helping people with Anxiety/OCD. Exposure Response Prevention (ERP) works much better! #Anxiety #OCD #fear #mentalhealth #mentalhealthmatters #parents #parenting #kids</t>
  </si>
  <si>
    <t>https://pbs.twimg.com/media/EOlSzNEUYAA6hrp.jpg</t>
  </si>
  <si>
    <t>Tips and research-based strategies for parents &amp; families</t>
  </si>
  <si>
    <t>http://www.parentfamilysolutions.com</t>
  </si>
  <si>
    <t>Essex Army Cadet Force</t>
  </si>
  <si>
    <t>As we hit the final day for our volunteer on the #MedicineBallChallenge. Our Medical Support Officer has been talking about #MentalHealth. #ACF</t>
  </si>
  <si>
    <t>https://pbs.twimg.com/media/EOlRzZbU4AEE2wn.jpg</t>
  </si>
  <si>
    <t>12-18 want adventure? 18+ and want to lead that adventure? Join us, the UK's best Youth organisation for Fun, Friendship, Action and Adventure #ACF</t>
  </si>
  <si>
    <t>http://www.Armycadets.com</t>
  </si>
  <si>
    <t>Nancy Nieto</t>
  </si>
  <si>
    <t>pues the City!!</t>
  </si>
  <si>
    <t>Economista de izquierda londinense. Buscando valor en tiempos de Bansky.</t>
  </si>
  <si>
    <t>Alice Kubiske</t>
  </si>
  <si>
    <t>Helplessness | Northwoodsgirl'sBlogging  via @pinterest My grandson, a picture of helplessness. #mentalhealth #Christianity #feelinghelpless</t>
  </si>
  <si>
    <t>https://pin.it/54ax7s5njlaxdz</t>
  </si>
  <si>
    <t>Rhinelander, WI</t>
  </si>
  <si>
    <t>Northwoodsgirl's Blogging</t>
  </si>
  <si>
    <t>http://northwoodsgirlblogging.com</t>
  </si>
  <si>
    <t>Wasting Space Podcast</t>
  </si>
  <si>
    <t>The snow is on the ground, it's freezing outside. Perfect weather to stay inside and listen to Wasting Space! Episode 6 "Inadquacy is a Prius" is playing wherever you're listening! Stay safe and warm Wasters! #wastingspacepodcast #mentalhealth #podcast #Weather #snowday</t>
  </si>
  <si>
    <t>https://pbs.twimg.com/media/EOlSoIDWsAIpMLx.jpg</t>
  </si>
  <si>
    <t>Hi there! We’re the Wasting Space podcast - a place where Jimmy and Harley discuss all of life’s trash (and some of the good shit too)</t>
  </si>
  <si>
    <t>http://wastingspacepodcast.buzzsprout.com/</t>
  </si>
  <si>
    <t>You deserve to be #happy. But first you have to believe it. Do you believe it? #mentalhealth</t>
  </si>
  <si>
    <t>KملیکمقتدرMHMDAFIKURRAHMANﷺ اخر AVATAR PARAMUKTI</t>
  </si>
  <si>
    <t>Cry out all the tears Allah make us cry out all the tears with You, appoint for us a time we shall not miss #MentalHealth</t>
  </si>
  <si>
    <t>London, England, 11:11</t>
  </si>
  <si>
    <t>‎‎‎‎‎‎RANK1ELECTMOSTABIDING اناالحق #QURANHOUR #MUSLIMS #SAPPHIREORDER اناراسولاللهﷺ King Mohammed Afikur Rahman Avatar Paramukti of Queen Ariel Foxy Luxy DVAP</t>
  </si>
  <si>
    <t>http://vitalvibrations.wordpress.com</t>
  </si>
  <si>
    <t>lillyanne</t>
  </si>
  <si>
    <t>please help this girl @TheSun @piersmorgan @hollywills @thismorning @BorisJohnson #mentalhealth RT @PeterEgan6: Please read..share and help if you can..this is deeply worrying and help is urgently needed..please help if you can..Peter.</t>
  </si>
  <si>
    <t>https://twitter.com/PeterEgan6/status/1218564318444314632
https://twitter.com/CARIADCAMPAIGN/status/1218178671413997569</t>
  </si>
  <si>
    <t>love animals ,hate cruelty .</t>
  </si>
  <si>
    <t>Intangible Motivation</t>
  </si>
  <si>
    <t>Intangible Motivation  via @YouTube Subscribe for daily motivation! #mentalhealth #inspiration #Motivation</t>
  </si>
  <si>
    <t>https://www.youtube.com/channel/UCfdn-TAWnMyb5fnOIERJH6Q</t>
  </si>
  <si>
    <t>Intangible Motivation is group designed to help motivate, uplift and inspire everyone around the world! 💯FOLLOW ME AND I WILL FOLLOW BACK! 💯</t>
  </si>
  <si>
    <t>Beverly Grant-Wilson</t>
  </si>
  <si>
    <t>Speaking Truth.. ALWAYS BE KIND. #bekindtooneanother #speakkindly #mentalhealthawareness #mentalhealth #mentalhealthwarrior #mentalhealthadvocate #mentalhealthsurvivor</t>
  </si>
  <si>
    <t>https://www.instagram.com/p/B7eG70Gj9RB/?igshid=1qdjh9p5n8dlf</t>
  </si>
  <si>
    <t>S.F. Bay Area, Cali</t>
  </si>
  <si>
    <t>Private Chef #cheflife🔪 #urbanorganicgardener🌱 #gardentotable 💚 #wilsonlabs🐶🐱Wilson MotorSports #mentalhealthsurvivor</t>
  </si>
  <si>
    <t>http://wmsgarage.com</t>
  </si>
  <si>
    <t>Ben || Blogging Through Stuff</t>
  </si>
  <si>
    <t>I've gone with something that really helps me when I feel the darkness approaching for my latest #blog post  #MentalHealthAwareness #MentalHealthMatters #MentalHealth #SelfCare #ItsOkayToNotBeOkay</t>
  </si>
  <si>
    <t>https://www.benssimplelife.com/post/get-outside-it-really-helps</t>
  </si>
  <si>
    <t>Yorkshire</t>
  </si>
  <si>
    <t>Mental Health Advocate/Suffer From Depression/Daddy Of Two/Geek/Newbie Blogger/Always Improving/Learner Of New Things/Gamer/Explorer And Adventurer/Foodie</t>
  </si>
  <si>
    <t>http://www.benssimplelife.com</t>
  </si>
  <si>
    <t>Jené Dupré</t>
  </si>
  <si>
    <t>There are 2️⃣ types of tired. One you need sleep and the other you need peace. Which one do you need? #sleep #peace #tired #healthtips #mentalhealth</t>
  </si>
  <si>
    <t>Simplifying Health &amp; Wellness for Every(BODY) 💡 #healthmotivation #motivation #healthylifestyle #health #fitness #workout #healthy</t>
  </si>
  <si>
    <t>http://jenedupre.com</t>
  </si>
  <si>
    <t>Join the family that helps others when the world seems to let you down from time to time! #mentalhealth #inspiration #positivity #viral</t>
  </si>
  <si>
    <t>https://www.facebook.com/groups/952449825117958/?ref=share</t>
  </si>
  <si>
    <t>Barry Lee 🌱</t>
  </si>
  <si>
    <t>More than 200,000 HempWorx consumers are experiencing the health benefits with CBD. Ensure you get your Free Sample pack and find out the way in which CBD may help you.  #opioidhysteria #mentalhealth</t>
  </si>
  <si>
    <t>https://doctorsoncbd.com/buy-cbd-products/free-cbd-samples</t>
  </si>
  <si>
    <t>https://pbs.twimg.com/media/EOlR5T0WAAAiELW.jpg</t>
  </si>
  <si>
    <t>Edmonton, Alberta 🇨🇦</t>
  </si>
  <si>
    <t>CBD Advocate helping people live a better quality life. Learn more about the health benefits of CBD and get your FREE sample pack: http://doctorsoncbd.com</t>
  </si>
  <si>
    <t>https://doctorsoncbd.com/</t>
  </si>
  <si>
    <t>Picking Me Foundation #Dermatillomania</t>
  </si>
  <si>
    <t>Is the #work #anxiety kicking in? Check out these 5 #tips from @mnt to help with those workplace nerves  - #PickingMe over #SkinPicking #AnxietyHelp #Tips #MentalHealth</t>
  </si>
  <si>
    <t>http://ow.ly/ECxu50xpPcx</t>
  </si>
  <si>
    <t>https://pbs.twimg.com/media/EOlR2sKWAAEb3-7.jpg</t>
  </si>
  <si>
    <t>#MentalHealth &amp; #CompulsiveSkinPicking #nonprofit encouraging #excoriationdisorder sufferers in #PickingMe over #SkinPicking #BFRB</t>
  </si>
  <si>
    <t>https://anxietysisters.com/pod_cast_blogs/spin-cycle-episode-025/</t>
  </si>
  <si>
    <t>Debbie Waller</t>
  </si>
  <si>
    <t>Do you know someone who's #stressed? Download my five-minute #freebie audio and #chill out.  #relax #time #life #mentalhealth</t>
  </si>
  <si>
    <t>http://www.debbiewaller.com/debbie-waller-audios</t>
  </si>
  <si>
    <t>Yorkshire, UK</t>
  </si>
  <si>
    <t>expert #training for those who want to be #hypnotherapists ǁ #cpd for therapists who want to be experts ǁ #author, #therapist, #speaker</t>
  </si>
  <si>
    <t>https://www.yorkshirehypnotherapytraining.co.uk</t>
  </si>
  <si>
    <t>KP Digital Health</t>
  </si>
  <si>
    <t>An #AI assistant that’s able to intuit human emotion and respond with #empathy could anticipate the needs of the crew and intervene if their mental health seems at risk.  @techreview #digitalhealth #findyourwords #mentalhealth</t>
  </si>
  <si>
    <t>https://k-p.li/3afCCYu</t>
  </si>
  <si>
    <t>https://pbs.twimg.com/media/EOWuT78X4AAiR1s.jpg</t>
  </si>
  <si>
    <t>Kaiser Permanente is developing solutions for the next generation of health care.</t>
  </si>
  <si>
    <t>http://about.kp.org</t>
  </si>
  <si>
    <t>Franklin Lopez Herna</t>
  </si>
  <si>
    <t>10.498459,-66.840929</t>
  </si>
  <si>
    <t>Medico cirujano plástico UCV escuela Vargas</t>
  </si>
  <si>
    <t>Deanna Danger</t>
  </si>
  <si>
    <t>A whole ass thread. I literally JUST commented on a friends thread about men, suicide and guns. #toxicmasculinity #mentalhealth #guncontrol #antishame RT @Respexy: I can't believe I have to say this, but there IS a difference between saying men with mental illness should pull themselves up by their bootstraps and noting that men with mental illness do less to actively manage their health than mentally ill women do.</t>
  </si>
  <si>
    <t>https://twitter.com/Respexy/status/1218273216772431874</t>
  </si>
  <si>
    <t>Traveling Performance Artist | Maker of Rituals | Speaker of Truths | Bard of Stories | Producer of Culture | Teacher of Movement &amp; Intuition | Witch | Activist</t>
  </si>
  <si>
    <t>http://www.deannadanger.com</t>
  </si>
  <si>
    <t>Muhammad Irfan</t>
  </si>
  <si>
    <t>California-based Modern Health Raises USD 31mn in Series B; Bringing total Funding to USD 42mn @AnalyzeMarkets #ModernHealth @ycombinator @AforeVC #venturecapital #startups #US #SanFrancisco #fundraising #mentalhealth #BehavioralScience</t>
  </si>
  <si>
    <t>https://www.analyzemarkets.com/en/intelligence/california-based-modern-health-raises-usd-mn-in-series-b-bringing-total-funding-to-usd-mn</t>
  </si>
  <si>
    <t>ShreyasPendharkar MD</t>
  </si>
  <si>
    <t>True lights shine within! Follow your own heart! Never suffer from 'Herd' mentality to end up as 'also ran' #MentalHealth #MentalWellness #PendharkarNeuropsych @ Pendharkar NeuroPsych</t>
  </si>
  <si>
    <t>https://www.instagram.com/p/B7eGlI6gHBD/?igshid=m69zrrmqlgau</t>
  </si>
  <si>
    <t>NeuroPsychiatrist, PGI Chandigarh alumnus, tweets on Mental health, productivity, wellness.</t>
  </si>
  <si>
    <t>http://www.lybrate.com/samyagdarshan</t>
  </si>
  <si>
    <t>Holden QiGong</t>
  </si>
  <si>
    <t>Qi Gong doesn’t only strengthen muscles, joints, and connective tissue. It also helps you improve your “mental/emotional well-being and spiritual connection” as well. Read more:  #health #wellness #strength #mentalhealth #vitality #energy #fitness</t>
  </si>
  <si>
    <t>https://www.facebook.com/holdenqigong/posts/2726527254072147</t>
  </si>
  <si>
    <t>https://pbs.twimg.com/media/EOlRYA2UYAEukI9.jpg</t>
  </si>
  <si>
    <t>Santa Cruz</t>
  </si>
  <si>
    <t>Holden QiGong is the home of Lee Holden, a Qi Gong master who has been featured on PBS stations nationwide for the past several years.</t>
  </si>
  <si>
    <t>http://holdenqigong.com</t>
  </si>
  <si>
    <t>Rebecca Lombardo Author, Advocate, Podcaster 💕</t>
  </si>
  <si>
    <t>#ICYMI We had a great chat and learned a lot from @HayleyMcGregor1 Check it out! Here's the direct link:  #KeepTalkingMH #CSA #mentalhealth #depression #mentalillness #anxiety</t>
  </si>
  <si>
    <t>http://tobtr.com/s/11654913</t>
  </si>
  <si>
    <t>www.voices-for-change.net</t>
  </si>
  <si>
    <t>Happily married 18 years | Creator of #KeepTalkingMH | #bipolar | #author | #blogger | #advocate | Host of Voices for Change 2.0 #podcast Saturdays at 11am EST</t>
  </si>
  <si>
    <t>http://www.rebeccalombardo.com</t>
  </si>
  <si>
    <t>High Country News</t>
  </si>
  <si>
    <t>How a Dayton, #Washington hospital is revolutionizing rural #mentalhealth care:</t>
  </si>
  <si>
    <t>https://hcne.ws/2tTeKJO</t>
  </si>
  <si>
    <t>U.S. West</t>
  </si>
  <si>
    <t>An independent magazine dedicated to coverage of the Western U.S. #nonprofit</t>
  </si>
  <si>
    <t>http://hcn.org</t>
  </si>
  <si>
    <t>Hogg Foundation</t>
  </si>
  <si>
    <t>“The threat of losing everything, imagine what that does to an individual person,” Dr. Octavio N. Martinez, Jr. said. “And a lot of them internalize it and ask themselves, ‘What have I done wrong? What did I not do?’”  #mentalhealth #health #DACA #students</t>
  </si>
  <si>
    <t>http://ow.ly/h9zr50xUfJ9</t>
  </si>
  <si>
    <t>Austin, Texas</t>
  </si>
  <si>
    <t>Transforming how communities promote #mentalhealth in everyday life. (Content shared through this account does not represent an endorsement by the foundation.)</t>
  </si>
  <si>
    <t>http://hogg.utexas.edu</t>
  </si>
  <si>
    <t>30 Powerful Tips to Reduce #Stress in Your Life ➤  | By Frank Sonnenberg | #MentalHealth</t>
  </si>
  <si>
    <t>http://bit.ly/2rzHim9</t>
  </si>
  <si>
    <t>SC Music Project</t>
  </si>
  <si>
    <t>Your voice matters. Be an advocate. Tell your friends and follows us on all social media platforms. #scmusicproject #musictherapy #musicheals #nonprofit #everettwa #snohomishcounty #autism #mentalhealth</t>
  </si>
  <si>
    <t>https://pbs.twimg.com/media/EOlQ-naU4AAFhvl.jpg</t>
  </si>
  <si>
    <t>Snohomish County</t>
  </si>
  <si>
    <t>We are a therapeutic, education, advocacy, and artistic hub which uses the power of music to inspire and catalyze positive change in Snohomish County.</t>
  </si>
  <si>
    <t>http://scMusicProject.org</t>
  </si>
  <si>
    <t>AltaPointe Health</t>
  </si>
  <si>
    <t>We have a new job opportunity as an Administrative Assistant in (#MobileAL) #job #mentalhealth #nonprofit #hiring</t>
  </si>
  <si>
    <t>https://social.icims.com/viewjob/pt15793704723643248d</t>
  </si>
  <si>
    <t>Alabama, USA</t>
  </si>
  <si>
    <t>AltaPointe Health Systems, Inc. oversees a community-based system of mental health, substance abuse and intellectual disability service provision in Alabama</t>
  </si>
  <si>
    <t>http://www.altapointe.org</t>
  </si>
  <si>
    <t>Leah</t>
  </si>
  <si>
    <t>How about instead of donating to #BigBenBongs 🙄 ya share our crowdfunder to help those living with and experiencing problems with their mental health? 🥰 All forms of support grateful- a simple retweet goes a long way!  #crowdfunding #help #mentalhealth</t>
  </si>
  <si>
    <t>https://www.crowdfunder.co.uk/calm-in-chaos#start</t>
  </si>
  <si>
    <t>Full time Tea Gremlin and one half of Calm in Chaos UK ❤️</t>
  </si>
  <si>
    <t>‏‎ 🇶🇦</t>
  </si>
  <si>
    <t>Mental Health Association Oklahoma</t>
  </si>
  <si>
    <t>If you experience mental illness and tend to isolate, our no-cost Creating Connections program in Tulsa and Oklahoma City can empower you to engage in community life! Visit  for more info! - #mentalhealth #mentalhealthawareness #selfcare #love #health</t>
  </si>
  <si>
    <t>https://mhaok.org/creating-connections</t>
  </si>
  <si>
    <t>https://pbs.twimg.com/media/EOlQ56mU4AAr868.png</t>
  </si>
  <si>
    <t>Oklahoma</t>
  </si>
  <si>
    <t>Mental Health Association Oklahoma advocates for all Oklahomans impacted by mental illness &amp; homelessness. Follow us for news, tips &amp; inspirational stories!</t>
  </si>
  <si>
    <t>http://www.mhaok.org</t>
  </si>
  <si>
    <t>The Persian Gulf</t>
  </si>
  <si>
    <t>💕Relax into #Love💕 because it brings you #Joy!💕 #LoveTrainFromIRAN #JoyTrain #ThinkBIGSundayWithMarsha #GoldenHearts #IAMChoosingLove #ChoseLove #BeLove #selflove #love #mentalhealth #Peace #PeaceOfMind #relax #familytrain #starfishclub #SuccessTRAIN #IAM #ShineOn #kindness RT @KariJoys: Relax into #JOY! #JoyTrain #Joy #Love #Peace #Kindness #MentalHealth #Mindfulness #GoldenHearts #IAM #IQRTG #StarfishClub #ChooseLove #FamilyTrain #SaturdayMorning #SaturdayThoughts #SaturdayMotivation #HappyWeekend #ThinkBIGSundayWithMarsha RT @CrowdKind</t>
  </si>
  <si>
    <t>https://twitter.com/KariJoys/status/1218578799677378561</t>
  </si>
  <si>
    <t>https://pbs.twimg.com/media/B6Hbn1HCQAAsQK6.png</t>
  </si>
  <si>
    <t>Iran,Tehran and  Persian Gulf</t>
  </si>
  <si>
    <t>I taught civil law at university and was also a researcher at the university of Tehran. I am an attorney-at-law and an adviser in international contracts too.</t>
  </si>
  <si>
    <t>Unwanted Life</t>
  </si>
  <si>
    <t>Birthday: My First Year Blogging My blog has made it to its first birthday, so I thought that I'd do something a little different and talk about that first year  #Birthday #Anniversary #Blogging #Blogger #Blog #WritingCommunity #MentalHealth #MHealth</t>
  </si>
  <si>
    <t>https://unwantedlife.me/blogging-birthday</t>
  </si>
  <si>
    <t>https://pbs.twimg.com/media/EOlQ2R_VUAAzSm1.png</t>
  </si>
  <si>
    <t>I #Blog About my experiences with #InvisibleDisabilities (#MentalHealth, #Dyslexia, &amp; #PhysicalHealth). Let's reduce the stigma together | https://shor.by/0IHH</t>
  </si>
  <si>
    <t>https://unwantedlife.me/</t>
  </si>
  <si>
    <t>Anxiety UK</t>
  </si>
  <si>
    <t>Join Anxiety UK today to get access to a range of support for #anxiety, including the popular #Headspace app, talking #therapy support, our quarterly magazine - Anxious Times and much more! Find out more here:  #mentalhealth</t>
  </si>
  <si>
    <t>http://ow.ly/lTcA50x5WeU</t>
  </si>
  <si>
    <t>https://pbs.twimg.com/media/EOlQ0zFWAAg_Im4.jpg</t>
  </si>
  <si>
    <t>The UK's leading charity on #anxiety &amp; #phobias providing access to therapies &amp; support #mentalhealth #stress #ocd #ptsd #bdd #agoraphobia #panic #depression</t>
  </si>
  <si>
    <t>http://www.anxietyuk.org.uk</t>
  </si>
  <si>
    <t>Gryffin</t>
  </si>
  <si>
    <t>Are you employees stuck in a slump? Meditating at work can do wonders for office performance:  #meditation #officemeditating #meditateatwork #mentalhealth #wellnessatwork #spiritualwellness #resetbutton #beyourbestself</t>
  </si>
  <si>
    <t>https://buff.ly/2ImbxZB</t>
  </si>
  <si>
    <t>https://pbs.twimg.com/media/EOlQzrYX4AASVF5.jpg</t>
  </si>
  <si>
    <t>Get the big picture without missing the tiniest detail - all in one place. Gryffin empowers teams to work faster, smarter, and happier.</t>
  </si>
  <si>
    <t>http://www.gryffin.com</t>
  </si>
  <si>
    <t>This Matters</t>
  </si>
  <si>
    <t>It's a serious condition  #depression #studentproblems #mentalhealth</t>
  </si>
  <si>
    <t>https://buff.ly/2TAuKem</t>
  </si>
  <si>
    <t>A social news publisher bringing you stories that need to be to told. 👇 Like us on Facebook for more</t>
  </si>
  <si>
    <t>https://www.facebook.com/thismattersuk/</t>
  </si>
  <si>
    <t>When Bipolar Depression Lasts for Years ||  -- #depression #bipolardisorder #bipolardepression #mentalhealth #mhsm #mhchat</t>
  </si>
  <si>
    <t>https://bit.ly/2naTfNY</t>
  </si>
  <si>
    <t>https://pbs.twimg.com/media/EOlQyqPWoAEKWfW.jpg</t>
  </si>
  <si>
    <t>Brown Sisters Speak</t>
  </si>
  <si>
    <t>It's #midday January 18, 2020 at 10:00AM, How are you? Do you need resources or support?! #mentalhealthcheckin #middaycheckin #mentalhealth #brownsistersspeak</t>
  </si>
  <si>
    <t>Mental Health Peer Support &amp; Advocacy for Women Of Color #sisterstories Empower Women @iammyishat @zoraidaemedrano</t>
  </si>
  <si>
    <t>http://www.brownsistersspeak.org</t>
  </si>
  <si>
    <t>Carolyn M. Bowen</t>
  </si>
  <si>
    <t>Do something today that your future self will thank you for.” Take a time-out and read a bite-sized book to boost your personal development. Cross-Stepping Your Way to Success! #KindleUnlimited #MentalHealth #Inspiration</t>
  </si>
  <si>
    <t>http://bit.ly/CMBCSUS</t>
  </si>
  <si>
    <t>https://pbs.twimg.com/media/EOlQxjDVAAAplfx.jpg</t>
  </si>
  <si>
    <t>Lover of Mysteries: Author of Cross-Ties, The Long Road Home, Cross-Stepping Your Way To Success, and Sydney Jones Series. #crimefiction #mystery #thrillers</t>
  </si>
  <si>
    <t>https://cmbowenauthor.com/</t>
  </si>
  <si>
    <t>D Grant Smith</t>
  </si>
  <si>
    <t>I love Andrew Apanov at @dottedmusic. He's a fantastic resource for #musicians. This #podcast is targeting artists who want to grow because your story matters. Your confidence and relationship with yourself builds every relationship you have.  #mentalhealth</t>
  </si>
  <si>
    <t>https://buff.ly/2u6qGIj</t>
  </si>
  <si>
    <t>https://pbs.twimg.com/media/EOlQv_-UcAEGeXN.jpg</t>
  </si>
  <si>
    <t>Abilene, TX</t>
  </si>
  <si>
    <t>Radio host, podcaster, author, speaker. Loving music and people at the same time. Be solid, be uncommon, and be Love. This is the radio side of @dgrantsmith</t>
  </si>
  <si>
    <t>http://dgrantsmith.com</t>
  </si>
  <si>
    <t>Sarah Wayland</t>
  </si>
  <si>
    <t>The deletion of the gene CYFIP1 correlates with a thinner myelin sheath, and thus with slower neural transmission speed - a physical trait often seen in autism and #schizophrenia:  via @ScienceDaily #Autism #Neurodiverse #MentalHealth</t>
  </si>
  <si>
    <t>https://www.sciencedaily.com/releases/2019/08/190821100003.htm</t>
  </si>
  <si>
    <t>https://pbs.twimg.com/media/EOlQuyYWsAEeY8H.png</t>
  </si>
  <si>
    <t>Washington, DC Metro Area</t>
  </si>
  <si>
    <t>Parenting Coach, Care Coordination for Special Needs &amp; RDI Consultant</t>
  </si>
  <si>
    <t>http://guidingexceptionalparents.com</t>
  </si>
  <si>
    <t>Dr. Deb Lindh, EdD</t>
  </si>
  <si>
    <t>Same time (12 noon CT/6pm UK) every day - Daily Dose w/Dr. Deb @DebraLindh What's your most pressing question...right now? Ask away....#PTSDandBeyond #StrongerTogether #MentalHealth</t>
  </si>
  <si>
    <t>https://pbs.twimg.com/media/EOlQsa4WkAAt74l.jpg</t>
  </si>
  <si>
    <t>Everywhere You Are</t>
  </si>
  <si>
    <t>Mom #RedSox #PTSD Peer Warrior-Educator Advocate, Best-Selling Author, Host Chat: #PTSDandBeyond MON @ 8pm ET; Host Podcast: PTSDandBeyond; She/Her 🏳️‍🌈</t>
  </si>
  <si>
    <t>http://www.DrDebLindh.com</t>
  </si>
  <si>
    <t>Bhekisisa</t>
  </si>
  <si>
    <t>Bugs, borers and heatwaves: Life and #mentalhealth in a hotter Jo'burg, via @BarnwellGarret.</t>
  </si>
  <si>
    <t>http://bit.ly/31HCLyt</t>
  </si>
  <si>
    <t>Johannesburg</t>
  </si>
  <si>
    <t>The award-winning Bhekisisa Health Journalism Centre brings you solutions-based health analysis &amp; features. Subscribe http://bit.ly/BhekisisaSubscribe</t>
  </si>
  <si>
    <t>http://bhekisisa.org</t>
  </si>
  <si>
    <t>Borderline Arts</t>
  </si>
  <si>
    <t>If you want to get active, but are struggling to due to anxiety or depression, check out this information about the @dcctofficial Active Minds programme #mentalhealth #BPD #EUPD #activeminds #derbycountycommunitytrust #derby #health #exerciseformentalhealth #anxiety #depression</t>
  </si>
  <si>
    <t>https://pbs.twimg.com/media/EOlQXOvW4AASOEN.jpg</t>
  </si>
  <si>
    <t>Derby, UK</t>
  </si>
  <si>
    <t>Only BPD charity in the UK! We run workshops, showcase art/theatre &amp; use creativity to raise awareness &amp; tackle stigma of BPD. Tweets/RTs aren't endorsements.</t>
  </si>
  <si>
    <t>http://www.borderlinearts.org</t>
  </si>
  <si>
    <t>Katiuska</t>
  </si>
  <si>
    <t>Ya en cualquier lugar</t>
  </si>
  <si>
    <t>Intereses :Arte,música,Medicina. PAZ y MUCHA TOLERANCIA. Principio Básico :respetar al contrario.</t>
  </si>
  <si>
    <t>Names to EXPOSE: Brown, Jackson, Johnson, Walton, Gayton, Graham, Giddens, Daniels, Stallings, Mitchell, Lewis, Griffin, Grady. EVERYBODY. #VeteranPeerSupport #MentalHealth #NarcissisticAbuseSurvivor #NarcissistExposer #AwakenedEmpath #PowerOfaGod #AntipsychoticComedy #Armageddon</t>
  </si>
  <si>
    <t>Takona</t>
  </si>
  <si>
    <t>#Msport tee coming Feb 1st along with the launch of our @kickstarter campaign. #crowdfunding #mentalhealth #clothing #kickstarter #bmw</t>
  </si>
  <si>
    <t>https://pbs.twimg.com/media/EOlP_-TWsAEspSB.jpg</t>
  </si>
  <si>
    <t>Car clothing brand raising awareness for men’s mental health in the car community. #itsokaytotalk 📷- @Takona_official</t>
  </si>
  <si>
    <t>http://www.takona.co.uk</t>
  </si>
  <si>
    <t>Mum’s The Word</t>
  </si>
  <si>
    <t>Would really appreciate a retweet and any donations no matter how small pretty please 🙏🏻 #Mind #MentalHealth #Fundraising #Running #ItsOKNotToBeOk #BreakTheStigma #ItsGoodToTalk RT @eve_fullard: I am running the Hull 10k in aid of @MindHEY and would love if you could help me reach my target. I have also completed 30 hours of volunteering since October, helping out on support groups &amp; mentoring others #MentalHealth #Running #Fundraising</t>
  </si>
  <si>
    <t>https://twitter.com/eve_fullard/status/1217033632700870658
https://www.justgiving.com/Eve-Fullard1</t>
  </si>
  <si>
    <t>Hull, UK</t>
  </si>
  <si>
    <t>Mum, Fiancée, Runner, Presenter of Mum’s The Word on @wearewhfm and Volunteer Mental Health Ambassador for @MindHEY. Member of West Hull Ladies running</t>
  </si>
  <si>
    <t>http://www.westhullfm.org</t>
  </si>
  <si>
    <t>Reggie n Bollie</t>
  </si>
  <si>
    <t>Sometimes all we need at our lowest moment in life is for somebody to hear us out and say to us, everything will be be alright, be strong and TRY AGAIN. #spreadlove #positivity #mentalhealth #tryagain #div3tran ❤️❤️🙌🏾🙌🏾.Click this link👉🏾 Reggie</t>
  </si>
  <si>
    <t>https://slinky.to/TryAgain</t>
  </si>
  <si>
    <t>pic.twitter.com/AHNvznvvS7</t>
  </si>
  <si>
    <t>Urban AfroPoP LONDON,UK</t>
  </si>
  <si>
    <t>Our latest single #ADP is out now👇🏾 https://listnin.co/AfricanDancehallParty :Bookings👇🏾 neal@industryliveagency.com</t>
  </si>
  <si>
    <t>http://www.reggienbollieofficial.com</t>
  </si>
  <si>
    <t>Carolyn's RV Life</t>
  </si>
  <si>
    <t>You can't reach for anything new if your hands are full of yesterday's junk. #Letgo #Behappy #BeFree #Inspiration #quotes #dream #mentalhealth #inspirationalwomen</t>
  </si>
  <si>
    <t>https://pbs.twimg.com/media/EOlP57AU4AEjHii.jpg</t>
  </si>
  <si>
    <t>Wherever I park it</t>
  </si>
  <si>
    <t>At 48 I sold everything, bought an RV &amp; hit the road with my dog. Living my life my way as an act of #protest &amp; #activism . #Resist #QuestionEverything #Resist</t>
  </si>
  <si>
    <t>http://CarolynsRVLife.tv</t>
  </si>
  <si>
    <t>Dr Zena Kamash is working to contract</t>
  </si>
  <si>
    <t>This is me talking about the 'Crafting Heritage for Well-being in Iraq' Project. A very cute puppy enters towards the end, who is definitely worth seeing 🐕 With thanks to @digi_hammurabi for inviting me on &amp; asking me interesting questions #CHeWI #Iraq #mentalhealth #craftivism RT @digi_hammurabi: We just uploaded a new video! Take a look :) Connecting the Past: Iraq Then and Now</t>
  </si>
  <si>
    <t>https://twitter.com/digi_hammurabi/status/1218575959420473348
http://zpr.io/thw2z</t>
  </si>
  <si>
    <t>Senior Lecturer. Archaeology, Heritage: Middle East &amp; Britain. British Iraqi. Deputy Editor: European Jnl of Archaeology. FSA. She/her. @ClassicsRHUL</t>
  </si>
  <si>
    <t>https://notallarchaeologistshavebeards.wordpress.com</t>
  </si>
  <si>
    <t>Ben Jones</t>
  </si>
  <si>
    <t>I've just blogged: Listening to what some people say about mental health, it’s no wonder I’m depressed!  #worklifebalance #wellbeing #mentalhealth #depression #anxiety #breakdown #recovery #ongoingeffort #adayatatime #resilience #wordsmatter</t>
  </si>
  <si>
    <t>http://www.amjcomms.com/2020/01/18/listening-to-what-some-people-say-about-mental-health-its-no-wonder-im-depressed/</t>
  </si>
  <si>
    <t>https://pbs.twimg.com/media/EOlP1DmWoAAlclS.jpg</t>
  </si>
  <si>
    <t>Merseyside</t>
  </si>
  <si>
    <t>Irish; Head of Comms @LJMU; writer; mental health/wellbeing; @amjcomms; golf; LFC; RedSox; husband to incomparable Aileen/dad to amazing Aoife. My views.</t>
  </si>
  <si>
    <t>http://www.amjcomms.com/what-we-think</t>
  </si>
  <si>
    <t>Catherine 🐈</t>
  </si>
  <si>
    <t>Has anyone been to a crisis house? #crisis #mentalhealth #England #suicidal</t>
  </si>
  <si>
    <t>Fighting 24/7 not just 9-5 | Fumbling around in the darkness that is adulthood - where is the light switch?! | #INFP</t>
  </si>
  <si>
    <t>http://www.papyrus-uk.org</t>
  </si>
  <si>
    <t>🤵 Cherryblosom 👰</t>
  </si>
  <si>
    <t>🌴SD#8️⃣0️⃣1️⃣🌴801 days live in a row. Lets do an 8 hour stream to celebrate. Start with a Chat and Sat, then move to MHW and later DBZK!  #RazerStreamer #DBZKAKAROT #MHWorld #pcgaming #mentalhealth</t>
  </si>
  <si>
    <t>https://www.twitch.tv/cherryblosom/</t>
  </si>
  <si>
    <t>Florida, USA</t>
  </si>
  <si>
    <t>#Twitch Affiliate 790+ days live in a row. 6 Animal Cams, Beards, and my face LIVE everyday. Crossplay Enthusiast #RazerStreamer #TreeFam #NPS</t>
  </si>
  <si>
    <t>https://www.twitch.tv/cherryblosom</t>
  </si>
  <si>
    <t>BarnesGeorge</t>
  </si>
  <si>
    <t>Our New #mentalhealth theme park is now open  #realtime #life #lifestyle</t>
  </si>
  <si>
    <t>http://www.georgebarnes.co.uk/articles/our-new-mental-health-theme-park-is-now-open/</t>
  </si>
  <si>
    <t>https://pbs.twimg.com/media/EOlPqT9WAAEwhNn.jpg</t>
  </si>
  <si>
    <t>Telling about the real version of mental health</t>
  </si>
  <si>
    <t>http://www.georgebarnes.co.uk</t>
  </si>
  <si>
    <t>I try to remember in the hard times that my light adds more light to the world.  #depression #mentalhealth #beyourself #hope</t>
  </si>
  <si>
    <t>Gabriele Loenne</t>
  </si>
  <si>
    <t>...we have to rethink all the time approach behaviour communication ... to clients and patients! #mentalhealth #mentalillness RT @teenaswager: Rethinking interactions with #mentalhealth patients</t>
  </si>
  <si>
    <t>https://twitter.com/teenaswager/status/1218587095205171200
http://bit.ly/2trZlQK</t>
  </si>
  <si>
    <t>Europa</t>
  </si>
  <si>
    <t>Senior Consultant, Coach, Expert Anxiety, Dozentin, Therapeutin, Autorin: „ENDLICH FREI von Angst, Panik, Depressionen...!“</t>
  </si>
  <si>
    <t>http://www.loenne.info</t>
  </si>
  <si>
    <t>PapaQ69</t>
  </si>
  <si>
    <t>🖤🖤🖤🖤🖤🖤🖤🖤🖤🖤🖤🖤🖤🖤🖤🖤Life can take us all to some dark places. Only special people or pets can provide the light!!!🖤🖤🖤🖤🖤🖤🖤🖤🖤🖤🖤🖤🖤🖤🖤🖤</t>
  </si>
  <si>
    <t>Central Community Team</t>
  </si>
  <si>
    <t>#oldsmokevapes are holding #guildball tournaments &amp; various other entertainment events to raise money to refurbish a community room for #Leightonlinsladeresidents. Overall plan to support those with #mentalhealth issues or #homeschooled. Great project with exciting prospects 2813</t>
  </si>
  <si>
    <t>https://pbs.twimg.com/media/EOlPRB1WkAI2oi0.jpg</t>
  </si>
  <si>
    <t>Community #PoliceOfficers &amp; #PCSO's tweeting from #Dunstable, #LeightonBuzzard, #HoughtonRegis &amp; #BartonLeClay Please don't report crime here, call 101 or 999.</t>
  </si>
  <si>
    <t>http://www.bedfordshire.police.uk</t>
  </si>
  <si>
    <t>TMJ-Non Profit Jobs</t>
  </si>
  <si>
    <t>Warriors never pay a penny for our programs — because they paid their dues on the battlefield. Wounded Warrior Project has free services in #mentalhealth, #VAbenefits and more. Come join our Fayetteville, NC team that makes all this possible!</t>
  </si>
  <si>
    <t>http://bit.ly/2RyOV9Q</t>
  </si>
  <si>
    <t>Follow this account for geo-targeted Non-profit job tweets in Worldwide. Need help? Tweet us at @CareerArc!</t>
  </si>
  <si>
    <t>http://bit.ly/2KcsDWi</t>
  </si>
  <si>
    <t>Erica Bannon</t>
  </si>
  <si>
    <t>I am creating my blog today. Giving you all a chance to learn more about my nerdy, sexy, and vertically challenged self 😉😋😈 #blog #writer #mentalhealth #blogger #insight #SaturdayThoughts #SaturdayVibes #Travel</t>
  </si>
  <si>
    <t>Sapiosexual•Travel Companion•Lover of Arts LAX•Las Vegas•Seattle•Toronto</t>
  </si>
  <si>
    <t>http://ericabannon.com</t>
  </si>
  <si>
    <t>Tehbaw -non binary construct-</t>
  </si>
  <si>
    <t>[PS4] Saturday chilling !mentalhealth !lgbt !discord  #twitch #twitchstreamer #promotingpositivity #Monstrosities #positivegaming #quackpack @TQP_Team #lgbt+ #mentalhealth</t>
  </si>
  <si>
    <t>https://www.twitch.tv/tehbaw</t>
  </si>
  <si>
    <t>Glasgow</t>
  </si>
  <si>
    <t>Non binary, Destroyer of beats, Geek, Person of non interest, The reason we can't have nice things, Twitch affiliate. (they/them) http://Twitch.tv/tehbaw</t>
  </si>
  <si>
    <t>Psychiatrist on Gender Identity and Puberty Inhibitors:  #transgender #mentalhealth</t>
  </si>
  <si>
    <t>https://goo.gl/oXsDis</t>
  </si>
  <si>
    <t>BRAIN SUMMIT</t>
  </si>
  <si>
    <t>Congratulations @ABalancedBrain 🧠 You were the first business owner to reply and lock in a paid provider listing in the 2020 BRAIN SUMMIT Buyer’s Guide! 💫 You’ve been auto-upgraded to a complimentary Full Page Ad as our thanks! 🙌🏻 #mentalhealth</t>
  </si>
  <si>
    <t>Official http://BrainSummit.com Account. Join us fall of 2020 for a global summit on #MentalHealth | Founded by @ErinMatlock</t>
  </si>
  <si>
    <t>http://www.BrainSummit.com</t>
  </si>
  <si>
    <t>Daniel Anhut</t>
  </si>
  <si>
    <t>“As you grow older, you will discover that you have two hands, one for helping yourself, the other for helping others.” (Maya Angelou) #mentalhealth #quote</t>
  </si>
  <si>
    <t>absence and shadows / works, thoughts, Inspirationen / #photography #mentalhealth</t>
  </si>
  <si>
    <t>https://linktr.ee/daniel.anhut.fotografie</t>
  </si>
  <si>
    <t>Healthy Hispanics</t>
  </si>
  <si>
    <t>It's a catch-22; sleeping when you're stressed is difficult, but if you don't get enough sleep, you won't be able to deal with that stress. Read more at:  #sleepwell #mentalhealth</t>
  </si>
  <si>
    <t>https://bit.ly/2ND5dNO</t>
  </si>
  <si>
    <t>https://pbs.twimg.com/media/EOlO3eyXkAAdzOI.jpg</t>
  </si>
  <si>
    <t>Preventive Healthcare Online Educational and Awareness Platform for U.S. Hispanics</t>
  </si>
  <si>
    <t>http://www.healthyhispanicliving.com</t>
  </si>
  <si>
    <t>DrJohnMayer</t>
  </si>
  <si>
    <t>Good Morn Scrolling around and helping w #teens #parenting #families #mentalhealth #youth #schools</t>
  </si>
  <si>
    <t>http://Drjohnmayer.com</t>
  </si>
  <si>
    <t>https://pbs.twimg.com/media/EOlO07oX0AcJsKH.jpg</t>
  </si>
  <si>
    <t>Chicago, Illinois, USA</t>
  </si>
  <si>
    <t>Expert on Teens&amp;Families&amp;Author</t>
  </si>
  <si>
    <t>http://DrJohnMayer.com</t>
  </si>
  <si>
    <t>Can You EXPOSE Nonhuman Predators? *What Can You Do? #VeteranPeerSupport #MentalHealth #NarcissisticAbuseSurvivor #NarcissistExposer #AwakenedEmpath #PowerOfaGod #ExposeTheParasites #DontLetThemEatYou #Aliens #Monsters #Predators #Sentience #Evil #AntipsychoticComedy #Armageddon</t>
  </si>
  <si>
    <t>Steve Scanland</t>
  </si>
  <si>
    <t>Thank you Alan for coming to share your story with our members &amp; spouses of @SylvanLakeFire &amp;amp; break the stigma, by promoting #RecoverOutLoud for mental health in #firstresponders  #SLFD #SylvanLake #MentalHealth</t>
  </si>
  <si>
    <t>https://m.facebook.com/story.php?story_fbid=2525995307729361&amp;id=100009567501733</t>
  </si>
  <si>
    <t>https://pbs.twimg.com/media/EOlOoihU8AA0RmI.jpg</t>
  </si>
  <si>
    <t>Central Alberta</t>
  </si>
  <si>
    <t>Father, Husband, and Deputy Chief of @SylvanLakeFire</t>
  </si>
  <si>
    <t>davebjeffery</t>
  </si>
  <si>
    <t>Released 31/01/2020. Available to preorder now. @DemainPubUK #mentalhealth #mentalillness #recovery #Novel #Bestseller</t>
  </si>
  <si>
    <t>https://pbs.twimg.com/media/EOlOgYCWAAAVi2y.jpg</t>
  </si>
  <si>
    <t>Writer/screenwriter. Author for @crystallakepub @CrossroadPress @Grinning_Skull @demainpubUK and @severedpress. Member of @soc_of_authors</t>
  </si>
  <si>
    <t>Deborah Larson King</t>
  </si>
  <si>
    <t>You know how Eskimos have dozens of words for snow? I need dozens of words for tired. #mentalhealth</t>
  </si>
  <si>
    <t>Voting is a chess move, not a valentine.--Rebecca Solnit #impeach</t>
  </si>
  <si>
    <t>Not to bad for almost 39 years old!!! I'm wishing everyone an aweaome weekend! Remember how amazing you are! Remember to love who you are!! #mentalhealth #SaturdayMorning #SaturdayThoughts #feelinggood #hazeleyes #MentalHealthAwareness #love #Happiness</t>
  </si>
  <si>
    <t>https://pbs.twimg.com/media/EOlOOGxWoAIRoWm.jpg</t>
  </si>
  <si>
    <t>Online #Mindfulness Therapy via Skype. Learn how to apply mindfulness #meditation for healing emotional suffering. Visit: . #mentalhealth #anxietytreatment #panicattacks #OCDtreatment #PTSDtreatment #depressiontreatment #addictiontreatment</t>
  </si>
  <si>
    <t>My Counsel said to Surpass ALL of them. It's ON. *😅 #VeteranPeerSupport #MentalHealth #NarcissisticAbuseSurvivor #NarcissistExposer #AwakenedEmpath #PowerOfaGod #ExposeTheParasites #DontLetThemEatYou #Aliens #Monsters #Predators #Sentience #Evil #AntipsychoticComedy #Armageddon</t>
  </si>
  <si>
    <t>Gina Koutsika</t>
  </si>
  <si>
    <t>#Art &amp; #Science @SciGalleryLon exploring #anxiety #mentalhealth</t>
  </si>
  <si>
    <t>https://pbs.twimg.com/media/EOlNRYqXsAI66yh.jpg</t>
  </si>
  <si>
    <t>❤️#Art, #Science, #Design, #Heritage &amp; #Culture implementing #change &amp; empowering #people V&amp;A MoC Director | Ex #Kew #IWM #Tate #NHM #SMG |Views &amp; typos my own</t>
  </si>
  <si>
    <t>http://www.vam.ac.uk</t>
  </si>
  <si>
    <t>How to manage and support an employee with depression  #mentalhealth</t>
  </si>
  <si>
    <t>http://ow.ly/8SxX30q8J8J</t>
  </si>
  <si>
    <t>So Happy In Town</t>
  </si>
  <si>
    <t>It's all about #BeingOurselves for #childrensmhw  @place2be #mentalhealth</t>
  </si>
  <si>
    <t>https://wp.me/p8anIU-xk</t>
  </si>
  <si>
    <t>For those who are S.H.I.T. &amp; proud, a lifestyle &amp; parenting blog. Mental Health campaigner. Writer @huffpostuk. Finalist #BiBs19. Insta @sohappyintown</t>
  </si>
  <si>
    <t>http://sohappyintown.com/shop/</t>
  </si>
  <si>
    <t>HealthMarkets4U</t>
  </si>
  <si>
    <t>Took CHEOhospital 8 years to staff all our fully-funded psychiatry positions. Zero child psychiatrists in rural area around #Ottawa. Need more MD's trained, more use of other #mentalhealth clinicians, more #digitalhealth solutions.  #ottnews #cdnhealth</t>
  </si>
  <si>
    <t>Digital Health and Medical News and Information</t>
  </si>
  <si>
    <t>https://twitter.com/HealthMarkets4U/moments</t>
  </si>
  <si>
    <t>Crisis and Trauma</t>
  </si>
  <si>
    <t>We are pleased to have Tricia Klassen as one of our presenters this year. Her presentation provides a foundational knowledge of the principles and strategies involved in using #CBT. Register soon for our #Counselling Insights #Conference:  #mentalhealth</t>
  </si>
  <si>
    <t>https://ctri.co/35q9RVv</t>
  </si>
  <si>
    <t>https://pbs.twimg.com/media/EOlNRTRXUAAds0K.jpg</t>
  </si>
  <si>
    <t>Exceptional Training and Resources for #MentalHealth, #Counselling Skills and Violence Prevention</t>
  </si>
  <si>
    <t>http://www.ctrinstitute.com</t>
  </si>
  <si>
    <t>Parenting Tips For Raising #ADHD Children:  #Parenting #ADHDchild #psychology #mentalhealth</t>
  </si>
  <si>
    <t>http://psy.pub/2HCl0IE</t>
  </si>
  <si>
    <t>Tsara Shelton</t>
  </si>
  <si>
    <t>This music video + these lyrics + this artist (Dr. Lynette Louise, "The Brain Broad") = so much awesome! #MentalHealth #Music #InMusicWeTrust</t>
  </si>
  <si>
    <t>https://youtu.be/--EMsnVTNVM</t>
  </si>
  <si>
    <t>Mom of men, sipper of coffee, writer of musings, reader of books, reluctant performer, and shopper of groceries. #Inclusion #IDWP</t>
  </si>
  <si>
    <t>http://www.tsarashelton.com/</t>
  </si>
  <si>
    <t>Nici</t>
  </si>
  <si>
    <t>A very interesting couple of days learning about STEPP's #mentalhealth RT @ChancyMarsh: 'Complex needs &amp; Trauma' &amp;amp; 'STEPP's therapy groups' Co-designed &amp;amp; Co-produced to over 100 staff this week. We can all promote change, one small rebellion at a time #coproduction #livedexperience #mentalhealth @CBTpsychology @DrLinehan @DrTamsinBlack</t>
  </si>
  <si>
    <t>https://twitter.com/ChancyMarsh/status/1218074417487663104</t>
  </si>
  <si>
    <t>https://pbs.twimg.com/media/EOd4OiAW4AAQTFV.jpg</t>
  </si>
  <si>
    <t>Lover of tea, books, tattoos, extreme weather &amp; music. Day dreamer, queen of procrastination. Likes Harry Potter &amp; Wizard of Oz. Works in mental health.</t>
  </si>
  <si>
    <t>Leonie Grenfell</t>
  </si>
  <si>
    <t>It’s so unfortunate that the time you are most likely to miscarry is the time you’re not supposed to tell anyone you’re pregnant. It’s also the time you might need the most support. #miscarriage #toughtimes #mentalhealth #PTSD RT @BBCScienceNews: Miscarriage can lead to 'long-term post-traumatic stress'</t>
  </si>
  <si>
    <t>https://twitter.com/bbcsciencenews/status/1218573248339881985
https://bbc.in/30jfQdZ</t>
  </si>
  <si>
    <t>Scientist, communicator, chatty Cathy, curious Kate and a nosey Parker. My views are my own.</t>
  </si>
  <si>
    <t>Hapi Hemp</t>
  </si>
  <si>
    <t>Did you that that over 50% of millennials would choose #CBD over prescription medication.#Millenials #mentalhealth #anxiety #cbdhealth #cbdlife #cbdblog #blog #blogoftheday #HealthyLiving #anxietyblog</t>
  </si>
  <si>
    <t>https://hapihemp.co.uk/50-of-millennials-would-choose-cbd-oil-over-prescription-medication-for-mental-health-problems</t>
  </si>
  <si>
    <t>We pride ourselves on producing all-natural CBD organic products that you can trust. Our CBD is third-party lab tested and is free of any contaminants.🇬🇧</t>
  </si>
  <si>
    <t>http://www.hapihemp.co.uk</t>
  </si>
  <si>
    <t>mark henick</t>
  </si>
  <si>
    <t>Loss. Grief. Acceptance. How the ancient Tibetan practice of sound baths brought me peace:  via @TorontoStar #mentalhealth #grief #BellLetsTalk</t>
  </si>
  <si>
    <t>https://www.thestar.com/life/health_wellness/opinion/2020/01/17/loss-grief-acceptance-how-the-ancient-tibetan-practice-of-sound-baths-brought-me-peace.html?fbclid=IwAR0zhpGnauFFoW9WWF-KFI362MSGw82vUBAa_me71kYl4VnGv58fcPBVq6Y</t>
  </si>
  <si>
    <t>Toronto, ON</t>
  </si>
  <si>
    <t>mental health strategist | top 50 @TEDx talker, @HarperCollinsCa writer, @SpeakersDotCa keynoter, @eOnefilms podcaster. On TV sometimes. I can be a bit much.</t>
  </si>
  <si>
    <t>http://www.markhenick.com</t>
  </si>
  <si>
    <t>Ria Health</t>
  </si>
  <si>
    <t>"It should be a scandal that just slightly more than 1 in 10 Americans with substance-abuse disorders gets treatment." #health #healthcare #addiction #AlcoholUseDisorder #mentalhealth #behavioralhealth</t>
  </si>
  <si>
    <t>https://time.com/5766180/tightrope-book-excerpt-working-class-america/</t>
  </si>
  <si>
    <t>For people who want to change their relationship with alcohol, Ria is the 21st-century choice. Now accredited by the Joint Commission. #healthtech #telehealth</t>
  </si>
  <si>
    <t>http://www.riahealth.com</t>
  </si>
  <si>
    <t>Suomen Psykofyysisen Fysioterapian Yhdistys Ry</t>
  </si>
  <si>
    <t>8th #international #conference of #physiotherapy in #mentalhealth and #psychiatry  #icppmh2020 #icppmh #ioptmh #psyfy #suomenfysioterapeutit #wcpt #evidencebased</t>
  </si>
  <si>
    <t>http://www.icppmh2020.com</t>
  </si>
  <si>
    <t>pic.twitter.com/7aecAEJAT0</t>
  </si>
  <si>
    <t>Suomi</t>
  </si>
  <si>
    <t>Suomen Psykofyysisen Fysioterapian Yhdistys ry, PSYFY, ylläpitää ja edistää psykofyysisen fysioterapian harjoittamista ja ammattitaitoa Suomessa. #psyfy</t>
  </si>
  <si>
    <t>http://www.psyfy.net</t>
  </si>
  <si>
    <t>Paul Bridge</t>
  </si>
  <si>
    <t>My therapist told me I need to stop stressing about potential jobs I could do in the future and focus on getting healthy first, so what does my mind automatically do...yup, stress about what job I could do in the future 🤣 #mentalhealth #depression</t>
  </si>
  <si>
    <t>Bremen, Deutschland</t>
  </si>
  <si>
    <t>PE &amp; English Teacher living in Germany, Durham born and bred. Fighting the good fight against depression! I'm losing mostly, but bring it on!</t>
  </si>
  <si>
    <t>8th #international #conference of #physiotherapy in #mentalhealth and #psychiatry #icppmh2020 #icppmh #ioptmh #psyfy #suomenfysioterapeutit #wcpt #evidencebased</t>
  </si>
  <si>
    <t>pic.twitter.com/Jicc7a1CBz</t>
  </si>
  <si>
    <t>Shaun Francis</t>
  </si>
  <si>
    <t>$4 is spent on massage for every $1 spent on psychologists, says Erin Crump of @GreenShieldCA at a #LIVEWELL breakout session. Let’s devote more focus to #mentalhealth! @medcanlivewell</t>
  </si>
  <si>
    <t>https://pbs.twimg.com/media/EOlML4OWkAEr28v.jpg</t>
  </si>
  <si>
    <t>High-performance wellness expert. CEO @medcanlivewell. Founder @tplfoundation. Father. Author: Eat, Move, Think: The Path to a Healthier, Stronger, Happier You.</t>
  </si>
  <si>
    <t>https://www.eatmovethinkpodcast.com/</t>
  </si>
  <si>
    <t>pic.twitter.com/GXas5VW15K</t>
  </si>
  <si>
    <t>Did you miss the #PineappleSummit sponsored by @Pornhub @modelhub Check out this exclusive content from Jasmine Johnson: Stigma and Sex Work View the #FREE course here:  #pineapplesupport #mentalhealthsummit #mentalhealth</t>
  </si>
  <si>
    <t>https://pineapplesummit.org/stigma/</t>
  </si>
  <si>
    <t>Wild@Faith</t>
  </si>
  <si>
    <t>Hope for those suffering with mental wellness... #anxiety #mentalhealth RT @WildatFaith: THREAD #anxiety #depression #faith I hope this thread encourages. My journey through the dark valley of anxiety and depression.</t>
  </si>
  <si>
    <t>https://twitter.com/WildatFaith/status/1175799905568378880</t>
  </si>
  <si>
    <t>Faith in the Wild</t>
  </si>
  <si>
    <t>A journeyman along the byways of life. Encourager of the faith. Purveyor of the things of God. Lover of the folks. Simple songwriter.</t>
  </si>
  <si>
    <t>Jacqueline Chartier</t>
  </si>
  <si>
    <t>Half of Canadians have too few local psychiatrists, or none at all. How can we mend the mental-health gap? /via @globeandmail  #mentalhealth</t>
  </si>
  <si>
    <t>Calgary</t>
  </si>
  <si>
    <t>Freelance journalist and nonfiction writer. Ovarian cancer survivor and awareness advocate. Author of The Teal Diaries blog.</t>
  </si>
  <si>
    <t>http://www.jacquelinechartierfreelance.com</t>
  </si>
  <si>
    <t>Deborah J. Ross</t>
  </si>
  <si>
    <t>In Troubled Times: Rumors of #War  #politics #mentalhealth #activism</t>
  </si>
  <si>
    <t>https://deborahjross.blogspot.com/2020/01/in-troubled-times-rumors-of-war.html?spref=tw</t>
  </si>
  <si>
    <t>I write and edit fantasy and science fiction.</t>
  </si>
  <si>
    <t>http://www.deborahjross.blogspot.com/</t>
  </si>
  <si>
    <t>Kathryn Lake</t>
  </si>
  <si>
    <t>Time to Talk Norwich event to get people discussing mental health | Latest Norwich News | Norwich Evening News #itsgood #totalk #mentalhealth</t>
  </si>
  <si>
    <t>https://www.edp24.co.uk/news/norwich-mental-health-event-to-mark-time-to-talk-day-1-6472341</t>
  </si>
  <si>
    <t>Norwich, England</t>
  </si>
  <si>
    <t>I am a proud mum of two, a wife and a community mental health nurse. My views are my own!</t>
  </si>
  <si>
    <t>Anja Burčak 🧠</t>
  </si>
  <si>
    <t>I LOVE this account on Instagram. 💗 @crazyheadcomics #anxiety #mentalhealth #mentalillness #artistsoninstagram</t>
  </si>
  <si>
    <t>https://pbs.twimg.com/media/EOlLm0tWoAADm6_.jpg</t>
  </si>
  <si>
    <t>Mobile, AL</t>
  </si>
  <si>
    <t>Just want to be Kay Jamison when I [finally] grow up. #Bipolar #Blogger. #Advocate. #Artist. Let's talk #SuicidePrevention! @UNC alum. 🇧🇦 🇭🇷 🇺🇸 she/her</t>
  </si>
  <si>
    <t>https://linktr.ee/the_calculating_mind</t>
  </si>
  <si>
    <t>OMG, the colours tonight! No edits except crop and name, unbelievable 😊. #gardening #photography #BeKind #winter #art #savethebees #mentalhealth #SaturdayThoughts</t>
  </si>
  <si>
    <t>https://pbs.twimg.com/media/EOlLWcNXsAU6X9U.jpg</t>
  </si>
  <si>
    <t>Mind Over Matter</t>
  </si>
  <si>
    <t>The 2 Year photo pack is available via free download until midnight tomorrow night (Sunday 19th) then will be taken down. Please only share photos of yourself and credit @AlexFrancesXTUX &amp; @mindmatterldn 👊🏻 #photo #SaturdayThoughts #mindovermatter #mentalhealth #Poetry_Planet</t>
  </si>
  <si>
    <t>https://pbs.twimg.com/media/EOlLU37WsAAU_zr.jpg</t>
  </si>
  <si>
    <t>Discussing Mental Health through Spoken Word, Hip Hop &amp; Song | Next Event - 4th Feb | Tickets available now! 👇🏻👇🏻👇🏻👇🏻👇🏻</t>
  </si>
  <si>
    <t>http://mindovermatterldn.com/tickets/</t>
  </si>
  <si>
    <t>Talk Out Loud</t>
  </si>
  <si>
    <t>Amazing day celebrating the fantastic work schools in #northants are doing to promote positive #mentalhealth and wellbeing. Huge thanks to @MattGolby, @NorthantsPH and @ntfc players @Harrysmith30_ and @shaun_mcwilliams for supporting us and helping to present TaMHS awards ⚽️😊</t>
  </si>
  <si>
    <t>A Northamptonshire based campaign from the Mental Health Stigma Programme aiming to reduce the stigma surrounding mental health.</t>
  </si>
  <si>
    <t>http://www.talkoutloud.info</t>
  </si>
  <si>
    <t>Rachel Cohen</t>
  </si>
  <si>
    <t>Early Signs of Autism in Toddlers  #parenting #mentalhealth #ASD #Autism #children</t>
  </si>
  <si>
    <t>http://psy.pub/1MMabmz</t>
  </si>
  <si>
    <t>Therapist in group practice. Married to Dr. David Cohen. Mother of 2 kids: one with #ADHD, another with #Asperger. Interested in #Parenting and #MentalHealth</t>
  </si>
  <si>
    <t>http://bit.ly/1w8MLNg</t>
  </si>
  <si>
    <t>Shelly Cawley</t>
  </si>
  <si>
    <t>Spring Break is almost here Let us accompany you or your loved ones when using air travel. Call @travelerscare 562-380-0870 or visit our website . #springbreak #travel #travelerscare #minors #custody #mentalhealth #disability #specialneeds #custody</t>
  </si>
  <si>
    <t>http://www.Travelers-Care.com</t>
  </si>
  <si>
    <t>pic.twitter.com/wzd3Cpwsbr</t>
  </si>
  <si>
    <t>USA - Jamaica ~ Travel Guru</t>
  </si>
  <si>
    <t>CEO of Travelers Care | Former TV Presenter, Flight Attendant, Media consultant, Publicist &amp; Airline/Aviation Woman, World Traveler, Inspiring Humanity.</t>
  </si>
  <si>
    <t>http://www.travelers-care.com</t>
  </si>
  <si>
    <t>Maureen Busby MSc PCOS (c)</t>
  </si>
  <si>
    <t>Hooked on this book already #bookworm #abookaday #psychiatry #mentalhealth #mind #brain #happiness #success #emotions #pcos #obesity #life #skills</t>
  </si>
  <si>
    <t>https://pbs.twimg.com/media/EOlLEC2X0AAcVws.jpg</t>
  </si>
  <si>
    <t>N Ireland</t>
  </si>
  <si>
    <t>Not Medical Advice/Founder @pcosvitality 💃, #PCOS #Gynaecological #endocrinology #hormones #Obesity #CVD #Dementia #Womenshealth #menopause Tweets are ©</t>
  </si>
  <si>
    <t>https://www.researchgate.net/profile/Maureen_Busby</t>
  </si>
  <si>
    <t>Kelly SOM</t>
  </si>
  <si>
    <t>Why isit that when you tell someone you have mental health issues that they automatically looked shocked...like yes it makes it hard every day of my life but I’m sure as hell not going to show my weakness to the world. Why would they expect you too? #mentalhealth #EndTheStigma</t>
  </si>
  <si>
    <t>Wales</t>
  </si>
  <si>
    <t>Health Anxiety Warrior, Mental Health Empowerer and I create bespoke and quote pins to help support those with mental health!</t>
  </si>
  <si>
    <t>StopStigmaSacramento</t>
  </si>
  <si>
    <t>Have you ever tried #journaling? Keeping a journal or writing as a #meditation can help you clear your head and make important connections between thoughts, feelings, &amp; behaviors to benefit your #mentalhealth. Learn more via #PositivePsychology:</t>
  </si>
  <si>
    <t>https://bit.ly/35FsWUz</t>
  </si>
  <si>
    <t>Sacramento County</t>
  </si>
  <si>
    <t>Sacramento County’s mental health promotion &amp; stigma &amp; discrimination reduction project raises awareness &amp; spreads hope about mental health issues &amp; resources.</t>
  </si>
  <si>
    <t>http://www.stopstigmasacramento.org</t>
  </si>
  <si>
    <t>TransAm Forty</t>
  </si>
  <si>
    <t>And this is why the mental health system is fucked!! As my friends and family know, I’m a big advocate for mental health awareness. But it is shit like this that mocks the system, whilst the real sufferers...die in silence coz they don’t fit the stats! Bollocks! #mentalhealth</t>
  </si>
  <si>
    <t>https://pbs.twimg.com/media/EOlKw_rWkAAhsMR.jpg</t>
  </si>
  <si>
    <t>Punk Musician. Love earth not keen on earthlings. Love music not keen on musicians. Hate cake.</t>
  </si>
  <si>
    <t>https://open.spotify.com/artist/0V0ql1sJBEXhir9SAoH0Ln?si=cvtEhicKQFmbt3PSy3-AXg</t>
  </si>
  <si>
    <t>Lauri Poldre</t>
  </si>
  <si>
    <t>“Identify your problems, but give your power and energy to solutions.” – Tony Robbins @TonyRobbins #quoteoftheday #solution #mentalhealth</t>
  </si>
  <si>
    <t>https://pbs.twimg.com/media/EOlKuSKVAAAQ92V.jpg</t>
  </si>
  <si>
    <t>Transformative Crystal Soundscapes 🎶 Inspirational insights - wellbeing &amp; mental health</t>
  </si>
  <si>
    <t>https://snd.click/crystalflow</t>
  </si>
  <si>
    <t>Ben Kroff</t>
  </si>
  <si>
    <t>My blog post was featured in The EFT Clinic's January Newsletter. :) Are you familiar with the acronym BLAST? What letter would you add? #mentalhealth #newyear #therapy #decisionmaking</t>
  </si>
  <si>
    <t>https://lnkd.in/gXQNCXj</t>
  </si>
  <si>
    <t>asimmehmood</t>
  </si>
  <si>
    <t>Rethinking interactions with #mentalhealth patients</t>
  </si>
  <si>
    <t>http://bit.ly/2trZlQK</t>
  </si>
  <si>
    <t>Becky</t>
  </si>
  <si>
    <t>Day 17 and 18 of #REDJanuary today's run was the worst, gorgeous weather but too in my own head to find a rhythm 🤦🏻‍♀️let's try again tomorrow #mind #mentalhealth</t>
  </si>
  <si>
    <t>https://pbs.twimg.com/media/EOlKe3XXkAAg4jd.jpg</t>
  </si>
  <si>
    <t>Janet Stanley</t>
  </si>
  <si>
    <t>#FistralBeach #Sparrows #CrantockBeach #PentireHead #MentalHealth Bluest of the blue 💙</t>
  </si>
  <si>
    <t>https://pbs.twimg.com/media/EOlKbeBX0AAlkgk.jpg</t>
  </si>
  <si>
    <t xml:space="preserve">England </t>
  </si>
  <si>
    <t>English lady used to live in Sicily....now in U.K...likes badminton, books &amp; history...looking on the bright side of life with your help tweeps</t>
  </si>
  <si>
    <t>Wellcome Trust</t>
  </si>
  <si>
    <t>We want to see a world where no one is held back by #MentalHealth problems 🌍🧠🤝 Here's our plan 👉</t>
  </si>
  <si>
    <t>https://wellc.me/2N1LR4A</t>
  </si>
  <si>
    <t>https://pbs.twimg.com/media/EOlKSj0W4AA5ofF.jpg</t>
  </si>
  <si>
    <t>We are a health research foundation. We support scientists, take on big health challenges, campaign for better science &amp; help everyone get involved in research.</t>
  </si>
  <si>
    <t>http://www.wellcome.ac.uk</t>
  </si>
  <si>
    <t>Im Bioplar Strong</t>
  </si>
  <si>
    <t>Never feel guilty for doing what’s best for your Mental Health! #noguilt #mentalhealth #taketimeforyou</t>
  </si>
  <si>
    <t>Surviving with Bipolar I, being a mom, wife and me all at once.</t>
  </si>
  <si>
    <t>http://peaceinartwork.org</t>
  </si>
  <si>
    <t>BelievingBruce</t>
  </si>
  <si>
    <t>Love the laughter at the end! 🤩👍#mentalhealth doesn’t have to be boring or scary. Look at the vast number of different people. We ALL can help ourselves to #think #feel and #act that little bit better... #performancepsychology #london</t>
  </si>
  <si>
    <t>pic.twitter.com/1EhjqsfTks</t>
  </si>
  <si>
    <t>https://www.instagram.com/believingbruce360/</t>
  </si>
  <si>
    <t>Curious Psychology+Performance fanatic. Got into Body Language due to being a Geordie 🧠🤷‍♂️#mentalhealth #boxing #mma #loveisland</t>
  </si>
  <si>
    <t>https://www.youtube.com/believingbruce</t>
  </si>
  <si>
    <t>Dr. Katie Rose Guest Pryal ♿️🎾📘</t>
  </si>
  <si>
    <t>From the archives: Me, Trying to Explain #OCD to my Husband… :: Me, trying to explain my not-so-bad-all-things-considered* OCD to my loving husband after I burst into tears tonight over a  #greathusbands #itsnotaboutthelampshades #marriage #mentalhealth</t>
  </si>
  <si>
    <t>https://wp.me/p65a4h-FY?utm_source=ReviveOldPost&amp;utm_medium=social&amp;utm_campaign=ReviveOldPost</t>
  </si>
  <si>
    <t>Chapel Hill, NC</t>
  </si>
  <si>
    <t>Highly opinionated, with an overdeveloped sense of justice. @TallPoppyWriter. Latest: EVEN IF YOU’RE BROKEN. Bookings: http://brightsightgroup.com http://linktr.ee/krgpryal</t>
  </si>
  <si>
    <t>http://katieroseguestpryal.com</t>
  </si>
  <si>
    <t>nige</t>
  </si>
  <si>
    <t>The Asian Beauty Blog</t>
  </si>
  <si>
    <t>You Matter 💛 #mentalhealth</t>
  </si>
  <si>
    <t>https://pbs.twimg.com/media/EOlKCQBXkAA0wv6.jpg</t>
  </si>
  <si>
    <t>Founder of The Asian Beauty Blog 🙋🏻‍♀️ Let your smile change the world, but don’t let the world change your smile 💛 Collabs: contact@theasianbeautyblog.com</t>
  </si>
  <si>
    <t>http://www.theasianbeautyblog.com</t>
  </si>
  <si>
    <t>Adam, Diabetic Cyborg</t>
  </si>
  <si>
    <t>Unrealistic Thoughts That Jam Your Brain When You Try to Sleep by @InsightManager  #Anxiety #Humor #MentalHealth #Fiction #SelfImprovement</t>
  </si>
  <si>
    <t>https://link.medium.com/6T1F1Z0Vl3</t>
  </si>
  <si>
    <t>Longview, TX</t>
  </si>
  <si>
    <t>Stoic Optimist, mental Health/health advocate, geek, sneakerhead, pet lover, Historian, disabled blogger/vlogger w/ T1Diabetes, SPMS CSM MDD = redefined purpose</t>
  </si>
  <si>
    <t>https://www.diabeticcyborg.com</t>
  </si>
  <si>
    <t>CBD NUTRITION ONLINE</t>
  </si>
  <si>
    <t>CBD helps to clear you face... #cbd #cbdnutritiononline #cbdoil #cbdgummies #cbdcoffee #cbdproducts #cbdfordogs #cbdlotion #cbddosage #cbdforarthritis #organic #cbdcures #cbdheals #mentalhealth #healthbenefits #cbdhealth #cbdmovement #cbdtea #cbdhoney #cbdlife #cbdedible #cbdhelp</t>
  </si>
  <si>
    <t>https://pbs.twimg.com/media/EOlJ6SkWAAEDJh8.png</t>
  </si>
  <si>
    <t>Maple Valley, WA</t>
  </si>
  <si>
    <t>#CBDNutritionOnline offers a wide range of pure #Hemp #CBDProducts in the world for various purposes. All the products are 100% #THC free and #organic.</t>
  </si>
  <si>
    <t>http://www.cbdnutritiononline.com/</t>
  </si>
  <si>
    <t>Lindsey Boylan</t>
  </si>
  <si>
    <t>Please check out my recent conversation on @StigmaCast where I talk about the very personal nature of my advocacy for #mentalhealth #mentalillness #Medicare4All RT @StigmaCast: Recent episodes: NYC Congressional Candidate @LindseyBoylan:  Suicide plan with @Robbie_Millward :  Sex addiction with @alexkatehakis :  Our newsletter:</t>
  </si>
  <si>
    <t>https://twitter.com/stigmacast/status/1218559950680621056
http://bit.ly/LBoylan
http://bit.ly/RobbieMillward
http://bit.ly/Katehakis
http://eepurl.com/gMH3rX</t>
  </si>
  <si>
    <t>New York City, NY</t>
  </si>
  <si>
    <t>Candidate for US Congress, NY-10. Mom. Helped lead #Fightfor15 in NY. Healthcare, housing, &amp; education are human rights. No corporate PAC 💰. No fossil fuel 💰.</t>
  </si>
  <si>
    <t>http://www.lindseyboylan.com</t>
  </si>
  <si>
    <t>Flawless Foundation</t>
  </si>
  <si>
    <t>.@NormOrnstein knows: the brain is just like any other organ! #MentalHealth is #BrainHealth!⁠ #UniteForChange #MentalHealthForUS</t>
  </si>
  <si>
    <t>https://pbs.twimg.com/media/EOlJ2xJX4AA_s68.jpg</t>
  </si>
  <si>
    <t>Revolutionizing the way the world perceives brain health, and to promote holistic prevention and treatment of mental health challenges.</t>
  </si>
  <si>
    <t>http://flawlessfoundation.org</t>
  </si>
  <si>
    <t>Tips for Overcoming Loneliness Tip 4: Exercise OR play a sport Playing an outdoor sport or exercising releases endorphins hormones that are responsible for making you feel happy &amp; joyful.  #loneliness #mentalhealth #selfcare #therapy #anxiety #depression</t>
  </si>
  <si>
    <t>https://pbs.twimg.com/media/EOlJ2bPWkAAp0q7.jpg</t>
  </si>
  <si>
    <t>#TreatingAnxiety' Blog Welcome from Rizza Bermio-Gonzalez ||  == #mentalhealth #anxiety #gad #ptsd #ocd #anxietydisorder #mhsm #mhchat</t>
  </si>
  <si>
    <t>https://bit.ly/2tcgRIq</t>
  </si>
  <si>
    <t>OptimalC</t>
  </si>
  <si>
    <t>What are the symptoms of scurvy or a #vitaminC deficiency? Hint: Experts think many #diseases are symptoms of a lack of enough vitamin C in the body to prevent and fight #chronicIllness including #hearDisease #cancer #mentalhealth #infections</t>
  </si>
  <si>
    <t>https://www.optimalc.com/symptoms-of-scurvy.html</t>
  </si>
  <si>
    <t>http://OptimalC.com is a blog about using enough Vitamin C to better fight chronic disease and stay healthy. Based on science and family experiences.</t>
  </si>
  <si>
    <t>https://www.optimalc.com</t>
  </si>
  <si>
    <t>Carol NíChearnaigh</t>
  </si>
  <si>
    <t>Where's #mentalhealth education for GP's? A friends' daughter (adult) attends her GP for help with anxiety, only to be told she's TOO PRETTY for anxiety so it must be depression. Is it any wonder Ireland is in a mental health crisis. @MentalHealthIrl @MHCIreland @PietaHouse</t>
  </si>
  <si>
    <t>Meath, Ireland</t>
  </si>
  <si>
    <t>Advanced Paramedic, National Ambulance Service. First Officer, Casualty Instructor, CISM Peer Support Worker &amp; Volunteer in Meath Civil Defence. Loves life.</t>
  </si>
  <si>
    <t>❤️ Dr. Allison Berkowitz ❤️</t>
  </si>
  <si>
    <t>Just realized that my therapist looks like @LaurenUnderwood and now adore her EVEN more 😊🥰😊 #mentalhealth #SaturdayThoughts</t>
  </si>
  <si>
    <t>https://pbs.twimg.com/media/EOlJDziX4AMopt3.jpg</t>
  </si>
  <si>
    <t>Social Worker 🙋🏻‍♀️ Advocate 💪🏽 Teacher 🍎 Optimist 💭 Mama to Kenai 🤱🏻 Former #MDpolitics Candidate 🦀 (She/Her)👩🏼‍🎤</t>
  </si>
  <si>
    <t>http://www.TheLegislationStation.com</t>
  </si>
  <si>
    <t>Amy Fortney Parks</t>
  </si>
  <si>
    <t>Be sure to check our Group Therapy page for upcoming group registrations!  #grouptherapy #kidsrule #wisefamilies #counselingservices #mentalhealth</t>
  </si>
  <si>
    <t>https://www.thewisefamily.com/group-therapy/</t>
  </si>
  <si>
    <t>Washington D.C.</t>
  </si>
  <si>
    <t>mom.psychologist.teacher.brainthusiast</t>
  </si>
  <si>
    <t>http://www.thewisefamily.com</t>
  </si>
  <si>
    <t>Mr. John Severine</t>
  </si>
  <si>
    <t>Dar es salaam</t>
  </si>
  <si>
    <t>A Geologist | Internal Auditor | Husband | Father..</t>
  </si>
  <si>
    <t>https://www.linkedin.com/in/john-severine-meela-99b85237/?originalSubdomain=tz</t>
  </si>
  <si>
    <t>Mandie Thorpe</t>
  </si>
  <si>
    <t>Anyone who knows me knows I’m renowned for #talking, but talking about my #mentalhealth was hard, but necessary. If you’re struggling, please don’t struggle on your own @MindCharity @NSFTtweets 💚 RT @canariestrust: Today’s @NorwichCityFC programme features a few well chosen words from @MandieMooMoo #mentalhealth #talking #welcomebackmoo 💛💚👍</t>
  </si>
  <si>
    <t>https://twitter.com/canariestrust/status/1218541277387554816</t>
  </si>
  <si>
    <t>https://pbs.twimg.com/media/EOkg06IW4AA88Pa.jpg</t>
  </si>
  <si>
    <t>Dereham, Norfolk, England</t>
  </si>
  <si>
    <t>MOD Civil servant, Dereham darts secretary; all views are my own. NCFC fan, weight watcher, Dereham Runner. I love sport &amp; cockapoos! OTBC 💛💚</t>
  </si>
  <si>
    <t>María Florencia</t>
  </si>
  <si>
    <t>D-WORDSLAYER: Open Book: Mental Illness and the phone rings #MentalHealth By @DLE41</t>
  </si>
  <si>
    <t>https://dwordslayer.blogspot.com/2019/04/open-book-mental-illness-and-phone-rings.html?spref=tw</t>
  </si>
  <si>
    <t>Ways to support someone with mental illness: I would add... Use "I statements" : I've noticed X, NOT you have been doing X. Educate yourself! But understand, even with a diagnosis, the experience is different for everyone. #mentalhealth #MentalHealthAwareness #bpd #depression</t>
  </si>
  <si>
    <t>https://pbs.twimg.com/media/EOlH3uNWsAITejJ.jpg</t>
  </si>
  <si>
    <t>SecretlySurviving</t>
  </si>
  <si>
    <t>A photo of my cat watching the sunset (ok probably the birds 🐦..) We’ve finally moved house (after almost 2 years on the market), and I’m hoping for more peaceful moments like this 🤞🏽 #catslife #CatsOfTwitter #mentalhealth #BetterDays</t>
  </si>
  <si>
    <t>https://pbs.twimg.com/media/EOlH1WfWAAE2MLd.jpg</t>
  </si>
  <si>
    <t>Wife, Sister, Friend - you know me - What you don’t know is I’m a survivor of child sexual, emotional&amp;physical abuse. It’s lonely, yet I am not alone.</t>
  </si>
  <si>
    <t>Casual H3RO</t>
  </si>
  <si>
    <t>Live on the set of heartsupport  out here helping people! Come watch live this weekend from 9 am to 3 pm #heartsupport #mentalhealth #metalcore #love #charity</t>
  </si>
  <si>
    <t>http://twitch.tv/heartsupport
https://www.instagram.com/p/B7eBqmAHaIr/?igshid=qr9s976r0xt2</t>
  </si>
  <si>
    <t>Artist, Gamer and Musician. I love what I do and the people I have met doing it.</t>
  </si>
  <si>
    <t>https://www.twitch.tv/casual_h3ro</t>
  </si>
  <si>
    <t>Elina Militello Asp</t>
  </si>
  <si>
    <t>Shocked that it’s this bad? Yes. Surprised? No. The #competition for grants is fierce. Poor #jobsecurity makes #scientists hold their #knowledge close to their chest to become invaluable. Neither promotes due #scientific #process, a collaborative spirt nor good #mentalhealth. RT @nature: A survey of more than 4,000 scientists has painted a damning picture of the culture in which they work, suggesting that highly competitive and often hostile environments are damaging the quality of research.</t>
  </si>
  <si>
    <t>https://twitter.com/nature/status/1218142681391607809
https://go.nature.com/2RACk6n</t>
  </si>
  <si>
    <t>Didcot, England</t>
  </si>
  <si>
    <t>I’m a #fusion physicist actively promoting equality, diversity and inclusion and part of Women in Nuclear Central England. #LikeAGirl #EqulityCantWait</t>
  </si>
  <si>
    <t>Reality &amp; Positivity</t>
  </si>
  <si>
    <t>Love this #quote from Peanuts, Charles M Schulz It's such a positive re-frame for anyone who feels an outsider, not understood Often people who see me with a #mentalhealth diagnosis have such thoughts. I'm weird, not normal. Rather think of yourself as a limited edition #JoyTrain</t>
  </si>
  <si>
    <t>https://pbs.twimg.com/media/EOlHXpFW4AgCUJQ.jpg</t>
  </si>
  <si>
    <t>NW London UK</t>
  </si>
  <si>
    <t>Therapeutic #mentalhealth counsellor BACP accred&amp;freelance writer, helping people 2 navigate problems: life, living, dying&amp;death. Successfully managing #bipolar</t>
  </si>
  <si>
    <t>Albert MCgert</t>
  </si>
  <si>
    <t>Whatever gets you through the days. #Believe #Happiness #anxiety #depression #mentalhealth #music #beats #rhymes #life</t>
  </si>
  <si>
    <t>Newark, NJ</t>
  </si>
  <si>
    <t>One half of B.O.D and founder of Sewer Line Ent. MC, Producer, Engineer and Mental Health Advocate.💚 I'm also a loving father to my son, Lennon.</t>
  </si>
  <si>
    <t>puffpuffpanda3</t>
  </si>
  <si>
    <t>Anyone else have a list of people you reach out to when you have a bad mental health day/night? #mentalhealth #copingskills</t>
  </si>
  <si>
    <t>I Struggle to Find the Words of Comfort for Family/Friends Affected by Bullycide  via @cheriewhite691 #Bullying #Bullycide #Suicide #SurvivorsOfBullycide #MentalHealth #SuicideAwareness</t>
  </si>
  <si>
    <t>https://cheriewhite.blog/2020/01/18/i-struggle-to-find-the-words-of-comfort-for-family-friends-affected-by-bullycide/</t>
  </si>
  <si>
    <t>askdrwoodchuck@gmail.com</t>
  </si>
  <si>
    <t>Ms. Bougainvillea, the school nurse at Rodentia Elementary School, will never make a student feel bad because she remembers how difficult elementary school was...www.AskDrWoodchuck.com #askdrwoodchuck #depression #anxiety #adhd #disruptive #mentalhealth #erasingthestigma</t>
  </si>
  <si>
    <t>My name is Dr. Wood E. Woodchuck and I'm a School Psychologist at Rodentia Elementary School.</t>
  </si>
  <si>
    <t>Ⓙⓞⓝⓐⓣⓗⓐⓝ Ⓢⓜⓘⓣⓗ🕙</t>
  </si>
  <si>
    <t>Managed to get some #allotment time today, makes me so 😊 time away from work. Best cure for #mentalhealth planted a cherry tree and some rhubarb. Take time to do something YOU enjoy this weekend 👊🏻</t>
  </si>
  <si>
    <t>https://pbs.twimg.com/media/EOlG7UNXUAAfXSC.jpg</t>
  </si>
  <si>
    <t>The Family Tree</t>
  </si>
  <si>
    <t>I live everyday as my LAST. Lets make some memories before we are just a memory. #mentalhealth #itsOKnottobeOK👶🏻👦🏼👴🏻⚰👻</t>
  </si>
  <si>
    <t>Lets Talk Mental Health</t>
  </si>
  <si>
    <t>Let's Talk Mental Health #LTMH #LetsTalkMentalHealth #mentalhealth #postitiveselftalk</t>
  </si>
  <si>
    <t>https://pbs.twimg.com/media/EOlGr1SVUAAzDLG.jpg</t>
  </si>
  <si>
    <t>Sault Ste. Marie, Ontario</t>
  </si>
  <si>
    <t>Two individuals that are fighting the battle of various mental illnesses, here to support and help guide others with the hands they have been dealt.</t>
  </si>
  <si>
    <t>https://www.youtube.com/channel/UCrlFs4lmABOgVFUisMdPVaA?view_as=subscriber</t>
  </si>
  <si>
    <t>SEWI</t>
  </si>
  <si>
    <t>Is the Spa calling your name? Sign up for our newsletter at  for a chance to win a $100 Massage Envy gift card. . #SelfCareSaturday #SelfCare #MentalHealth #Wellness #SocialEmotionalWellness #mentalwellness #positivity #wellbeing #Spa #relax</t>
  </si>
  <si>
    <t>http://sewi.org</t>
  </si>
  <si>
    <t>https://pbs.twimg.com/media/EOlGckgWkAEHQSq.jpg</t>
  </si>
  <si>
    <t>Social &amp; Emotional Wellness Initiative- a nonprofit org providing youth wellness services since 2013. We're raising funds and awareness - click the link below!</t>
  </si>
  <si>
    <t>http://linktr.ee/sewinitiative</t>
  </si>
  <si>
    <t>CMHA_AB</t>
  </si>
  <si>
    <t>“It looks like we have a down trend in opioid deaths, and I hope to see the total lower this year compared to 2018. But these numbers are still too high,”said Jason Luan, Alberta’s associate Minister of Mental Health and Addiction. #addiction #mentalhealth</t>
  </si>
  <si>
    <t>https://www.theglobeandmail.com/canada/alberta/article-fentanyl-overdoses-in-alberta-begin-to-decline/</t>
  </si>
  <si>
    <t>Alberta Division</t>
  </si>
  <si>
    <t>Official Twitter feed of the Canadian Mental Health Association, Alberta Division. Feed is not monitored 24/7. Promoting mental health for all.</t>
  </si>
  <si>
    <t>https://alberta.cmha.ca/</t>
  </si>
  <si>
    <t>BHR_CCGs</t>
  </si>
  <si>
    <t>If you, or someone you know, need urgent #mentalhealth help &amp; advice, call 0300 555 1000 anytime of the day or night</t>
  </si>
  <si>
    <t>https://pbs.twimg.com/media/EOlGchrWsAEvl8V.jpg</t>
  </si>
  <si>
    <t>Barking and Dagenham, Havering and Redbridge</t>
  </si>
  <si>
    <t>#NHS Barking and Dagenham, Havering and Redbridge Clinical Commissioning Groups responsible for planning and buying #healthcare for local people. #health</t>
  </si>
  <si>
    <t>http://www.haveringccg.nhs.uk</t>
  </si>
  <si>
    <t>Dr. Noor Ali, MBBS, MPH, CPH</t>
  </si>
  <si>
    <t>How to Be Happy - 10 Extremely Practical Tips to Try Now:  via: @RealSimple #HealthyLiving #mentalhealth</t>
  </si>
  <si>
    <t>http://ow.ly/ssZZ50wJdkr</t>
  </si>
  <si>
    <t>https://pbs.twimg.com/media/EOlGbtqX4AE8NAD.jpg</t>
  </si>
  <si>
    <t>Clearwater, FL</t>
  </si>
  <si>
    <t>Personal #HealthAdvisor with @USHADVISORS. Medical Dr. helping #BusinessOwners &amp; the #SelfEmployed get the best #HealthInsurance. Let me help YOU! #AskDrNoor</t>
  </si>
  <si>
    <t>https://www.ushagent.com/noor</t>
  </si>
  <si>
    <t>UConn CSCH</t>
  </si>
  <si>
    <t>Anxiety in the Classroom: What it looks like, and why it's often mistaken for something else #healthykids #wholechild #WSCC #mentalhealth</t>
  </si>
  <si>
    <t>http://ow.ly/Cji950xU1Pe
https://childmind.org/article/classroom-anxiety-in-children/?utm_source=newsletter&amp;utm_medium=email&amp;utm_content=READ%20MORE&amp;utm_campaign=Weekly-01-07-20</t>
  </si>
  <si>
    <t>University of Connecticut</t>
  </si>
  <si>
    <t>UConn's Collaboratory on School and Child Health: facilitating connections across research, policy, and practice arenas relevant to school and child health</t>
  </si>
  <si>
    <t>http://csch.uconn.edu</t>
  </si>
  <si>
    <t>Exercising in #EatingDisorderRecovery: Yes or No? ||  == #mentalhealth #eatingdisorder #anorexia #bulimia #bingeeatingdisorder #mhsm #mhchat</t>
  </si>
  <si>
    <t>https://bit.ly/2R954Tc</t>
  </si>
  <si>
    <t>https://pbs.twimg.com/media/EOlGaCIXsAActnf.jpg</t>
  </si>
  <si>
    <t>Just Me</t>
  </si>
  <si>
    <t>How to fight it: #knowyourself &amp; what your true limits are ....so the made up ones by the fear inside don’t overwhelm you. And remember, #youreworthit 😁👍🏼 #Mentalhealth RT @GuardiansMH: Don't let your anxiety get in the way of doing something that matters to you. Sometimes our biggest struggle is overcoming our own fears and anxiety. #MentalHealthAwareness #GuardiansMH #MentalHealthMatters</t>
  </si>
  <si>
    <t>https://twitter.com/GuardiansMH/status/1218559245609787393</t>
  </si>
  <si>
    <t>No where, USA</t>
  </si>
  <si>
    <t>Change is painful. Growth is painful. But nothing is more painful than feeling stuck somewhere you don't belong "Be Brave. Take that 1st step..." ~akb.</t>
  </si>
  <si>
    <t>Daniel Carcillo</t>
  </si>
  <si>
    <t>Hi @SportsNeuroSoc I will be in attendance but I wanted to let you know that I’m available to b a keynote speaker Does the topic of #concussion induced #mentalhealth complications &amp; #suicide being the leading cause of death after #TBI from an athletes perspective interest you?</t>
  </si>
  <si>
    <t>Mycelium Network</t>
  </si>
  <si>
    <t>Mental Health • TBI • Cannabis • Fungi Advocate • Speaker • Founder @ch5foundation • 2x @stanleycup champ • @decrimchicago http://Instagram.com/danielcarcillo13</t>
  </si>
  <si>
    <t>http://YouTube.com/DanielCarcillo13</t>
  </si>
  <si>
    <t>AORRA Canada</t>
  </si>
  <si>
    <t>Dr. Gabor Mate discusses the traums/addiction connection. #addiction #mentalhealth</t>
  </si>
  <si>
    <t>http://www.aorra.org/2020/01/18/childhood-trauma-creates-addiction/</t>
  </si>
  <si>
    <t>https://pbs.twimg.com/media/EOlGSYcWkAEe8d6.png</t>
  </si>
  <si>
    <t>Assoc. Of Religious Rehabilitation &amp; Advocacy: Assisting &amp; Providing hope to former members of High-Control Religions &amp; Cults across Canada</t>
  </si>
  <si>
    <t>http://www.aorra.org</t>
  </si>
  <si>
    <t>Kevin Colley</t>
  </si>
  <si>
    <t>I'm extremely grateful for @Headspace and their grieving program Its helping me to keep my #mentalhealth in check through this difficult time #meditation 🧘‍♂️</t>
  </si>
  <si>
    <t>Stockport, England</t>
  </si>
  <si>
    <t>Classic car restorer, Model railway enthusiast, LGBT &amp; mental health supporter, and massive Queen fan, Ravenclaw house</t>
  </si>
  <si>
    <t>https://www.youtube.com/channel/UClA9iGyBd9gryyrK4AWqTGA</t>
  </si>
  <si>
    <t>Darren Matthews</t>
  </si>
  <si>
    <t>“Everything you’ve ever wanted is on the other side of fear.” George Addair - So how do you get there when you believe you're not good enough...  #self #mindset #mentalhealth</t>
  </si>
  <si>
    <t>https://buff.ly/2TCUK90</t>
  </si>
  <si>
    <t>https://pbs.twimg.com/media/EOlGK3QXkAADueV.jpg</t>
  </si>
  <si>
    <t>Morfa Nefyn, Wales</t>
  </si>
  <si>
    <t>I’m a passionate writer who normally finds angst within the world of leadership and strategy. All framed within subjects such as business, politics and writing.</t>
  </si>
  <si>
    <t>https://medium.com/@darrenmatthews</t>
  </si>
  <si>
    <t>happythemovement</t>
  </si>
  <si>
    <t>Chronic or temporary, our bodies work to find ways to cope when we struggle with our mental health. Having a consistent, safe space is proven to reduce anxiety, stress &amp; loneliness Happy is here 24/7 #mentalhealth #happytheapp</t>
  </si>
  <si>
    <t>https://getpocket.com/explore/item/fighting-depression-by-staying-awake?utm_source=pocket-newtab</t>
  </si>
  <si>
    <t>Happy connects you to a compassionate, nonjudgmental listener. Confidential + 24/7. We want you to be your happiest, healthiest self so your first call is on us</t>
  </si>
  <si>
    <t>https://gethappy.app.link/twitter</t>
  </si>
  <si>
    <t>CMo</t>
  </si>
  <si>
    <t>School’s great and all but a good therapist is made by listening to, being inspired by, &amp; learning from the brave folks that choose to share their stories. #mentalhealth</t>
  </si>
  <si>
    <t>MH Advocate.</t>
  </si>
  <si>
    <t>Trauma Practice for Healthy Communities</t>
  </si>
  <si>
    <t>What are we gonna SING at our fundraiser on January 28th? Support after trauma means working together. Buy your tickets today here:  We Can Work it Out - the Beatles #traumapractice #mentalhealth #fundraiser #popupchoir #concert #charity #PTSD</t>
  </si>
  <si>
    <t>http://bit.ly/2seczQs</t>
  </si>
  <si>
    <t>Trauma Practice for Healthy Communities is a charitable organization dedicated to helping trauma survivors recover.</t>
  </si>
  <si>
    <t>http://traumapractice.org</t>
  </si>
  <si>
    <t>Why we should value time over money; a poignant look at our misplaced goals...Time for Happiness -  #MentalHealth #BellLetsTalk</t>
  </si>
  <si>
    <t>http://bit.ly/2MFYRvs?utm_campaign=coschedule&amp;utm_source=twitter&amp;utm_medium=hanna_higher</t>
  </si>
  <si>
    <t>Head/Heart Therapy</t>
  </si>
  <si>
    <t>I love when the right message appears at the right time. 💗 @tosha_silver #therapy #healer #therapist #mentalhealth #psychotherapy #psychotherapist #woundedhealer #healing #uniquetherapyforuniquepeole #mentalwellness #recovery #selflove #selfacceptance #wildoffering</t>
  </si>
  <si>
    <t>https://pbs.twimg.com/media/EOlFtxeWoAER9jw.jpg</t>
  </si>
  <si>
    <t xml:space="preserve">Chicago, IL </t>
  </si>
  <si>
    <t>Head/Heart Therapy is a private practice where clients can experience non-judgmental, open, and authentic therapy.</t>
  </si>
  <si>
    <t>http://www.headhearttherapy.com</t>
  </si>
  <si>
    <t>Truth Nation</t>
  </si>
  <si>
    <t>Wisdom from Dr. Cloud. 👌🏾 #qotd #quoteoftheday #manipulate #Boundaries #selflove #selfcare #growth #intentional #love #lovewins #Lovelookslikesomething #wellness #Mentalhealth</t>
  </si>
  <si>
    <t>https://pbs.twimg.com/media/EOlFoP7XsAA_LEt.png</t>
  </si>
  <si>
    <t>http://www.truthconference.ca</t>
  </si>
  <si>
    <t>Jonathan Levitt</t>
  </si>
  <si>
    <t>The latest The Mental Health Technology Daily!  Thanks to @ballaratcourier @kaynisbett @levelmag #mentalhealth #mentalhealthawareness</t>
  </si>
  <si>
    <t>https://paper.li/jonathanlevitt/1477415200?edition_id=9687d530-3a15-11ea-97ff-0cc47a0d1609</t>
  </si>
  <si>
    <t>Montreal</t>
  </si>
  <si>
    <t>Building better products, brands and experiences by leveraging data, technology and creative.</t>
  </si>
  <si>
    <t>http://about.me/jonathanlevitt</t>
  </si>
  <si>
    <t>Maria</t>
  </si>
  <si>
    <t>On Instagram? Maybe you’ll have fun visiting my page 🥰👉🏼  #instagram #share #retweet #meditation @empowerment #mentalhealth #spirituality #Connected2me #weareone #travel #encourage #brave #strong #StrongerTogether #inspire</t>
  </si>
  <si>
    <t>https://www.instagram.com/p/B603kLzHK61/?igshid=32h4olwd7g8q</t>
  </si>
  <si>
    <t>https://pbs.twimg.com/media/EOlFgG6VAAA3tkt.jpg</t>
  </si>
  <si>
    <t>Energy coach, using social media to help raise the vibration. spiritual teacher, writer, comedian, podcaster, mom. no auto follows for follows, discernment 🙏🏻</t>
  </si>
  <si>
    <t>http://www.strongbodystrongsoul.com</t>
  </si>
  <si>
    <t>SusanaDeLeón, MD</t>
  </si>
  <si>
    <t>Look at factors outside the family that cause child neglect “We need to think about how to make the environment better for families so they can better care for their kids.” #ACEs #SocialDeterminants in #MentalHealth</t>
  </si>
  <si>
    <t>https://today.uconn.edu/2019/12/researchers-look-factors-outside-family-cause-child-neglect/</t>
  </si>
  <si>
    <t>🌎/🇵🇦  Eng/Esp</t>
  </si>
  <si>
    <t>#Science #MentalHealth of all ages but specially #Children #Adolescents ~ #Art #Music #Quotes &amp; 📸 ~ #LosPrimerosAñosDuranParaSiempre #SaludMentalEs</t>
  </si>
  <si>
    <t>Kingsway Living</t>
  </si>
  <si>
    <t>Recreational spaces are a staple in our #SeniorLiving Communities. These spaces are great for the #health and well-being of our #seniors, by supporting #mentalhealth, offering opportunities to socialise, and building a better atmosphere. #memorycare #dementia #assistedliving #nl</t>
  </si>
  <si>
    <t>https://pbs.twimg.com/media/EOlFSYlWkAAu0EJ.jpg</t>
  </si>
  <si>
    <t>Newfoundland and Labrador</t>
  </si>
  <si>
    <t>Newfoundland's finest retirement living, with 9 locations across the province and growing. It's good to be home. #YYT #YQX #Retirement</t>
  </si>
  <si>
    <t>https://kingswayliving.ca/</t>
  </si>
  <si>
    <t>Autism and detecting emotions  #autism #asd #mentalhealth</t>
  </si>
  <si>
    <t>CG Byers, DVM</t>
  </si>
  <si>
    <t>Sometimes you just need to get out of the house to clear your mind #mentalhealth #freshair - I’m working on next week’s post for all of you - hope you’re excited! #blogging</t>
  </si>
  <si>
    <t>https://www.instagram.com/p/B7eAYGpJo-c/?igshid=dvwk6erqy0ut</t>
  </si>
  <si>
    <t>Board-Certified Veterinary Specialist. Educator. Coach. Mentor. Retweets ≠ endorsements.</t>
  </si>
  <si>
    <t>http://criticalcaredvm.com</t>
  </si>
  <si>
    <t>Yusuph Mwakatobe</t>
  </si>
  <si>
    <t>famasia</t>
  </si>
  <si>
    <t>MUHAS ALUMNI, Pharmaconsultancy, Pharmacovigilence #PATIENTSAFETY @Famasia1 #ToTMedics #AfyaSunday</t>
  </si>
  <si>
    <t>Amanda Renee</t>
  </si>
  <si>
    <t>Interested in connecting with others with similar interests. Listed below, please add me will follow back. #bpd #bpdfam #bpdchat #depression #depressionIsreal #mentalhealth #MentalHealthAwareness #MeToo #sexualabuse #ptsd #cptsd #mentalhealthbloggers #blogging #depress</t>
  </si>
  <si>
    <t>۰•●-Kentucky, USA-●•۰</t>
  </si>
  <si>
    <t>Introverted patient care #advocate who also has #bpd &amp; #depression. Cat mom. Outdoorsy, artsy fartsy. #MentalHealth blogger, avid reader, Christian, opinionated</t>
  </si>
  <si>
    <t>Thomas Stickney</t>
  </si>
  <si>
    <t>Hey @Twitch peeps! @heartsupport is LIVE -  Winter Retreat SPECIAL EVENT! #MentalHealth #Talk #Charity</t>
  </si>
  <si>
    <t>https://www.twitch.tv/heartsupport</t>
  </si>
  <si>
    <t>One of the songs from Treasure Planet came on on my spotify list. Omg. This movie, the soundtrack. My heart. It's been so long. #Disney #snowstorm #music #adulting #memories #year2012 #cleaning #life #mentalhealth #random #WritingCommunity</t>
  </si>
  <si>
    <t>pic.twitter.com/KMtPjrWFdj</t>
  </si>
  <si>
    <t>Alright. Pretty sure that it's one of these days again.. gonna see if my blood still is red #selfharm #cutting #blood #mentalhealth</t>
  </si>
  <si>
    <t>🐱🌈Amanda Green, Author😎🌹😁🐭🐈</t>
  </si>
  <si>
    <t>Abuse, despair, adventures, #BPD #OCD relationships, dysfunctional family, rape, drugs, alcohol, travel &amp; fun. Thought provoking true story  Should be a film #iartg #bookboost #memoir #truestory #bpd #Mentalhealth #fridayreads</t>
  </si>
  <si>
    <t>http://viewbook.at/myalienself</t>
  </si>
  <si>
    <t>Essex, England</t>
  </si>
  <si>
    <t>#AUTHOR Shared my life candidly in two #Memoirs Won the mental health fight #BPD #SELFHELP MBACP Counsellor #TATTOOCOLLECTOR 💜 #CATS 🐱 http://amandagreenauthor.co.uk</t>
  </si>
  <si>
    <t>https://www.amazon.co.uk/Amanda-Green/e/B0087O89QS/</t>
  </si>
  <si>
    <t>High vibe acoustic sounds of the singing bowls help dissolve negativity, thought patterns and overthinking more efficiently than anything else. Listen on @InsightTimer  #sound #audio #acoustic #insighttimer #teacher #listen #technology #mentalhealth</t>
  </si>
  <si>
    <t>https://insighttimer.com/crystalsound/guided-meditations/crystal-flow-sound-bath-with-crystal-singing-bowls</t>
  </si>
  <si>
    <t>Frank Savadera</t>
  </si>
  <si>
    <t>My grandmother who went through #WW2 used to say: It's better to have our #house burn down 10 times instead, than getting into an awful #WAR. . #PSTD #widows #mentalhealth</t>
  </si>
  <si>
    <t>https://www.nytimes.com/2020/01/17/opinion/war-has-ripple-effects.html</t>
  </si>
  <si>
    <t>Worcester, MA</t>
  </si>
  <si>
    <t>A Filipino Jesuit currently based in Worcester, Massachusetts; tweeting about organizations, leadership,spirituality, religion, diversity, equity and inclusion.</t>
  </si>
  <si>
    <t>This is Rose</t>
  </si>
  <si>
    <t>TIL that if you don't feel like you need an emergency Hotline, in the USA you can ring a Warmline!!  This is so cool!!! I wonder if they have it in Europe? (I'm ok! This is really a TIL) #MentalHealthAwareness #MentalHealthMatters #mentalhealth</t>
  </si>
  <si>
    <t>http://warmline.org/</t>
  </si>
  <si>
    <t>Admin 🌹 from @une_vie_en_diamant on IG She/her/hers A stan of all things Seventeen and a big fan of the MMM girls. Bias? Jeonghan... although I love them all.</t>
  </si>
  <si>
    <t>https://www.instagram.com/une_vie_en_diamant/?hl=en</t>
  </si>
  <si>
    <t>TheUpliftingInvestor</t>
  </si>
  <si>
    <t>This guys knows what hes talking about. Its incredible how you can effectively fight #anxiety or #depression by simply changing your diet. #Mentalhealth #MentalHealthMatters #MentalHealthAwareness #subscribe #follow #youtube #YouTuber</t>
  </si>
  <si>
    <t>https://youtu.be/s4lxfsvgiHM</t>
  </si>
  <si>
    <t>Las Vegas, Nevada</t>
  </si>
  <si>
    <t>Uplift / Invest is a YouTube channel that was developed to help people both financially and with mental health. Youtube - TheUpliftingInvestor</t>
  </si>
  <si>
    <t>https://www.youtube.com/channel/UCSFwhvEA2tjuph8RcEikXkQ?view_as=subscriber</t>
  </si>
  <si>
    <t>Be the change you want to see</t>
  </si>
  <si>
    <t>When your on 2 wkly scripts, you've just realised your gp didn't send your script to the pharmacy + you've now run out. Prescriptions really stress me out. I've had to ring 111 to get my meds, without them I turn into a wreck. Awaiting a call back #mentalhealth #medication</t>
  </si>
  <si>
    <t>pic.twitter.com/80Pkg4OgYr</t>
  </si>
  <si>
    <t>Harrogate</t>
  </si>
  <si>
    <t>Survivor of Complex trauma, diagnosed by an independent doctor with C-PTSD , also diagnosed as EUPD. Finding my way # mentalhealth movement</t>
  </si>
  <si>
    <t>J.M.PEACE</t>
  </si>
  <si>
    <t>Re write brain. Develop #Mentalhealth. Cultivate a spirit of #abundance. #celebrate the #giftofLife with #JoyaandThanks.</t>
  </si>
  <si>
    <t>paradise</t>
  </si>
  <si>
    <t>Human being. Lover of humanity. Peacemaker.</t>
  </si>
  <si>
    <t>CIOB</t>
  </si>
  <si>
    <t>We are delighted to announce a partnership between the CIOB Benevolent Fund and @AnxietyUK. This partnership will deliver specialised support to CIOB members living with anxiety, stress or anxiety-based depression.  #CIOB #MentalHealth #AnxietyUK</t>
  </si>
  <si>
    <t>https://crowd.in/r9WvDl</t>
  </si>
  <si>
    <t>https://pbs.twimg.com/media/EOlDhRKWAAAcPN5.jpg</t>
  </si>
  <si>
    <t>Global HQ: Bracknell, UK</t>
  </si>
  <si>
    <t>The Chartered Institute of Building (CIOB) is at the heart of a management and leadership career in the built environment.</t>
  </si>
  <si>
    <t>http://www.ciob.org</t>
  </si>
  <si>
    <t>This #weekend let's hear it for the emergency services who provide around the clock cover 24/7, every day of the year #Police #Firefighters #Ambulance crews My thoughts are particularly with those caught up in #AustralianWildFires All should have debriefs for their #mentalhealth</t>
  </si>
  <si>
    <t>https://pbs.twimg.com/media/EOlDd6FXsAENTO8.png</t>
  </si>
  <si>
    <t>We Can Survive &amp; Thrive - Paul Hill</t>
  </si>
  <si>
    <t>#mentalhealth #bipolar #BPD #PTSD #recovery What do you do when you're under house arrest? #bake #Welsh #cakes! I enjoy being with #family, but I'm calling #crisis tomorrow to ask if I can go home. Missing my home now. I know I'm ok. I can call if I need them. #selfcare 💪</t>
  </si>
  <si>
    <t>https://pbs.twimg.com/media/EOlDVrIWAAAqxe8.jpg</t>
  </si>
  <si>
    <t>#SURVIVOR of #abuse #trauma #assault and #mentalhealth . #gay Guy 🌈 #dog Lover 🐕 #good Guy 😊. Let's #raise #MentalHealthAwareness. Looking for #friends 😊👍</t>
  </si>
  <si>
    <t>Eva Serhal</t>
  </si>
  <si>
    <t>Interesting article by @globeandmail @ErinAnderssen about equitable access to #mentalhealth care- the focus of our work through @CAMH’s #TeleMentalHealth @ECHO_ONMH @OPOP_PEPO services. @Medpoiesis @SanjSockalingam @KurdyakP @endstigma @ihpmeuoft @EchoOntario @ONThealth RT @picardonhealth: Finding a psychiatrist is nearly impossible for millions of Canadians. How can we mend the #mentalhealth gap? by @ErinAnderssen  via @globeandmail</t>
  </si>
  <si>
    <t>https://twitter.com/picardonhealth/status/1218526767264215040
https://www.theglobeandmail.com/canada/article-half-of-canadians-have-too-few-local-psychiatrists-or-none-at-all/?utm_medium=Referrer:+Social+Network+/+Media&amp;utm_campaign=Shared+Web+Article+Links</t>
  </si>
  <si>
    <t>Director, Outreach #TelementalHealth &amp; @ECHO_ONMH @CAMHnews+@IHPMEuofT PhD Cand focused on #ehealth #mentalhealthishealth #implementation-Tweets/opinions my own</t>
  </si>
  <si>
    <t>Raven 🧘‍♀️yogi witch🧘‍♀️Welch</t>
  </si>
  <si>
    <t>I slept amazing last night for the first time in forever because yesterday a doctor finally told me what was wrong w/ my brain. I feel so much relief. I feel like there is a light at the end of the tunnel. It’s far away but there is hope. #Mentalhealth #MentalHealthAwareness</t>
  </si>
  <si>
    <t>pic.twitter.com/8fTWZjngRn</t>
  </si>
  <si>
    <t>Better dead than a damsel. Nerd enthusiast 🎮, aspiring yogi witch 🧘‍♀️, and amateur baker 🥧 @CoOpthePodcast | @bookandbitchpod</t>
  </si>
  <si>
    <t>https://itunes.apple.com/us/podcast/co-op-the-podcast/id1448268140</t>
  </si>
  <si>
    <t>All my books are available on Amazon, paperback/ebook … and UK  Memoirs, psychological horror, drama and humorous fiction #fiction #truestory #mentalhealth #horror #psychological #womensfiction #humour #indieauthor #writingcommunity</t>
  </si>
  <si>
    <t>https://amazon.com/Amanda-Green/e/B0087O89QS?ref=sr_ntt_srch_lnk_1&amp;qid=1577488805&amp;sr=8-1
https://amazon.co.uk/Amanda-Green/e/B0087O89QS?ref=sr_ntt_srch_lnk_1&amp;qid=1577488787&amp;sr=8-1</t>
  </si>
  <si>
    <t>Prime Psychiatry</t>
  </si>
  <si>
    <t>"Using VR for remote therapy involves conducting “face-to-face” sessions in a virtual environment. This mode of treatment could make counseling more accessible to those living and working remotely." #VR #counseling #mentalhealth</t>
  </si>
  <si>
    <t>http://ow.ly/Obqh50xVGYJ</t>
  </si>
  <si>
    <t>Frisco, TX</t>
  </si>
  <si>
    <t>Psychiatric evals, medication management, TMS Therapy, telepsychiatry, addiction treatment, disability evals, and counseling—by people who care.</t>
  </si>
  <si>
    <t>http://primepsychiatrymd.com</t>
  </si>
  <si>
    <t>George Balesh</t>
  </si>
  <si>
    <t>https://pbs.twimg.com/media/EOlDNJBX4AAqE56.jpg</t>
  </si>
  <si>
    <t>Dubai - United Arab Emirates</t>
  </si>
  <si>
    <t>http://www.motoraty.com</t>
  </si>
  <si>
    <t>The Mix</t>
  </si>
  <si>
    <t>Our under 16s group chat starts in an hour! Are you joining us? . #MentalHealth #MentalHealthSupport 👉</t>
  </si>
  <si>
    <t>http://ow.ly/PAVJ50xWdhX</t>
  </si>
  <si>
    <t>https://pbs.twimg.com/media/EOlDLAdXsAA_mXl.jpg</t>
  </si>
  <si>
    <t>We're the UK's leading digital support service for young people, by young people. We're here Monday to Friday and always available on our website.</t>
  </si>
  <si>
    <t>http://www.themix.org.uk</t>
  </si>
  <si>
    <t>East Lancashire Hospitals NHS Trust</t>
  </si>
  <si>
    <t>#ELCAS is holding #mentalhealth drop in sessions for parents, carers and young people. If you're struggling, or just looking for advice, check the details below for sessions in #Blackburn, #Darwen, #Burnley, #Hyndburn, #Bacup and RV! No appointments needed! #Wellbeing #NHS #ELHT</t>
  </si>
  <si>
    <t>https://pbs.twimg.com/media/EOlDKIAW4AAMRxS.jpg</t>
  </si>
  <si>
    <t>East Lancashire</t>
  </si>
  <si>
    <t>#SafePersonalEffective care from NHS hospitals (Burnley, Blackburn, Accrington, Clitheroe, Pendle) and community staff in East Lancashire.</t>
  </si>
  <si>
    <t>http://www.elht.nhs.uk</t>
  </si>
  <si>
    <t>TBS Canada</t>
  </si>
  <si>
    <t>Declutter your mind, organize your space! At home or at work, cleaning up and clearing out can help improve your #mentalhealth</t>
  </si>
  <si>
    <t>Effective people, policies and management of the Public Purse - Suivez-nous en français: @SCT_Canada Terms: http://bit.ly/2hAmmX1</t>
  </si>
  <si>
    <t>http://www.tbs-sct.gc.ca</t>
  </si>
  <si>
    <t>Need a #MentalHealth Boost? Try This Now ||  == #anxiety #depression #adhd #bipolar #mhsm #mhchat</t>
  </si>
  <si>
    <t>https://pbs.twimg.com/media/EOlDCymWsAE1BpK.jpg</t>
  </si>
  <si>
    <t>__ In Between Covers __ a #poem about the space between the living and dead posted on .@Medium  #writing #poetry #poet #writingcommunity #poetrycommunity #life #health #love #wellbeing #psychology #mindhealth #wisdom #mentalhealth #spirituality #creativity</t>
  </si>
  <si>
    <t>https://link.medium.com/AAyg6Yexi3</t>
  </si>
  <si>
    <t>Negative #memories are especially vulnerable to being changed after they’re recalled. That's your chance to change how the memory is stored in ur #brain. How to Stop Painful Memories from Haunting You  #grief #depression #pain #trauma #fear #mentalhealth</t>
  </si>
  <si>
    <t>https://buff.ly/318fWV9</t>
  </si>
  <si>
    <t>https://pbs.twimg.com/media/EOlDBfMXkAEqJm2.png</t>
  </si>
  <si>
    <t>Bolton Medical Practice</t>
  </si>
  <si>
    <t>🛑Pay attention to the signs... It is highly encouraged to get an assessment as early as possible. We're here to help. #BoltonMedicalPractice #TorontoTherapy #MentalHealth #MentalHealthToronto #ABATherpay</t>
  </si>
  <si>
    <t>https://pbs.twimg.com/media/EOlDA98WAAIDubI.jpg</t>
  </si>
  <si>
    <t>We strive to provide quality ABA/IBI services, Social Skills and School Readiness to help children reach their full potential.</t>
  </si>
  <si>
    <t>http://www.boltonmedicalpractice.com</t>
  </si>
  <si>
    <t>Mental Health Partnerships</t>
  </si>
  <si>
    <t>If you’re an individual facing #mentalhealth challenges and interested in participating in research, our partnership with @NIMHgov helps to inform you on your rights and opportunities ➡️</t>
  </si>
  <si>
    <t>http://bit.ly/2Md4TEH</t>
  </si>
  <si>
    <t>https://pbs.twimg.com/media/EOlC_nJWAAIxuQZ.jpg</t>
  </si>
  <si>
    <t>Leaders in transforming mental health services to become responsive to the priorities of individuals with mental health challenges and their family members.</t>
  </si>
  <si>
    <t>http://mentalhealthpartnerships.org</t>
  </si>
  <si>
    <t>Dr. Judy Ho</t>
  </si>
  <si>
    <t>Do you have a loved one in need of #inpatient care? I explain how #MotivationalInterviewing is a way for you to talk to someone, at any stage in their process, and get them to consider (and commit) to some kind of action towards treatment. #mentalhealth #depression @medcircle</t>
  </si>
  <si>
    <t>https://pbs.twimg.com/media/EOkX7CBWoAAZKi-.jpg</t>
  </si>
  <si>
    <t>Clinical &amp; Forensic Neuropsychologist | Tenured Professor | Co-host @TheDoctors l Speaker and Author of Stop Self-Sabotage | Free wellness resources 💜 ⬇️</t>
  </si>
  <si>
    <t>http://www.drjudyho.com/blog</t>
  </si>
  <si>
    <t>Learning to say ‘no’ for better mental health – especially for people pleasers  Do you ever say yes when you mean no? #archiveday #mentalhealth #mentalhealthmatters</t>
  </si>
  <si>
    <t>https://shar.es/a3k03r</t>
  </si>
  <si>
    <t>Vancouver Coastal Health introduces take-home drug ... #health #mentalhealth #healthcare #goodhealth #research #healthissues #wellness #medicine</t>
  </si>
  <si>
    <t>https://bhive.nectar.social/2B8pzX</t>
  </si>
  <si>
    <t>Jaime Izquierdo</t>
  </si>
  <si>
    <t>Helping your Asperger’s Child with Social Skills -  #mentalhealth #Parenting #autism #aspergers #asd</t>
  </si>
  <si>
    <t>http://psy.pub/1lT144q</t>
  </si>
  <si>
    <t>apospodcast</t>
  </si>
  <si>
    <t>This view that the least tolerant services are the more safe they are is not working. What we increasingly have is intollerant, unsafe settings. That's what we should be talking about in podcasts... #NHS #mentalhealth RT @WeCareAboutMH: Zero tolerance campaigns demonstrably have little effect on the behaviours they are designed to root out. What they do instead is give poorly trained medical personnel the confidence to abuse their powers further and to trample over the human rights of their vulberable patients.</t>
  </si>
  <si>
    <t>https://twitter.com/WeCareAboutMH/status/1218391716975255553</t>
  </si>
  <si>
    <t>"A place of safety?",1 episode every 2 weeks.About the mental health system in the UK and elsewhere! DM's open, tell us your story. Email: apospodcast@gmail.com</t>
  </si>
  <si>
    <t>Carolina D</t>
  </si>
  <si>
    <t>Mental health is a crisis Psych student: I'm here Professionals: not without qualifications Psych student: ok I'll get them Unis: the requirements + experience Student: I'll volunteer Charities: nope -_- I just want to help #psychology #studentproblems #mentalhealth #volunteering</t>
  </si>
  <si>
    <t>I'm a bookworm working in a library, studying psychology, and I'm an aspiring author. Originally from South Africa but settled in the UK.</t>
  </si>
  <si>
    <t>https://rosacarr.wordpress.com/</t>
  </si>
  <si>
    <t>https://pbs.twimg.com/media/EOlCOdyWkAAncGh.jpg</t>
  </si>
  <si>
    <t>Stephenbell67</t>
  </si>
  <si>
    <t>Open and honestdiscussion that actually “everyone can hurt but at different times of their lives which means we will confront stereotypes and perception to help the healing #ptsdawareness #mentalhealth #depression #anxiety #selfcare #Psychologicaltrauma</t>
  </si>
  <si>
    <t>https://pbs.twimg.com/media/EOlCM47X0AAPgw1.jpg</t>
  </si>
  <si>
    <t>watford</t>
  </si>
  <si>
    <t>http://Stephenbellcoaching.co.uk your coach for life offering strategies to self improvement, confidence and coping with life, including anxiety &amp; depression</t>
  </si>
  <si>
    <t>http://stephenbellcoaching.co.uk</t>
  </si>
  <si>
    <t>How an ADHD Diagnosis Can Be a Blessing in Disguise  #ADHD #mentalillness #mentalhealth</t>
  </si>
  <si>
    <t>https://bit.ly/2Omb77F</t>
  </si>
  <si>
    <t>Jemma</t>
  </si>
  <si>
    <t>Taking my over-thinking ass out on a walk. #nofilter #mentalhealth</t>
  </si>
  <si>
    <t>https://www.instagram.com/p/B7d-z3CjVS9/?igshid=z6zxwpbb8vce</t>
  </si>
  <si>
    <t>Redhead, Geek Girl, Cosplayer, Lesbian.</t>
  </si>
  <si>
    <t>http://www.facebook.com/VampRougeCosplay</t>
  </si>
  <si>
    <t>OCD_Bart</t>
  </si>
  <si>
    <t>While watching #Mars on @netflix I just realised fighting huge companies to stop #ClimateChange is just as fighting for your #mentalhealth at your workplace. Both are harming us by asking to endure a little bit more. Their profit for our suffering. We need to stop allowing it</t>
  </si>
  <si>
    <t>Overhinking everything on daily basis. #ClimateChange is real, #MentalHealth is important, Rich should be taxed &amp; we all should just care for each other!</t>
  </si>
  <si>
    <t>STAR Physical Therapy</t>
  </si>
  <si>
    <t>Great talk on psychological conditions and mental health of student athletes by @DrDiamondSports! @TNATA #TATS #MentalHealth #Athletes</t>
  </si>
  <si>
    <t>https://pbs.twimg.com/media/EOlB0R0WkAEMWIf.jpg</t>
  </si>
  <si>
    <t>Over 65 locations in TN/AR</t>
  </si>
  <si>
    <t>Providing Tennesseeans and Arkansans with World-Class Physical Therapy care in the convenience of your hometown. #STARPT</t>
  </si>
  <si>
    <t>http://www.STARpt.com</t>
  </si>
  <si>
    <t>PracticalSelfCare</t>
  </si>
  <si>
    <t>Taking this chilly, dreary, Missouri Saturday morning to take a step back and focus - on the little things, on the few things, on the right things #motivation #minimalism #health #mentalhealth #productivity #letsdothis #inspiration #saturdaythoughts #saturdaymotivation #workit</t>
  </si>
  <si>
    <t>https://pbs.twimg.com/media/EOlBiHOWsAAnlT3.jpg</t>
  </si>
  <si>
    <t>For it is in giving that we receive. #noew2017 #sdgs #csr #houston #texas #mentalhealth #mindfulness #wellness #psychology #health</t>
  </si>
  <si>
    <t>susie pappas</t>
  </si>
  <si>
    <t>When you feel stressed, take a step back and look at the big picture. #mindset #mentalhealth</t>
  </si>
  <si>
    <t>http://cpix.me/a/90081267</t>
  </si>
  <si>
    <t>https://pbs.twimg.com/media/EOlBK9vXkAAMM-I.jpg</t>
  </si>
  <si>
    <t>AWP Mental Health</t>
  </si>
  <si>
    <t>Are you a #student looking for opportunities to earn as you learn? Why not consider joining our bank. You can fit your shifts around your studies and gain the experience you need to work in #mentalhealth:  @BristolUni @UWEBristol @UniofBath @BathSpaUni</t>
  </si>
  <si>
    <t>https://bit.ly/31GQlDG</t>
  </si>
  <si>
    <t>https://pbs.twimg.com/media/EOape6LW4AIUE4-.jpg</t>
  </si>
  <si>
    <t>Southwest</t>
  </si>
  <si>
    <t>Services for people with mental health needs, learning disabilities and drug &amp; alcohol dependency issues. AWP also work with the criminal justice system.</t>
  </si>
  <si>
    <t>http://www.awp.nhs.uk</t>
  </si>
  <si>
    <t>Seanatello Unbound #berelentless</t>
  </si>
  <si>
    <t>Take a deep breath. It’s #Caturday. You made it through the week. How are you all making out today? #berelentless #mentalhealth</t>
  </si>
  <si>
    <t>GRL | Slaying #depression | #HR Biz Partner • Author | #Pagan • #MTG | Forthright | Power Walker | #Mentalhealth | #BeRelentless • #MondaySlay 🇨🇦 🏳️‍🌈</t>
  </si>
  <si>
    <t>http://www.blacktalonsolutions.com</t>
  </si>
  <si>
    <t>The Dad AF App, by Dads for Dads</t>
  </si>
  <si>
    <t>The reviews speak for themselves 🔥🔥🔥 . ...And we’ve only just started! So much more coming this year 🙌 . Download on App Store and Google Play! • • • #app #review #dadlife #dads #instadad #dadaf #dadyougotthis #mentalhealth #fatherhood #dadcommunity #dadnetwork #parenting</t>
  </si>
  <si>
    <t>https://pbs.twimg.com/media/EOlBA08XUAEygs5.jpg</t>
  </si>
  <si>
    <t>We are the social app for Dads 🙌 Connecting tens of thousands of Dads around the world 🔥 App Store &amp; Google Play ⭐️⭐️⭐️⭐️⭐️</t>
  </si>
  <si>
    <t>http://onelink.to/dadaf</t>
  </si>
  <si>
    <t>Anne McLachlan</t>
  </si>
  <si>
    <t>Providing #MentalHealth services in care teams could close the gap RT @picardonhealth: Finding a psychiatrist is nearly impossible for millions of Canadians. How can we mend the #mentalhealth gap? by @ErinAnderssen  via @globeandmail</t>
  </si>
  <si>
    <t>Neuropsychologist, Community Volunteer, Weekend Cook, Gardener, Feminist, Wife &amp; mother of adult children. Tweets are my own opinion.</t>
  </si>
  <si>
    <t>“The life you live is more important than the words you speak.” -Mac Miller #MentalHealthAwareness #MentalHealth #Happiness #Positivity #Love #GoodVibes #Hope #Happy #Trust #MacMiller #RIP</t>
  </si>
  <si>
    <t>https://pbs.twimg.com/media/EOlAm-gWsAMK8XQ.jpg</t>
  </si>
  <si>
    <t>Bromley, Lewisham &amp; Greenwich Mind</t>
  </si>
  <si>
    <t>Great to be at @MillwallFC with our wonderful group of volunteers, collecting money to help support local people with their mental health. Working in partnership with @MindCharity and @EFL #OnYourSide, #mentalhealth, #strongertogether, #millwall</t>
  </si>
  <si>
    <t>Bromley, Lewisham &amp; Greenwich (London)</t>
  </si>
  <si>
    <t>Local charity supporting local people living with mental health problems or dementia.</t>
  </si>
  <si>
    <t>http://www.blgmind.org.uk</t>
  </si>
  <si>
    <t>In the immediate term, the revenue may boast wonderful figures &amp; the treasury will receive a margin, but resources are stretched to max,#gambling act needs reform now, as related #poor #mentalhealth #crime #debts spiralling #students falling out if uni #addicts &amp;amp; #suicide rising RT @MattHancock: Gambling addiction may be fuelled by loot boxes in video games. We’re opening NHS treatment centres - but companies must do more:</t>
  </si>
  <si>
    <t>https://twitter.com/matthancock/status/1218477073632768001
https://www.itv.com/news/2020-01-18/video-games-setting-kids-up-for-addiction-with-loot-boxes-mental-health-boss/</t>
  </si>
  <si>
    <t>"Structured Clinical Management" is a 20weeks course, that I've apparently been on a waiting list for. The thing is, I've never heard of this, or requested any form of waiting list 🤦‍♀️ am I right in thinking this is another version on #DBT #mentalhealth #BPD #AdultMentalHealth</t>
  </si>
  <si>
    <t>pic.twitter.com/WjjoUx7gDb</t>
  </si>
  <si>
    <t>Christa Emmer🏡</t>
  </si>
  <si>
    <t>Did you know keeping a journal is a good way to improve your #mentalhealth? #liveyourlife</t>
  </si>
  <si>
    <t>http://cpix.me/a/90188215</t>
  </si>
  <si>
    <t>https://pbs.twimg.com/media/EOlAF2FWsAEqQyo.jpg</t>
  </si>
  <si>
    <t>Howard County Maryland</t>
  </si>
  <si>
    <t>Writer. Real Estate Agent, Century 21 New Millennium, CBS DC &amp; Our Community Now Maryland contributor and creator of http://beautygurumd.com</t>
  </si>
  <si>
    <t>http://christaemmer.com</t>
  </si>
  <si>
    <t>Shay Hanson</t>
  </si>
  <si>
    <t>Seeing so much #selflove in the #WritingCommunity is simultaneously heart warming, inspiring, and making me incredibly #jealous. You are all so beautiful #FellowWriters #amwriting #Mentalhealth #pride #selfcare #loveyourself #loveyourwork</t>
  </si>
  <si>
    <t>pic.twitter.com/zvdR0yP8yW</t>
  </si>
  <si>
    <t>Parts Unkown</t>
  </si>
  <si>
    <t>I'm a fun writer who will often have you saying: that's cool; and what the fuck, at the same time! I'm also a certified bartender and a fitness junky</t>
  </si>
  <si>
    <t>Kuduishe Kisowile</t>
  </si>
  <si>
    <t>Tanzania</t>
  </si>
  <si>
    <t>MD student| #kuduthepeacemakerquotes| Chairperson-MZJ Alumnae| #MeToo #MentalHealth advocate| #EczemaWarrior #KuduAfyaTips #DaktariMwandishi Left-handed. 🇹🇿</t>
  </si>
  <si>
    <t>Could Anxiety UK help your organisation to address workplace #mentalhealth? Anxiety UK offer bespoke workplace training and consultancy packages which can be tailored to your organisation’s needs. Find out more here:</t>
  </si>
  <si>
    <t>http://ow.ly/a4qa50x5Tst</t>
  </si>
  <si>
    <t>https://pbs.twimg.com/media/EOk_kDtWoAIvmvf.jpg</t>
  </si>
  <si>
    <t>Riverside Peer Support Group</t>
  </si>
  <si>
    <t>Never give up, keep going. . . . . #mental #mentalhealth #riverside #riversidepsg #riversidepeersupport #life #health @ Awolowo Road, Ikoyi</t>
  </si>
  <si>
    <t>https://www.instagram.com/p/B7d9n7zFpUV/?igshid=d99qu8ngad1z</t>
  </si>
  <si>
    <t xml:space="preserve">Lagos, Nigeria </t>
  </si>
  <si>
    <t>Creating a safe space for individuals to share their personal stories without fear of being judged, teaching them how to grow through each painful experience.</t>
  </si>
  <si>
    <t>https://forms.gle/33FtigkuLe2bqfFP7</t>
  </si>
  <si>
    <t>Pinaki Dasgupta ,MBA ✨</t>
  </si>
  <si>
    <t>#ArtificialIntelligence as Viable Tool to Detect Changes in Patients’ #MentalHealth. Detects changes in clinical states in 🗣️ data for patients w/ #bipolar , #Schizophrenia &amp; depressive disorders as accurately as attending Drs.👩‍⚕️👨‍⚕️ #neuroscience RT @USC_SAIL: New Study Finds AI as Viable Tool to Detect Changes in Patients’ Mental Health @USC_SAIL @USCMingHsiehEE @USC_Research @CSatUSC @USC_ISI</t>
  </si>
  <si>
    <t>https://twitter.com/USC_SAIL/status/1218329345778827265
https://viterbischool.usc.edu/news/2020/01/new-study-finds-ai-as-viable-tool-to-detect-changes-in-patients-mental-health/</t>
  </si>
  <si>
    <t>Mgmt.Consultant/Business strategist w/ interests in Science,Tech,Social media &amp; Fintech. #Robotics,#AI,#Cloudcomputing #IoT,#IIoT #BigData,#DevOps,#DX #Startups</t>
  </si>
  <si>
    <t>Balin A. Durr, M.D.</t>
  </si>
  <si>
    <t>#Feeling afraid isn't the same as acting afraid. You can FEEL AFRAID &amp; DO IT ANYWAY! That's #courage!" #success #SaturdayMotivation #SaturdayMorning #ThinkBIGSundayWithMarsha #mentalhealth</t>
  </si>
  <si>
    <t>Chicago area</t>
  </si>
  <si>
    <t>Child &amp; Adult Psychiatrist, speaker, poet, and author of Heaven Abounds in You; available on http://bit.ly/1Gxhyep, http://amzn.to/2cx0zRa &amp; http://bit.ly/1E8ZNy8</t>
  </si>
  <si>
    <t>http://www.facebook.com/BalinADurrMD</t>
  </si>
  <si>
    <t>Corine Janse</t>
  </si>
  <si>
    <t>Mamad</t>
  </si>
  <si>
    <t>Allah my savior. Islam my light. Qur'an my guide. Muhammad ( S A W) my mentor.</t>
  </si>
  <si>
    <t>"I have a little superpower..." - a poem about anxiety #mentalhealth #anxiety</t>
  </si>
  <si>
    <t>https://lucyathome.co.uk/life/superpower-sensitive/</t>
  </si>
  <si>
    <t>https://pbs.twimg.com/media/EOk_GuTXkAA2e2D.jpg</t>
  </si>
  <si>
    <t>♡ KENDRA ♡</t>
  </si>
  <si>
    <t>I want to rep more #mentalhealth advocates of color for my hashtag so if you are one please reply to this with a 👋 #anxiety #depression #adhd #ptsd #bpd #ocd #SickNotWeak #cptsd #spoonie #chronicillness</t>
  </si>
  <si>
    <t xml:space="preserve">Immigration Rights For All </t>
  </si>
  <si>
    <t>Domestic abuse survivor 🙏 #PTSD warrior #mentalhealth #bpd 🌦️ Empath 🧠. B.A. in Creative Writing 📝. journal: @Ity_Bity_kitty</t>
  </si>
  <si>
    <t>http://www.wordshardtotouch.com</t>
  </si>
  <si>
    <t>Sam Lewis Inner Compass - Play Therapist</t>
  </si>
  <si>
    <t>Play comes in all shapes and sizes, for all ages. It supports #childdevelopment #relaxation #creativity #learning #wellbeing, #attachment etc. What is your form of #play? #playtherapy #mentalhealth #family #selfesteem #confidence #sport #innercompass #senseofself #mindfulness</t>
  </si>
  <si>
    <t>https://pbs.twimg.com/media/EOk-3j1WkAANCYX.jpg</t>
  </si>
  <si>
    <t>Canterbury, Kent</t>
  </si>
  <si>
    <t>Play and Creative Arts Therapist, Consultant, Practitioner. My main approach is client-led, person-centred.</t>
  </si>
  <si>
    <t>A look into the DPRK mental health system -  #mentalhealth #Korea</t>
  </si>
  <si>
    <t>http://www.nknews.org/2014/12/a-look-into-the-dprk-mental-health-system/</t>
  </si>
  <si>
    <t>T.S. (Tim) White</t>
  </si>
  <si>
    <t>#GOPcruelty #LGBTQ #transyouth #MentalHealth LGBT activists say new bills target transgender youth</t>
  </si>
  <si>
    <t>https://apnews.com/4d024be0cd898b35fafe7003c4cb62c8</t>
  </si>
  <si>
    <t xml:space="preserve"> Ontario, Canada</t>
  </si>
  <si>
    <t>To Inspire, Enlighten &amp; Inform #resist #persist #AMPLIFY #WEquality #ItsOUrPlanet #BePlanetSmart #survivorCulture #LGBTQ #ResistanceIsGlobal #ClimateStrike</t>
  </si>
  <si>
    <t>Bit of weekend fun lyn x #mentalhealth</t>
  </si>
  <si>
    <t>https://pbs.twimg.com/media/EOk-hO8XkAQ4s72.jpg</t>
  </si>
  <si>
    <t>Moorpark Karate &amp; Krav Maga</t>
  </si>
  <si>
    <t>Improving mental health is everything in martial arts, stop doing these 5 things... #MentalHealth #MentalHealthAwareness</t>
  </si>
  <si>
    <t>http://www.MoorparkKarate.com
http://www.MoorparkKravMaga.com</t>
  </si>
  <si>
    <t>https://pbs.twimg.com/media/EOk-cwjUcAEq9CZ.jpg</t>
  </si>
  <si>
    <t>Moorpark, CA</t>
  </si>
  <si>
    <t>Since 1994, Moorpark Karate &amp; Krav Maga has been offering martial arts instruction to students of all ages in the Ventura County area.</t>
  </si>
  <si>
    <t>http://www.MoorparkKarate.com</t>
  </si>
  <si>
    <t>Austin Yan</t>
  </si>
  <si>
    <t>"Too few psychiatrists in places with too many patients in the queue. The results of the critical shortage: jam-packed emergency departments, long wait lists, stressed-out families, and burned-out doctors." via @globeandmail #cdnhealth #mentalhealth</t>
  </si>
  <si>
    <t>as the deer panteth • @uOttawa MD/PhD candidate 🧬💩🦠 • @McMasterU Artsci • @OMSAofficial Director of Representation 🗳️ • partly human, mostly microbes</t>
  </si>
  <si>
    <t>Tracy Fance</t>
  </si>
  <si>
    <t>Instead of feeling connected and confident, we find ourselves moving through life fueled by fear, feeling like we lack something that others have, unsure of what lies ahead, and looking for external supports to guide us. #Kent #wellbeing #mentalhealth</t>
  </si>
  <si>
    <t>http://bit.ly/2TcLJ6t</t>
  </si>
  <si>
    <t>https://pbs.twimg.com/media/EOk-adoXkAMcRZi.jpg</t>
  </si>
  <si>
    <t>Herne Bay, Kent</t>
  </si>
  <si>
    <t>#Psychic, #Clairvoyant, #Medium, #Tarot Reader, #ReikiMaster, Teacher of workshops &amp; more, #EventOrganiser, &amp; Social Butterfly. Based in #HerneBay #Kent</t>
  </si>
  <si>
    <t>http://www.tracyfance.com</t>
  </si>
  <si>
    <t>Kristie Holmes</t>
  </si>
  <si>
    <t>Supplement Followers- Here's a list of mindfulness enhancers but note the drug interactions link at the end. Natural does not always mean safe or good for you individually.  #mindful #mentalhealth</t>
  </si>
  <si>
    <t>http://dlvr.it/RNHtRt</t>
  </si>
  <si>
    <t>https://pbs.twimg.com/media/EOk-Z8FUUAAEOcq.jpg</t>
  </si>
  <si>
    <t>Troublemaker that wrangles troubles -micro, to macro. Eats cake. Red Cross, @UN_WomenUSA &amp; @babcnc Boards. Former Congressional Candidate, SCAD Survivor❤️</t>
  </si>
  <si>
    <t>https://mythrivepsychology.com/dr-kristie-holmes-phd-lcsw</t>
  </si>
  <si>
    <t>XRP_spaniard</t>
  </si>
  <si>
    <t>I am going to live minimum 150 years of age free of fears and society's labels. I am not profession. I am not politic. I am not religion. I SIMPLY AM</t>
  </si>
  <si>
    <t>__ Another Day __ A #poem about another day and one dollar more posted on .@Medium  #writing #poetry #poet #writingcommunity #poetrycommunity #life #health #love #wellbeing #psychology #mindhealth #wisdom #mentalhealth #work #worklifebalance</t>
  </si>
  <si>
    <t>https://link.medium.com/zaLY5X9C82</t>
  </si>
  <si>
    <t>Have you ever tried #EMDR therapy? I have and I want to share my experience plus some tips to help you through it!  #lbloggers #mentalhealth #MentalHealthMatters @LovingBlogs @BBlogRT @BestBlogRT @TheBloggerGals @BloggingBabesRT</t>
  </si>
  <si>
    <t>https://buff.ly/2QolGWq</t>
  </si>
  <si>
    <t>https://pbs.twimg.com/media/EOk-ZagWAAIxaVW.png</t>
  </si>
  <si>
    <t>TheMilitaryNomad</t>
  </si>
  <si>
    <t>BIG Day! #31daysinarow streaming on @WatchMixer #GamingForVets! 17 followers from 100. 200ish hours and counting. #McGregorvsCerrone - who ya got? #HuskiesvsDucks - #GoDawgs #Year2020VeteranChallange - get the #Mentalhealth support you need #HopeTheFrenchton - love your pup</t>
  </si>
  <si>
    <t>10 Year US Air Force Veteran - 100% Disabled - 3 year VFW VSO - #GamingForVets #Year2020veteranchallenge #HopeTheFrenchton http://mixer.com/TheMilitaryNom…</t>
  </si>
  <si>
    <t>Samaritans</t>
  </si>
  <si>
    <t>The more all caretakers and service providers are aware of the issues faced by #survivors of #suicide loss as well as the keys to #suicideprevention the better we can fight the #stigma tied to #mentalhealth RT @PhillySOS: Experiences of support from primary care...of parents bereaved by #suicide  "Parents believed it was important that people working in general practice have an awareness of suicide bereavement and understanding of their needs." Good luck with that.</t>
  </si>
  <si>
    <t>https://twitter.com/phillysos/status/1218559827884101633
https://bjgp.org/content/early/2020/01/13/bjgp20X707849</t>
  </si>
  <si>
    <t>Providing the NYC community anonymous, confidential, 24/7 emotional support. Twitter is not for crisis response. If you are in distress, call (212) 673-3000.</t>
  </si>
  <si>
    <t>http://www.samaritansnyc.org</t>
  </si>
  <si>
    <t>Chantelle Booysen</t>
  </si>
  <si>
    <t>Please submit your valuable perspective to “Our Global Voice” for #mentalhealth 👇 @gospeakyourmind @Y_mentalhealth @Ember_mh @Mental_Elf @GMHatHarvard @MHInnovation @UnitedGMH @TTCGlobal_ @MGMentalHealth @UNICEFInnocenti @MentallyAwareNG @NAMICommunicate @BeGOOD_EIE RT @global_peer:  The “Our Global Voice” Project of @global_peer seeks to obtain #livedexperience perspectives on the impact of receiving a #diagnosis and key factors that lead to, or hindered #recovery. #schizophrenia #bipolardisorder #depression</t>
  </si>
  <si>
    <t>https://twitter.com/global_peer/status/1218234671064068096
https://www.surveymonkey.com/r/HWM2KML</t>
  </si>
  <si>
    <t>Durban, South Africa</t>
  </si>
  <si>
    <t>🗣 #MentalHealth 🏆 #MyMindOurHumanity 🌻 #EmpathyHopeProject 🇿🇦 @thesadag • @global_peer 🌍 @who #NCDs • @unicef #LeadingMinds 🎓 #CMHLP</t>
  </si>
  <si>
    <t>https://www.facebook.com/empathyhopeproject/</t>
  </si>
  <si>
    <t>Danielle 💫</t>
  </si>
  <si>
    <t>Being told you are worthless isn’t a great feeling.😔 #wordshavepower #mentalhealth</t>
  </si>
  <si>
    <t xml:space="preserve">Canada </t>
  </si>
  <si>
    <t>🌼 Life is a journey, only you hold the key. 🌻Obsessed with #Davrick #Ringsy #Ballum #Gallavich ❤️ •Artist• 💟 motivational speaker • Lebe Lache Liebe</t>
  </si>
  <si>
    <t>Elin Björling</t>
  </si>
  <si>
    <t>Play testing a Lo-fi evidence-based interaction in our #VR nature environment for #Mentalhealth Learnings: text/written language may not be as impactful as it is IRL, virtual fire can feel “too hot” and bunnies are loved by all 🐇</t>
  </si>
  <si>
    <t>https://pbs.twimg.com/media/EOk9Z67UcAInlKY.jpg</t>
  </si>
  <si>
    <t>Seattle</t>
  </si>
  <si>
    <t>Co-designing technologies (#robots, #VR) to improve teen mental health, working on: mindfulness, parenting, climate change. Living in Seattle. Posts are my own.</t>
  </si>
  <si>
    <t>http://depts.washington.edu/melab/</t>
  </si>
  <si>
    <t>The BioCode System®</t>
  </si>
  <si>
    <t>#SaturdayMorning How are you showing up to meet life’s challenges? Become #StrongerThanStress with #TheBioCodeSystem Intro Workshop. Join us Jan. 21!  #SaturdayMotivation #personalgrowth #mentalhealth #wellness #DailyInnerWorkout #BehavioralHealth #coaching</t>
  </si>
  <si>
    <t>http://empowerhousegroup.com</t>
  </si>
  <si>
    <t>pic.twitter.com/zwL5hEvrcl</t>
  </si>
  <si>
    <t>#TheBioCodeSystem uses in-the-moment exercises to build #BehavioralIntelligence even in your most challenging moments. #DailyInnerWorkout #Empowered #Leadership</t>
  </si>
  <si>
    <t>http://www.empowerhousegroup.com</t>
  </si>
  <si>
    <t>ChronicLoveClub</t>
  </si>
  <si>
    <t>💯 Truth! • If you know some with an invisible illness; try to be understanding and do research before placing judgement or doubt to a friend or loved one. Trust me, they do not choose to feel this way. #ChronicLoveClub #ChronicIllness #InvisibleIllness #MentalHealth</t>
  </si>
  <si>
    <t>https://pbs.twimg.com/media/EOk88PbWkAARVw9.jpg</t>
  </si>
  <si>
    <t>Chronic Love Club is an open community dedicated to those with #ChronicIllnesses. Visit our website for our blog, spotlights, and more! Insta: @ChronicLoveClub</t>
  </si>
  <si>
    <t>http://www.chronicloveclub.com</t>
  </si>
  <si>
    <t>Great seminar last night at the gym. #mentalhealth #mentalillness #depression #anxiety #suicide #selfcare #healthierlifestyle #healthyrecipes #gym #pt #personaltraining #lifestylecoach #healthyfood</t>
  </si>
  <si>
    <t>https://www.instagram.com/p/B7d8JNpAJ9E/?igshid=lzq8hkvrf8b2</t>
  </si>
  <si>
    <t>You Have A Scary Skeleton</t>
  </si>
  <si>
    <t>Sometimes being alone in silence can be the scariest thing. Not always due to the threat on the outside, but being alone with your own thoughts and insecurities...thats the main reason i listen to youtube everynight to fall asleep. #youtube #mentalhealth #scary #realization</t>
  </si>
  <si>
    <t>For you.. i present a mask that no one sees. This is the me i hide from the world... A few of us can accept being weird..i embrase it.</t>
  </si>
  <si>
    <t>CanRedCrossNL</t>
  </si>
  <si>
    <t>Psychological #FirstAid can be used before, during, or after a #crisis event. Learn more:  Download our FREE PFA guide here:  #mentalhealth #stormageddon2020 #nlblizzard2020 #nlstorm #newfoundland</t>
  </si>
  <si>
    <t>http://bit.ly/2PLkOtK
http://bit.ly/2QQLwEq</t>
  </si>
  <si>
    <t>https://pbs.twimg.com/media/EOk8Yg2WsAEdwgF.jpg</t>
  </si>
  <si>
    <t>17 Major's Path, St. John's</t>
  </si>
  <si>
    <t>Sharing Canadian Red Cross events, programs and services across Newfoundland and Labrador. Official bilingual Atlantic account at @canredcrossATL</t>
  </si>
  <si>
    <t>http://www.redcross.ca/nl</t>
  </si>
  <si>
    <t>Equinox RTC</t>
  </si>
  <si>
    <t>Can smokingt affect our mental and emotional well-being? A new study suggests that it can, after finding a link between smoking cigarettes and depression. Check out this article from Medical News Today to learn more:  #EquinoxRTC #Depression #MentalHealth</t>
  </si>
  <si>
    <t>http://bit.ly/2NkPYJp</t>
  </si>
  <si>
    <t>Groundbreaking residential treatment center for teen boys 14-18 located in the Blue Ridge mountains of WNC</t>
  </si>
  <si>
    <t>https://www.equinoxrtc.com/</t>
  </si>
  <si>
    <t>Jane Jackson</t>
  </si>
  <si>
    <t>Looking for a job and feeling lonely? Emotional Support for #JobSeekers podcast episode is now 'live'  #mentalhealth</t>
  </si>
  <si>
    <t>https://goo.gl/jMGZME</t>
  </si>
  <si>
    <t>https://pbs.twimg.com/media/EOk8J5BXUAAMcW1.jpg</t>
  </si>
  <si>
    <t>Sydney | Hong Kong | Singapore</t>
  </si>
  <si>
    <t>I help you to create your Dream Job ⭐️ #CareerCoach ⭐️ Author of Navigating Career Crossroads (Best Seller) ⭐️ YOUR CAREER Podcast Host ⭐️ HuffPost Blogger</t>
  </si>
  <si>
    <t>https://linktr.ee/janecareercoach</t>
  </si>
  <si>
    <t>Feeling Like There’s Never Enough Time ||  == #mentalhealth #gad #anxiety #depression #bipolar #mhsm #mhchat</t>
  </si>
  <si>
    <t>https://bit.ly/2RjJdZB</t>
  </si>
  <si>
    <t>https://pbs.twimg.com/media/EOk8HJJXkAE2L3i.jpg</t>
  </si>
  <si>
    <t>Eric 🏳️‍🌈🏳️‍🌈</t>
  </si>
  <si>
    <t>I don’t feel safe. The drunks that I live with are getting a gun today. They say the world is crazy and that is all they need as a reason to get one. I already don’t feel safe with a sixteen year old with a gun. #triggered #mentalhealth</t>
  </si>
  <si>
    <t>I’m just me. #PTSD #chronicinsomnia #streamer #LGBT</t>
  </si>
  <si>
    <t>https://www.twitch.tv/purplelambda</t>
  </si>
  <si>
    <t>Ali Zeck</t>
  </si>
  <si>
    <t>In order to level up in our lives &amp; achieve true emotional &amp;amp; mental health we have to realize &amp;amp; accept that people who constantly disrespect and violate our #boundaries are huge threats to our #mentalhealth b/c they constantly keep us in fight or flight. #selfempowerment #evolve</t>
  </si>
  <si>
    <t>Societal Systems Disruptor. Trauma &amp; Abuse Transmuter. Misdiagnosed &amp; Abused by Psychiatry. Drug Free. Suicide Survivor &amp; Coach for Kelly Brogan MD.</t>
  </si>
  <si>
    <t>BP_Girl</t>
  </si>
  <si>
    <t>If I don’t exercise every day my depression, anxiety, degenerative disc disease, arthritis of the knee, Achilles tendinitis and asthma all get worse. It’s not movement it’s down right exercise. #Mentalhealth #bodyhealth</t>
  </si>
  <si>
    <t>PNW WA</t>
  </si>
  <si>
    <t>this is more of a daily journal of emotions with some other stuff tossed in. my main profile is @girlieshawnie</t>
  </si>
  <si>
    <t>Katherine Dines</t>
  </si>
  <si>
    <t>Happy 😊 #WinnieThePoohDay “Some people care too much. I think it’s called love.” —Winnie-the-Pooh Love how Eeyore’s friends always accepted him. We can learn so much from Pooh ❤️ #MentalHealth #BellLetsTalk</t>
  </si>
  <si>
    <t>pic.twitter.com/PtEdhrXKOe</t>
  </si>
  <si>
    <t xml:space="preserve">Canada's Capital ~ Ottawa </t>
  </si>
  <si>
    <t>Canadian 🇨🇦 CHEO ❤ MoM ~ Radio @MAJIC100Ottawa @iHeartRadioCA Tranplanted Maritimer 🇨🇦 #MentalHealth #LGBTQ ally 🌈 She/Her</t>
  </si>
  <si>
    <t>http://www.mensour.ca</t>
  </si>
  <si>
    <t>Kate Elliott</t>
  </si>
  <si>
    <t>17/365 Looking at old art journal pages and celebrating getting to the end of a long and busy week! My year of yes is leading to new opportunities, even if it’s a bit scary! #365daysofselfcare #artjournalpages #artjournal #mentalhealth #selfcare</t>
  </si>
  <si>
    <t>https://pbs.twimg.com/media/EOk7oy9X0AYIb0e.jpg</t>
  </si>
  <si>
    <t>York/Suffolk</t>
  </si>
  <si>
    <t>Assistant Clinical Psychologist, MSc Student, crocheter, yogi, coffee connoisseur, irrational cat mother. Craft stuff: http://etsy.me/33Y76KK All views my own.</t>
  </si>
  <si>
    <t>https://katemadecrafts.co.uk/</t>
  </si>
  <si>
    <t>Carrie H Olerich🌃🎶</t>
  </si>
  <si>
    <t>You are never healed from the outside, but certainly do not expect random strangers to "fix you." #MentalHealth therapy exists for people with zero #coping skills. #youfixyou #NAMI</t>
  </si>
  <si>
    <t>Nebraska, USA</t>
  </si>
  <si>
    <t>Driven, passionate #Communications graduate.🎓📚📝 #News🗞junkie. ❤ good #design.🖥🖱 Always evolving💞 #Travel🛫, #music 🎶 &amp; 😍 a sense of #humor!😊Welcome!🌻</t>
  </si>
  <si>
    <t>OLU-JEGZ</t>
  </si>
  <si>
    <t>By tackling #MentalHealth we’re harnessing the #PowerTo make a positive impact on the world. Thanks @BofA_News for keeping me informed on #WEF20.#mentalhealth</t>
  </si>
  <si>
    <t>MINNA</t>
  </si>
  <si>
    <t>I am simply a lover of God's words and still actively interested in what happens in my society and the world at large.</t>
  </si>
  <si>
    <t>todd woods</t>
  </si>
  <si>
    <t>Big things this year!! New year and fresh start!! Time to get my head back into a good mental state. #setgoals #newwork #mentalhealth #smash2020</t>
  </si>
  <si>
    <t>An Unapologetic Redhead</t>
  </si>
  <si>
    <t>👇🏼 Click the link below to read how I dissect &amp; dispute an age old saying! Women are not objects, prizes or commodities. We are someone, not someone's. #bloggerstribe #feminism #mentalhealth #ontheblog #WordPress #blogger #womenempowerment</t>
  </si>
  <si>
    <t>https://anunapologeticredhead.com/why-nice-guys-dont-finish-last/</t>
  </si>
  <si>
    <t>As long as they are talking about you, your name will never be forgotten.</t>
  </si>
  <si>
    <t>http://www.anunapologeticredhead.com</t>
  </si>
  <si>
    <t>Albert Stienstra</t>
  </si>
  <si>
    <t>Netherlands</t>
  </si>
  <si>
    <t>Microelectronics engineer, allergic to hype, scaremongering and lies. I block fools, zombies and people with ad hominems.</t>
  </si>
  <si>
    <t>Joseph P. Addabbo Family Health Center</t>
  </si>
  <si>
    <t>Our practice offers up-to-date, quality #MentalHealth care for acute #stress disorder, #OCD and more. Give us a call today.</t>
  </si>
  <si>
    <t>http://ow.ly/Uf0x30q1BrR</t>
  </si>
  <si>
    <t>https://pbs.twimg.com/media/EOk6-2nW4AEbrkq.jpg</t>
  </si>
  <si>
    <t>Established in 1987 to provide comprehensive health services to our residents.</t>
  </si>
  <si>
    <t>http://www.Addabbo.org</t>
  </si>
  <si>
    <t>It's always too early to quit.#fundraisingtip #mentalhealth #mindfulness #wellness #psychology #health #houston#nonprofitfundraising</t>
  </si>
  <si>
    <t>SelfPubShowcase 💥</t>
  </si>
  <si>
    <t>Lindsey, a young woman, narrates the story of her childhood growing up in an abusive home, where brutal beatings and violence took place. My Nightmare in Georgia by @ALNortonauthor #selfhelp #mentalhealth</t>
  </si>
  <si>
    <t>http://ow.ly/dECj30qaq2G</t>
  </si>
  <si>
    <t>The best books, from the best #Indieauthors, since 2013. Sister sites: @IndieBookButler &amp; @DominionEdits #amwriting #writingcommunity</t>
  </si>
  <si>
    <t>http://selfpublishersshowcase.com/promote</t>
  </si>
  <si>
    <t>Are you looking for a FREE after school or summer mentoring program for  #Houston #mentalhealth #mindfulness</t>
  </si>
  <si>
    <t>https://youtu.be/10LKmlT7CJU</t>
  </si>
  <si>
    <t>Tutti.space</t>
  </si>
  <si>
    <t>Newcastle children talk mental health thanks to puppets. The arts have always been a great tool to deliver important messages! Find out more:  #mentalhealth #performingarts</t>
  </si>
  <si>
    <t>https://buff.ly/2TDvsYx</t>
  </si>
  <si>
    <t>https://pbs.twimg.com/media/EOk6Cg3XkAAHMmx.jpg</t>
  </si>
  <si>
    <t>🇬🇧🏴󠁧󠁢󠁥󠁮󠁧󠁿 - Airbnb for rehearsal/creative spaces in London</t>
  </si>
  <si>
    <t>https://www.tutti.space</t>
  </si>
  <si>
    <t>NAMI North Texas</t>
  </si>
  <si>
    <t>Stress-related hormone cortisol lowers significantly after just 45 minutes of art creation. #MentalHealth #stress #art #ArtTherapy</t>
  </si>
  <si>
    <t>http://ow.ly/F3A230q92bN</t>
  </si>
  <si>
    <t>Mental Illness Support, Education &amp; Advocacy. Find Help. Find Hope. Find NAMI North Texas! https://www.facebook.com/NAMINTX/</t>
  </si>
  <si>
    <t>http://www.naminorthtexas.org</t>
  </si>
  <si>
    <t>The Good Men Project</t>
  </si>
  <si>
    <t>Strong Boundaries Are Critical for Healthy Relationships. Can You Stand up for Yourself? - via @pensignal  #Relationships #Health #Boundaries #Love #MentalHealth</t>
  </si>
  <si>
    <t>https://www.lnk.xyz/rkPdd9RgI?aduc=UjYq8Ak1579364302485</t>
  </si>
  <si>
    <t>We're having a conversation about what it means to be a good man. Join us! https://goodmenproject.com/registration/ info@GoodMenProject.com</t>
  </si>
  <si>
    <t>http://www.GoodMenProject.com</t>
  </si>
  <si>
    <t>Dr Nicoletta P. Lekka</t>
  </si>
  <si>
    <t>“Risk factors that increase #MentalHealth disorders in #athletes incl. athletic injury, extreme pressure in multiple facets of life, a "no-excuse" culture in which athletes minimize or deny feelings, &amp; stunted identity development.” #SportsPsychiatry #NBA</t>
  </si>
  <si>
    <t>https://www.medscape.com/viewarticle/923347</t>
  </si>
  <si>
    <t>Consultant Psychiatrist @SHSCFT | Hon Senior Clinical Lecturer @Sheffielduni | Certified Coach @EMCCounc1l | Exec committee Dance Liaison #SEPSIG @rcpsych</t>
  </si>
  <si>
    <t>http://www.linkedin.com/in/nicoletta-p-lekka-a5764b135</t>
  </si>
  <si>
    <t>SLAM</t>
  </si>
  <si>
    <t>#25 in the #SLAMinutes goes #mental lineup is an great &amp; honest piece about #mentalhealth by @jrrobinson20⠀ .⠀ 2nd Feb 16:45 @vaultfestival TIX ⠀ .⠀ #mentalhealth #mentalhealthmatters #spokenword</t>
  </si>
  <si>
    <t>https://buff.ly/2MHv2Mf</t>
  </si>
  <si>
    <t>https://pbs.twimg.com/media/EOk5XkiWAAE4YIZ.jpg</t>
  </si>
  <si>
    <t>#SLAMinutes 2019 here https://shoreditchtownhall.com/whats-on/slaminutes-2019-special &amp; VAULT Fest here https://vaultfestival.com/whats-on/slam-minutes/</t>
  </si>
  <si>
    <t>http://www.SLAM.org.uk</t>
  </si>
  <si>
    <t>Listen to this video if you want to understand more the suicidal thoughts. #mentalhealth</t>
  </si>
  <si>
    <t>https://fbwat.ch/1OpU1muP2FWYVz5o</t>
  </si>
  <si>
    <t>Antonio Campos</t>
  </si>
  <si>
    <t>HADability</t>
  </si>
  <si>
    <t>It's your mid-month check-up... how we all doing? This month we hope you're: 💙 Taking regular breaks &amp; getting plenty of rest 💚 Being creative with your time 💛 Reaching out to your elders to check they're ok 💜 Meeting your #mentalhealth goals #WeekendThoughts</t>
  </si>
  <si>
    <t>https://pbs.twimg.com/media/EOk457dX4AAZRGl.png</t>
  </si>
  <si>
    <t>Welwyn Garden City, Herts</t>
  </si>
  <si>
    <t>We are a charity helping older and disabled people in Herts and beyond, supplying disability equipment and services, enhancing independence and mobility.</t>
  </si>
  <si>
    <t>http://www.hadnet.org.uk</t>
  </si>
  <si>
    <t>Ajay</t>
  </si>
  <si>
    <t>I'd suggest people read this piece by @towhey - It will make you think about many of the inequities of #healthcare and #mentalhealth in #Canada. You may not agree, but you will be forced to think about many uncomfortable issues - And that is a good thing. #cdnpoli RT @towhey: TOWHEY: Canada should allow assisted suicide for those with mental illness #healthcare #mentalhealth #suicide #SupremeCourt</t>
  </si>
  <si>
    <t>https://twitter.com/towhey/status/1218555074231881729
https://torontosun.com/opinion/columnists/towhey-canada-should-allow-assisted-suicide-for-those-with-mental-illness/</t>
  </si>
  <si>
    <t>I Teach and Research | Env Gov, Eco &amp; Special Needs Policy | Prof S #MatterOfFact Co-Host #FU_Politics | #cdnpoli | #onpoli |</t>
  </si>
  <si>
    <t>https://podcasts.apple.com/ca/podcast/fu-politics/id1472299923</t>
  </si>
  <si>
    <t>15/365 Weird recovery celebration. I was very much starting to struggle with food in sixth form, this was probably the first ‘proper’ school dinner I’ve eaten in about 12 years. Self care over weird memories of school canteens! #365daysofselfcare #edrecovery #mentalhealth #hope</t>
  </si>
  <si>
    <t>https://pbs.twimg.com/media/EOk4q7-W4AA1nPj.jpg</t>
  </si>
  <si>
    <t>Alarming' one in five deaths due to sepsis #health #mentalhealth #healthcare #wellness #healthissues #care #goodhealth</t>
  </si>
  <si>
    <t>https://bhive.nectar.social/Aax5Rz</t>
  </si>
  <si>
    <t>Karen Clarke</t>
  </si>
  <si>
    <t>14-24 and interested in sharing your experience of #CAMHS in #GreaterManchester? Deets in the photo #mentalhealth #cyp #speakyourmind</t>
  </si>
  <si>
    <t>https://pbs.twimg.com/media/EOk4i9gX4AExZNv.jpg</t>
  </si>
  <si>
    <t>Project Manager at @gmhscp Views my own Trustee at Heart and Parcel @heartandparcel Mental Health Arts Music Community</t>
  </si>
  <si>
    <t>Silver Hill Hospital</t>
  </si>
  <si>
    <t>As 2020 kicks off, representatives of #silverhillhospital will be attending many national conferences on #mentalhealth and #addiction. For those of you who have been to these conferences, what are your FAVORITE and LEAST FAVORITE giveaways?</t>
  </si>
  <si>
    <t>https://bit.ly/2u9oMX3</t>
  </si>
  <si>
    <t>New Canaan, CT</t>
  </si>
  <si>
    <t>Our mission is to provide treatment for mental illness and addiction, and to offer continuing support to our patients and their families. 800-899-4455</t>
  </si>
  <si>
    <t>http://www.silverhillhospital.org</t>
  </si>
  <si>
    <t>When Art Meets Psychological Testing -  #art #psychology #mentalhealth</t>
  </si>
  <si>
    <t>http://www.naturibeauty.com/art-psychological-testing/</t>
  </si>
  <si>
    <t>Your gift is extremely valued as it means we can continue to offer #free #afterschool programs to children with #mentalhealth issues.</t>
  </si>
  <si>
    <t>Sober Theory</t>
  </si>
  <si>
    <t>100 years ago today alcohol was prohibited in the US. You don't need to be an historian to know it was a disaster, and yet we are still trying to "help" addicts by banning substances and criminalizing use. #prohibition100 #recovery #sober #mentalhealth</t>
  </si>
  <si>
    <t>https://www.bbc.com/news/world-us-canada-51090163</t>
  </si>
  <si>
    <t>Reach sobriety and thrive. Support, tools, practical strategies, and education for professionals and entrepreneurs to get and stay sober.</t>
  </si>
  <si>
    <t>https://www.sobertheory.com</t>
  </si>
  <si>
    <t>The Rebellious Psychiatrist</t>
  </si>
  <si>
    <t>Another day passed and still I haven't "find the value of X" in my life. #Mathematics #MentalHealth</t>
  </si>
  <si>
    <t>Mental Health</t>
  </si>
  <si>
    <t>MBBS, MD(Psychiatry) , DM Resident (Addiction Psychiatry) #MentalHealth हिपाक्रसी कम सार्कास्टिक ज़्यादा Tweets Personal, RT ≠ endorsement</t>
  </si>
  <si>
    <t>University of New Haven</t>
  </si>
  <si>
    <t>.@iamalvintran, an assistant professor in #UNewHaven's Health Administration and Policy Department, is creating the Health Equity and Advocacy Fellowship to support #research efforts around #MentalHealth care. #HealthSciences #SuccessStartsHere</t>
  </si>
  <si>
    <t>http://bit.ly/38998d5</t>
  </si>
  <si>
    <t>West Haven, CT</t>
  </si>
  <si>
    <t>Destination school where talented students take charge of their learning. #SuccessStartsHere #UNewHaven100</t>
  </si>
  <si>
    <t>http://www.newhaven.edu/</t>
  </si>
  <si>
    <t>James Betts</t>
  </si>
  <si>
    <t>Much needed #Saturday #Winter walk #cavapoo #yorkshire #exercise #mentalhealth</t>
  </si>
  <si>
    <t>https://pbs.twimg.com/media/EOk3dC2X4AEHbEQ.jpg</t>
  </si>
  <si>
    <t>Bungling through life one day at a time</t>
  </si>
  <si>
    <t>Resources to Recover</t>
  </si>
  <si>
    <t>5 Things You Need to Know About Device Addiction #mentalhealth #MentalHealthAwareness #DeviceAddiction #addiction</t>
  </si>
  <si>
    <t>https://buff.ly/2NAY2Wx</t>
  </si>
  <si>
    <t>https://pbs.twimg.com/media/EOk3Ss6XUAAqSNe.jpg</t>
  </si>
  <si>
    <t>We help families affected by #mentalhealth conditions find the resources they need. Mental health recovery is real #myMHrecovery</t>
  </si>
  <si>
    <t>http://www.rtor.org</t>
  </si>
  <si>
    <t>my tropical paradise 🏝</t>
  </si>
  <si>
    <t>Bought this lovely Phal in Morrison’s half price £3.50 always repot straight away as they are usually in this yucky soil plug which is main killer of them mix is reptile bark leca &amp; perlite love T 💕 #orchids #orchidcommunitychatter #mytropicalparadise #mentalhealth #inspiration</t>
  </si>
  <si>
    <t>pic.twitter.com/TAvvY9vYXQ</t>
  </si>
  <si>
    <t>Personal blog fashion orchids gardening positivity inspiration always learning amazed how much the universe gives back 💕IG : ladytereska</t>
  </si>
  <si>
    <t>Why #selflove matters to your #mentalhealth #SaturdayMotivation RT @PsychToday: What having self-love really means—and why it can be such a challenge for many people</t>
  </si>
  <si>
    <t>https://twitter.com/PsychToday/status/1218458757417590784
http://bit.ly/2KMhFv1</t>
  </si>
  <si>
    <t>Alshepmcr</t>
  </si>
  <si>
    <t>You won’t change the way I feel (#Thesmiths #isitreallysostrange) #alshepmcr #streetart #mentalhealth #autism #stigma #nonjudgmental #nhsstaff @ManchesterMusi4 @TrustFox @LettersToMoz @Mozzer_bot @winachitribe @stephenclarke17 @ilovegraffiti @MaraudersJFC @OxtonPowers</t>
  </si>
  <si>
    <t>pic.twitter.com/DCJKHV9Lcy</t>
  </si>
  <si>
    <t xml:space="preserve">Manchester </t>
  </si>
  <si>
    <t>WE STEAL YOUR MIND lo fi visceral street artist 🦊mental health micromovies beatnik urban art instagram alshepmcr</t>
  </si>
  <si>
    <t>alicia kasjanski</t>
  </si>
  <si>
    <t>Being an army vet .. soemtimes it's fun to laugh at yourself ad mental health therapy. Dont underestimate the power of smiling and laughter. But also dont be scared to ask for help. Food for thought today #mentalhealth #laughteristhebestmedicine #armyvet #ihaveptsd #love</t>
  </si>
  <si>
    <t>https://pbs.twimg.com/media/EOk26xNXsAE7-wi.jpg</t>
  </si>
  <si>
    <t>tuttle OK</t>
  </si>
  <si>
    <t>5 year army vet. full time mom, culinarian, future food network star tatted up chef</t>
  </si>
  <si>
    <t>Great summary of steps to #recovery #mentalhealth RT @Upcycledadultin: My Path To Mental Illness Recovery  #affirmations #ptsd</t>
  </si>
  <si>
    <t>https://twitter.com/Upcycledadultin/status/1218372857841012736
https://is.gd/RPIoUP</t>
  </si>
  <si>
    <t>DR</t>
  </si>
  <si>
    <t>Really trying to get my anxiety under control. A friend just shared this about Box Breathing and finally, I can breathe after having another panic attack (s). Friends who get it are lifelines. Literary. #mentalhealth Box Breathing  via @healthline</t>
  </si>
  <si>
    <t>https://www.healthline.com/health/box-breathing?utm_medium=social&amp;utm_source=twitter&amp;utm_campaign=social-sharebar-referred-desktop</t>
  </si>
  <si>
    <t>MSc &amp; CX Digital Health and Wearables 🗣equity, mental health, patient-centered care, community opinions are my own she/her 📌🇨🇦🇯🇵🇧🇩🇦🇹🇬🇧</t>
  </si>
  <si>
    <t>https://pbs.twimg.com/media/EOk22euW4AAYgtb.jpg</t>
  </si>
  <si>
    <t>Amy Turberville</t>
  </si>
  <si>
    <t>Honored to be a part of this wonderful anthology from @byme_poetry All of the proceeds benefit @beyondblue #mentalhealth</t>
  </si>
  <si>
    <t>https://pbs.twimg.com/media/EOk2pzXXkAADJ3x.jpg</t>
  </si>
  <si>
    <t>Real | Raw | Resilient🌻 Current #WIP Bedtime Rhymes #poet #writer #theangelinthedarkness #wildflowerwarriors #indieauthor #writingcommunity</t>
  </si>
  <si>
    <t>http://www.blurb.com/ebooks/656264-the-angel-in-the-darkness</t>
  </si>
  <si>
    <t>Sagacyte</t>
  </si>
  <si>
    <t>I wish I could translate all this thread so you can enjoy it... but for now, allow me to just share it. If you can read Spanish, check it out. #mentalHealth RT @yavecesnieso: Me tatué "paciència" en el brazo, así en valenciano, porque mi abuela siempre me decía "pasènsia, Eva". Tuvo agorafobia desde los 35 hasta los 50. Nunca lo supo nadie, viuda y con tres hijxs a su cargo, se lo calló y lo luchó sola. A mis 18 desarrollé agorafobia yo. La primera -&gt;</t>
  </si>
  <si>
    <t>https://twitter.com/yavecesnieso/status/1217984234738065408</t>
  </si>
  <si>
    <t>https://pbs.twimg.com/media/EOcmMsTWAAAha0I.jpg</t>
  </si>
  <si>
    <t>GYE, EC</t>
  </si>
  <si>
    <t>Gamer and front end web guy | Proposer of permanent three-day weekends | #Destiny2 #FFXIV and whatever else tickles my fancy | I need more free time.</t>
  </si>
  <si>
    <t>Crowned Daemon</t>
  </si>
  <si>
    <t>Simulacracea, a visual novel game about AI and mental health, is raising money on Indiegogo to get localized! We're currently halfway to our goal! Any support would be greatly appreciated!  #indiedev #gamedev #screenshotsaturday #visualnovel #mentalhealth</t>
  </si>
  <si>
    <t>https://www.indiegogo.com/projects/simulacracea-visual-novel-game/x/22820792#/</t>
  </si>
  <si>
    <t>https://pbs.twimg.com/media/EOk2ro8X0Ac8468.png</t>
  </si>
  <si>
    <t>New Hampshire</t>
  </si>
  <si>
    <t>We're your favorite indie game studio, you just don't know it yet. We are the developers behind Freak, Hero Boy, and Simulacracea!</t>
  </si>
  <si>
    <t>http://www.crowneddaemonstudios.net</t>
  </si>
  <si>
    <t>AIM ATTITUDE</t>
  </si>
  <si>
    <t>Read on Any Device Take every word, every sentence, every knowledge everywhere you go. Download e-Books directly from our platform #Mentalhealth #EmotionalIntelligence #emotions #ATTITUDE #aimattitude #help #EducationForAll #educate #educateyourself #believe</t>
  </si>
  <si>
    <t>https://pbs.twimg.com/media/EOk2r7HU4AAG9ML.jpg</t>
  </si>
  <si>
    <t>New York, NY / Los Angeles, CA</t>
  </si>
  <si>
    <t>AIM, The Path Of Life. AIM ATTITUDE - The Ultimate Driving Force 🌬 💪🏼 The BRIDGE 🌉 ✊🏾 To A Greater Evolution❤️ 🌍</t>
  </si>
  <si>
    <t>https://aimattitude.com</t>
  </si>
  <si>
    <t>Susan we are sorry for your loss. 💔 Susan is a mother that lost his son three years ago. Please support her and help us share his story. 🧡 #mentalhealth RT @SUSANVEST13: @anneju_lol @Alyssa_Milano Today is 3 years</t>
  </si>
  <si>
    <t>https://twitter.com/SUSANVEST13/status/1218547083059265537
https://m.facebook.com/story.php?story_fbid=10210835570509810&amp;id=1367793174</t>
  </si>
  <si>
    <t>Danielle Boose-McDowell</t>
  </si>
  <si>
    <t>Supporting my friend Lauren Hope as we audition individuals for Auditions: This Is My Brave Hampton Roads. #MentalHealth #EndTheStigma — at Chesapeake Public Library</t>
  </si>
  <si>
    <t>https://www.facebook.com/66104195/posts/10101749710518552/</t>
  </si>
  <si>
    <t>Everywhere</t>
  </si>
  <si>
    <t>#Counselor ~ #LifeCoach ~ #BestsellingAuthor ~#Educator ~ #Trainer ~ #Advocate Contact 4 booking daniellelboose@gmail.com</t>
  </si>
  <si>
    <t>http://www.myhealing.space</t>
  </si>
  <si>
    <t>Angel Magnanimo</t>
  </si>
  <si>
    <t>By tackling #MentalHealth we’re harnessing the #PowerTo make a positive impact on the world. Thanks @BofA_News for keeping me informed on #WEF20. #MentalHealth also covers the other 3 issues within common sense, human solidarity and fair opportunities worldwide. God Bless BOA</t>
  </si>
  <si>
    <t>Seamos portavoces de la Luz y la Verdad hasta hallar El Camino a la Libertad. Amen</t>
  </si>
  <si>
    <t>Nview Health</t>
  </si>
  <si>
    <t>The "Invisibility" of Mental Illness: Parity with physical illness could help reduce the stigma. - READ:  @psychtoday #Psychology #MentalHealth #BehavioralHealth #RemovingTheStigma #Stigma #MentalIllness</t>
  </si>
  <si>
    <t>http://bit.ly/2R1gHwU</t>
  </si>
  <si>
    <t>Atlanta, Georgia</t>
  </si>
  <si>
    <t>Innovative software solutions to better identify, treat and monitor behavioral health conditions, featuring the world’s most trusted assessment, the M.I.N.I.</t>
  </si>
  <si>
    <t>http://www.nviewhealth.com</t>
  </si>
  <si>
    <t>Are you worried about your child's stuttering? @zombieautopsies shares his thoughts in our #video:  #wecanmanagethis #mentalhealth</t>
  </si>
  <si>
    <t>https://www.youtube.com/watch?v=VJuZ5wM1_AM</t>
  </si>
  <si>
    <t>🗣Major focus on #mentalhealth at #Davos2020 &gt;&amp;gt; #timetoinvest @gospeakyourmind @wef @GlobalShapers @GateraGrace @gabi_pavarini @BeGOOD_EIE @OxPsychiatry @global_peer</t>
  </si>
  <si>
    <t>https://time.com/collection/davos-2020-mental-health/</t>
  </si>
  <si>
    <t>Ophea</t>
  </si>
  <si>
    <t>If the start of a new year (and decade!) has you feeling motivated, though, here are some tips from @CMHA_NTL to guide you in setting your resolution:  #MentalHealth</t>
  </si>
  <si>
    <t>https://bit.ly/2FT8BzS</t>
  </si>
  <si>
    <t>Healthy Schools. Healthy Communities. A not-for-profit with a vision that all kids value, participate in and make a lifelong commitment to healthy active living</t>
  </si>
  <si>
    <t>http://www.ophea.net</t>
  </si>
  <si>
    <t>Anjuli Nunn</t>
  </si>
  <si>
    <t>I am felt, I am seen, I come careening down The boulevard, Whilst crowds of daisies line up Wanting to see more Of what life has in store For me. ~ A.N. #poem #poet #poetry #UnjuliWrites #hope #courage #SickNotWeak #MentalHealth #MentalHealthAwareness #keeptalkingMH</t>
  </si>
  <si>
    <t>Poet, Writer | #MentalHealth advocate | #psychology student. Views my own.</t>
  </si>
  <si>
    <t>http://www.patreon.com/unjuliwrites</t>
  </si>
  <si>
    <t>Dumisani Mahlangu</t>
  </si>
  <si>
    <t>Motse-Kapa</t>
  </si>
  <si>
    <t>I was born in the rurals. I am a herdboy, a hewer of woods, and a collector of water.</t>
  </si>
  <si>
    <t>http://dumirocks.wordpress.com</t>
  </si>
  <si>
    <t>Nursingworld Nigeria</t>
  </si>
  <si>
    <t>Great concept and presentation guys on #mentalhealth and #MentalHealthAwareness RT @g_eniola:</t>
  </si>
  <si>
    <t>https://twitter.com/g_eniola/status/1217851777422413825</t>
  </si>
  <si>
    <t>pic.twitter.com/8k9dcDBL9V</t>
  </si>
  <si>
    <t>Professional and social networking site for Nigerian nurses.</t>
  </si>
  <si>
    <t>http://www.nursingworldnigeria.com</t>
  </si>
  <si>
    <t>“Keep your face always toward the sunshine - and shadows will fall behind you.” – Walt Whitman ---------------- #talk2lauren #laurenpresutti #mentalhealth #mentalillness #psychology #socialwork</t>
  </si>
  <si>
    <t>https://pbs.twimg.com/media/EOk1V_QWAAALmBa.jpg</t>
  </si>
  <si>
    <t>TENNISSANCE Method</t>
  </si>
  <si>
    <t>Are #Tennis Players Aware that developing 1 Arm is neither Mentally or Physically Healthy? If they are, they are Ignoring it. #awareness #ignorance #mentalhealth #physicalhealth #holistichealth #ambidextrous #dexterity #mindbodyhealth #sportsaddiction #socialretardation #zombie</t>
  </si>
  <si>
    <t>Renaissance of Tennis | Mind/Body Exercise | Exercise Science | Ambidextrous | Holistic Health | Mind/Body/Spirit | Genius: @Kenneth_Loch | tennissance@gmail</t>
  </si>
  <si>
    <t>https://www.youtube.com/playlist?list=PLZ2QT5HxHgS6LuicbFt5Cm8JHs1vP_Le9</t>
  </si>
  <si>
    <t>Vulnerability is strength. #mentalhealth</t>
  </si>
  <si>
    <t>I Am K;tty</t>
  </si>
  <si>
    <t>Getting out and about is hard to do, but so rewarding when you struggle with #mentalhealth. Today, I'm out supporting my local football team @bradfordparkave #properbradford #bradfordparkavenue</t>
  </si>
  <si>
    <t>https://pbs.twimg.com/media/EOk1e6eX4AAcSa7.jpg</t>
  </si>
  <si>
    <t>Mental Health Battler &amp; Blogger. UK</t>
  </si>
  <si>
    <t>https://iamkittyuk.wordpress.com/</t>
  </si>
  <si>
    <t>"If you want to live a long life, focus on making contributions." Hans Selye #JoyTrain #Joy #Love #Kindness #MentalHealth #Mindfulness #GoldenHearts #IAM #ChooseLove #SaturdayMorning #SaturdayMotivation #SaturdayThoughts #ThinkBIGSundayWithMarsha Thank you, dear Beth! RT @BethFratesMD: "If you want to live a long life, focus on making contributions." Hans Selye We are happy when we are giving of ourselves and helping others. This brings a special type of joy like no other.☀️ #SaturdayThoughts #SaturdayMorning #IAM #JoyTRAIN</t>
  </si>
  <si>
    <t>https://twitter.com/BethFratesMD/status/1218530020320333824</t>
  </si>
  <si>
    <t>https://pbs.twimg.com/media/EOkWl1dXkAM3mFU.jpg</t>
  </si>
  <si>
    <t>The Kettle Society</t>
  </si>
  <si>
    <t>What is the difference between mental health &amp; mental illness? Just as someone who feels unwell may not have a serious illness, people may have poor #mentalhealth without a #mentalillness. Learn more:</t>
  </si>
  <si>
    <t>http://ow.ly/Ubh350xUEZt</t>
  </si>
  <si>
    <t>https://pbs.twimg.com/media/EOk1e7EWoAENvkv.jpg</t>
  </si>
  <si>
    <t>Empowering community STRENGTH THROUGH MENTAL HEALTH with outreach, advocacy, mental + physical health services, employment and housing.</t>
  </si>
  <si>
    <t>http://www.thekettle.ca/donate</t>
  </si>
  <si>
    <t>A Limited Life</t>
  </si>
  <si>
    <t>Sending hugs to everyone this Saturday, you are enough❤ Lots of love, K x #SaturdayMorning #mentalhealth #mentalhealthawareness #blogger #letstalkaboutit #Gloucestershire #glostalks #SaturdayVibes #SaturdayMotivation #YouAreEnough</t>
  </si>
  <si>
    <t>https://pbs.twimg.com/media/EOk1bK6X4AEIIKA.jpg</t>
  </si>
  <si>
    <t>Mental Health Blog❤ Follow my Facebook, Instagram &amp; Youtube for more content: A Limited Life K xx</t>
  </si>
  <si>
    <t>Dr. Clifford Ball</t>
  </si>
  <si>
    <t>14 Scientific Benefits of #Yoga for #Physical &amp; #MentalHealth:</t>
  </si>
  <si>
    <t>http://ow.ly/PXxY30q5r6l</t>
  </si>
  <si>
    <t>https://pbs.twimg.com/media/EOk1XfhX0AAWbr-.jpg</t>
  </si>
  <si>
    <t>Surprise, AZ</t>
  </si>
  <si>
    <t>From PRP therapy to HD Body Sculpting we strive to achieve our patients’ aesthetic goals. No longer do patients need to visit multiple doctors! #exosomes #NADH</t>
  </si>
  <si>
    <t>http://www.myreflexionmedical.com</t>
  </si>
  <si>
    <t>https://pbs.twimg.com/media/EOk1XFAWkAACLrx.jpg</t>
  </si>
  <si>
    <t>MycoMeditations</t>
  </si>
  <si>
    <t>🍄 “Evolution of mankind is paralleled by the increase and expansion of consciousness.” – Albert Hofmann #mycomeditations #mycology #mushrooms #mushroom #shrooms #psychedelic #healing #treatment #therapy #change #growth #transformation #mindset #mentalhealth #discipline</t>
  </si>
  <si>
    <t>https://pbs.twimg.com/media/EOk1VzZUcAYayOb.jpg</t>
  </si>
  <si>
    <t>Psilocybin Retreat Center • Jamaica 🇯🇲 • Self-Discovery/Personal Growth • Depression • Anxiety • Trauma • Addiction</t>
  </si>
  <si>
    <t>http://www.mycomeditations.com</t>
  </si>
  <si>
    <t>5 Essential Mental Wellness Activities ||  == #mentalhealth #wellness #mentalwellnessmonth #mhsm #mhchat</t>
  </si>
  <si>
    <t>https://bit.ly/2NgS90j</t>
  </si>
  <si>
    <t>https://pbs.twimg.com/media/EOk1TlzWkAA_e8t.jpg</t>
  </si>
  <si>
    <t>EducationQuest</t>
  </si>
  <si>
    <t>There is help if you experience mental health struggles in college. Read this blog to learn more about mental health resources for college students.  #college #mentalhealth #advice</t>
  </si>
  <si>
    <t>https://eqf.org/2TmZ8J9</t>
  </si>
  <si>
    <t>https://pbs.twimg.com/media/EOk1P-EXsAYoWgy.jpg</t>
  </si>
  <si>
    <t>EducationQuest Foundation is a private, nonprofit organization with a mission to improve access to higher education in Nebraska.</t>
  </si>
  <si>
    <t>http://www.EducationQuest.org</t>
  </si>
  <si>
    <t>HQ Cadet Branch, Regional Command</t>
  </si>
  <si>
    <t>Our fantastic Ambassador Jordan Wylie chatting about mental well-being 👏👏⤵️⤵️⤵️ #ACFConf20 #mentalhealth</t>
  </si>
  <si>
    <t>https://pbs.twimg.com/media/EOk1Cs6WkAUZUaQ.jpg</t>
  </si>
  <si>
    <t>Aldershot, England</t>
  </si>
  <si>
    <t>HQ Cadet Branch, Regional Command, representing the Cadet Forces for the Army Cadets, CCF &amp; ACF</t>
  </si>
  <si>
    <t>#Hello my name is Rachel</t>
  </si>
  <si>
    <t>Third time lucky... I was asked by a #nurse #academic colleague to answer 5 questions aimed at women's #mentalhealth inpatient services regarding #sexualsafety. I thought I would share it here in case anyone else wishes to use it as a resource</t>
  </si>
  <si>
    <t>https://youtu.be/VJopFWiIGR8</t>
  </si>
  <si>
    <t>#RCNiAwards mental health #Nurse of 2019: #LetsTalkAboutSex. Tweets mainly about working in, living with mental illness #EUPD / #BPD Believer in🥄theory.</t>
  </si>
  <si>
    <t>http://reflectionreflectionreflection.blogspot.com</t>
  </si>
  <si>
    <t>Benjamin Barreiro</t>
  </si>
  <si>
    <t>Be aware when you are self-sabotaging yourself, understand why you keep doing it. When you finally discover the reason of your self-sabotage, you can then move on and have what you really wanted in life. #mental #mentalhealth #MentalHealthAwareness #CarlJung #psychology</t>
  </si>
  <si>
    <t>Matthew Williams</t>
  </si>
  <si>
    <t>Thank you @GoodMenProject for publishing my post detailing a very difficult time in my life that led to some major changes. Never give up! #mentalhealth The Bravest Thing I’ve Ever Done</t>
  </si>
  <si>
    <t>https://goodmenproject.com/featured-content/the-bravest-thing-ive-ever-done-kpkn/</t>
  </si>
  <si>
    <t>Author, speaker, passionate about mental health. ‘Something Changed - Stumbling Through Divorce, Dating &amp; Depression’: https://www.amazon.co.uk/dp/1912218143</t>
  </si>
  <si>
    <t>http://www.lovelaughtertruthblog.com/</t>
  </si>
  <si>
    <t>Cat Vallis</t>
  </si>
  <si>
    <t>When people mess you around even after you've explained you're #mentalhealth issues! #SickNotWeak #badweekend #feelinglow</t>
  </si>
  <si>
    <t>Belper</t>
  </si>
  <si>
    <t>ALLAN OLIVEIRA</t>
  </si>
  <si>
    <t>thebadhabitkicker</t>
  </si>
  <si>
    <t>Can you reframe a bad experience? #SelfHelp #BadHabits #MentalHealth #ImproveYourLife #SelfImprovement #TheBadHabitKicker #BreneBrown #GabrielleBurnstein #HalElrod #TheMiracleMorning #RachelHollis #MarieForleo #TonyRobbins #5SecondRule #AtomicHabits #WayneDyer #DaleCarnegie</t>
  </si>
  <si>
    <t>https://pbs.twimg.com/media/EOk0yNHWsAI4r1V.jpg</t>
  </si>
  <si>
    <t>An easy-to-implement technique to help you to kick your bad habits once and for all, to allow you to build the life of your dreams!</t>
  </si>
  <si>
    <t>https://rxe.me/3HYZ2M</t>
  </si>
  <si>
    <t>Toluse Francis</t>
  </si>
  <si>
    <t>Director World Federation for Mental Health| Mental Health Thought Leader |Therapist |Author |Youtuber @glblctzn Author</t>
  </si>
  <si>
    <t>http://shor.by/tolusefrancis</t>
  </si>
  <si>
    <t>Caitlin O'Connor</t>
  </si>
  <si>
    <t>#Mentalhealth is about so much more than mindfulness/meditation. It’s about refusing to stay silent,letting kids,teachers,parents&amp;everyone in a school community tell their story&amp;amp; loving them through it. Even if you don’t have a mental health challenge, #EveryoneKnowsSomeone 💚</t>
  </si>
  <si>
    <t>Merrick</t>
  </si>
  <si>
    <t>I teach hope with a side of English. Google, @newsela, @kahoot Certified Educator, @edutopia writer, @buncee ambassador, mental health advocate, she/her</t>
  </si>
  <si>
    <t>https://www.sites.google.com/home/s136news</t>
  </si>
  <si>
    <t>I'm out of the hospital and feeling much better. I tried to kill myself monday night. It was really impulsive. I took a whole bottle of lithium and had to go to ICU. I'm ready to start my life again. 🙂 #mentalhealth #bpd #MentalHealthAwareness RT @thebpdbabe: In the hospital 😔 Transfering to psych inpatient So much shame 😔 #bpd</t>
  </si>
  <si>
    <t>https://twitter.com/thebpdbabe/status/1217502619477905408</t>
  </si>
  <si>
    <t>You really want something but you find the right excuse for not doing it, or maybe you have got it but find a way to lose it. #selfhelp #mentalhealth #MentalHealthAwareness #mental #psychology #CarlJung</t>
  </si>
  <si>
    <t>Still got Passion fruit and lots of flowers in the font garden! Only planted this lot last June, all from seeds or splits from the back garden 😉. #gardening #BeKind #photography #seeds #newlife #mentalhealth #SaturdayMotivation</t>
  </si>
  <si>
    <t>https://pbs.twimg.com/media/EOk0hGUWkAc8OGG.jpg</t>
  </si>
  <si>
    <t>PratyushSinhaFdn</t>
  </si>
  <si>
    <t>Love and kindness is like water and mindfulness gives us access to these innate human capacities. #mindfulnessmatters #love #kindness #connection #mindfulnessintheclassroom #mindfulkids #community #mentalhealth…</t>
  </si>
  <si>
    <t>https://www.instagram.com/p/B7d4GypFm05/?igshid=63gcbd0whyz1</t>
  </si>
  <si>
    <t>Allentown, PA</t>
  </si>
  <si>
    <t>Provides life skills training through yoga and mindfulness to at risk youth in schools in Lehigh valley.</t>
  </si>
  <si>
    <t>http://pratyushsinhafoudation.org</t>
  </si>
  <si>
    <t>Dr TINA RAE</t>
  </si>
  <si>
    <t>Every day needs to be a #WinnieThePoohDay What a better place it would be! #mentalhealth #edutwitter #wellbeing #psychology #positivepsychology #3kindacts RT @CharlieWtrust: Why not check in with your loved ones today to see how they are doing? #WinnieThePoohDay 🍯 “I don’t feel very much like Pooh today," said Pooh. "There there," said Piglet. "I’ll bring you tea and honey until you do.” #mentalhealth #wellbeing</t>
  </si>
  <si>
    <t>https://twitter.com/CharlieWtrust/status/1218473141124636678</t>
  </si>
  <si>
    <t>https://pbs.twimg.com/media/EOji3OUWoAEcf5H.jpg</t>
  </si>
  <si>
    <t>Faversham, England</t>
  </si>
  <si>
    <t>Child Psychologist, prolific author, expert on the social, emotional and mental health of children &amp; YP #wellbeing #mentalhealth #psychology #nurture</t>
  </si>
  <si>
    <t>C. Brown</t>
  </si>
  <si>
    <t>There are a lot of powerful pharmaceutical companies that indirectly dictate how you live. If you need meds, take meds. But speak up. Be a voice. Self-advocate. Ask questions. Report side-effects. Question your psychiatrist. Many are just pill pushers. #MentalHealth</t>
  </si>
  <si>
    <t>Phoenix, AZ</t>
  </si>
  <si>
    <t>Ron Swanson / Mere Christianity. MS Psychology. #MentalHealth advocate. Wellness coach. Consultant for faith based organizations. @ShirtOffBackAZ founder.</t>
  </si>
  <si>
    <t>http://www.shirtoffyourbackaz.com</t>
  </si>
  <si>
    <t>Compeer Buffalo</t>
  </si>
  <si>
    <t>We wholeheartedly believe this! #HealingPowerOfFriendship #Compeer #MentalHealth RT @KevinHinesStory: Helping others, helps me. #beheretomorrow</t>
  </si>
  <si>
    <t>https://twitter.com/kevinhinesstory/status/1218292148736491523</t>
  </si>
  <si>
    <t>https://pbs.twimg.com/media/EOg-QL3WAAc9vpp.png</t>
  </si>
  <si>
    <t>Buffalo, New York</t>
  </si>
  <si>
    <t>Promoting good mental health among adults, youth, seniors and veterans through supportive one-on-one volunteer relationships.</t>
  </si>
  <si>
    <t>http://CompeerBuffalo.org</t>
  </si>
  <si>
    <t>Marie-Rose Romain Mu</t>
  </si>
  <si>
    <t>“We have also found that experiencing racism is associated with thoughts about suicide for black youth and adults.” #mentalhealth #racism Black kids and suicide: Why are rates so high, and so ignored? via @TC_Africa</t>
  </si>
  <si>
    <t>https://theconversation.com/black-kids-and-suicide-why-are-rates-so-high-and-so-ignored-127066?utm_medium=amptwitter&amp;utm_source=twitter</t>
  </si>
  <si>
    <t>Haiti. US. World</t>
  </si>
  <si>
    <t>Advocate 4 community-led transformational change. Co-Founder of ESPWA &amp; the 🇭🇹#Haiti Community Found. NP Advisor. Anti: injustice #inequality &amp; greed. ❤️#arts</t>
  </si>
  <si>
    <t>http://www.espwa-haiti.org</t>
  </si>
  <si>
    <t>Guess what? Pre-order link is up!  #10stepsendthestigma #mentalhealth #mentalillness #MentalHealthAwareness #MentalHealthMatters #therapistlife #momlife #womenwhowrite #womenwhopodcast #womenwhopod #fitmomjourney #fitmomlife #selfhelp #SelfCareSaturday</t>
  </si>
  <si>
    <t>https://www.amazon.com/Ten-Steps-Finding-Happy-Satisfaction/dp/0996430660/ref=mp_s_a_1_13?keywords=selene+castrovilla&amp;qid=1578441358&amp;sr=8-13</t>
  </si>
  <si>
    <t>Thank you for spending the week with us!!!More interviews, tips, memes, and daily encouragements, and events to come. Stay Tuned...✌ #yhelp #newbeginnings #freshstart #startingover #lettinggo #anewyou #mentalhealth</t>
  </si>
  <si>
    <t>pic.twitter.com/fWBO84LeIO</t>
  </si>
  <si>
    <t>OpenMinds</t>
  </si>
  <si>
    <t>Such an informative and helpful workshop. #happyheads20 #mentalhealth RT @HappyHeadsMH: What changes can you make in #CBT to change the #mentalhealth cycle? Engaged guests #happyheads20 @MaudsleyNHS</t>
  </si>
  <si>
    <t>https://twitter.com/HappyHeadsMH/status/1218543444639068160</t>
  </si>
  <si>
    <t>https://pbs.twimg.com/media/EOkiyxrXkAAuz38.jpg</t>
  </si>
  <si>
    <t>Croydon, London</t>
  </si>
  <si>
    <t>We are #OpenMinds Social Care, a specialist mental health organisation which makes recovery from a mental difficulty the main focus of its intervention.</t>
  </si>
  <si>
    <t>http://www.openmindssocialcare.co.uk</t>
  </si>
  <si>
    <t>Meggan O Reilly</t>
  </si>
  <si>
    <t>Had a ball last night volunteering again at therapy sessions with @firstfortnight So much incredible music and poetry was on show. Highlight of the night was definitely finally meeting the wonderful @emma_sketches She is such beautiful human being. 🌟#fffest20 #mentalhealth</t>
  </si>
  <si>
    <t>https://pbs.twimg.com/media/EOkzbWOX4AAWP3V.jpg</t>
  </si>
  <si>
    <t>Dublin Camogie|Writer|Mental Health Ambassador| TU Dublin |Fitness Instructor|@firstfortnight Volunteer| all views are mine| @plughappy #CPTSD</t>
  </si>
  <si>
    <t>https://linktr.ee/iammegganoreilly</t>
  </si>
  <si>
    <t>Jake</t>
  </si>
  <si>
    <t>Hands up if depression or anxiety has ever stopped you from doing something you wanted to do 🙋‍♀️🙋‍♂️ Retweet If You Agree It’s Okay To Talk About Mental Health 😊👍💙 #MentalHealthMatters #mentalhealth #ItsOkNotToBeOk</t>
  </si>
  <si>
    <t>This is a #MentalHealthAwareness account. Providing some coping techniques and other useful information. Founded by @bluebirds999 😊👍💙</t>
  </si>
  <si>
    <t>https://m.youtube.com/channel/UCTe_jbUOsYyZyBtj3ewysXQ</t>
  </si>
  <si>
    <t>Beth Johnson</t>
  </si>
  <si>
    <t>Finding your potential is the most important thing you can do to live a #healthylife. #mentalhealth</t>
  </si>
  <si>
    <t>http://cpix.me/a/90229582</t>
  </si>
  <si>
    <t>https://pbs.twimg.com/media/EOkzSvRWsAAOT3P.png</t>
  </si>
  <si>
    <t>Real Estate Agent with Harrington ERA Realty in Dover Delaware.</t>
  </si>
  <si>
    <t>Chuck Dalldorf</t>
  </si>
  <si>
    <t>Youth suicide: At-risk in Wales 'falling through gap' via @BBCNews  #Wales #UK #health #healthcare #mentalhealth #suicide #urgent #policy #politics</t>
  </si>
  <si>
    <t>https://www.bbc.com/news/uk-wales-51156066</t>
  </si>
  <si>
    <t>Communication &amp; political consultant, San Juan Island Fire &amp; Rescue PIO, Friday Harbor WA. Brooklyn native &amp; USAF veteran. Scotland forever.</t>
  </si>
  <si>
    <t>Joey</t>
  </si>
  <si>
    <t>New #Patreon post. I delve back into my diary (from when I was homeless &amp; squatting) my hope is for anyone out there currently going through a tough time can read it &amp;amp; see that life does get better #MentalHealth #WritingCommunity #MentalHealthAwareness</t>
  </si>
  <si>
    <t>https://www.patreon.com/posts/bad-days-will-1-33253414?utm_medium=social&amp;utm_source=twitter&amp;utm_campaign=postshare</t>
  </si>
  <si>
    <t>Widnes, England</t>
  </si>
  <si>
    <t>Writer at http://hottagwrestling.com 🇬🇧 90s kid. Yorkshireman. Huge Asuka mark. Toy loving tattooed Geek &amp; mental health advocate.</t>
  </si>
  <si>
    <t>https://patreon.com/novicejourno?utm_medium=social&amp;utm_source=twitter&amp;utm_campaign=creatorshare</t>
  </si>
  <si>
    <t>instead of letting your hardships and failures discourage or exhaust you, let them inspire you 〰️michelle obama〰️ #myphoto #photography #photographer #nature #NaturePhotography #mentalhealth #strength #courage #inspire</t>
  </si>
  <si>
    <t>https://pbs.twimg.com/media/EOkzDXRXUAU7Euw.jpg</t>
  </si>
  <si>
    <t>Tara Sharma Saluja</t>
  </si>
  <si>
    <t>Thank you for sharing @MajDPSingh Yes awareness &amp; insights on #mentalhealth are so important. I am no expert but hearing from guests who have been through depression &amp;amp; PTSD has opened my eyes to a lot including that sharing helps &amp;amp; seeking good professional help is important RT @MajDPSingh: @tarasharmasaluj @aliaa08 @Soni_Razdan @StarWorldIndia @BangBangIIPC Very imp point which we all ignore. I know how I tough was to face the PTSD, unknown to it as none was aware. Spirituality helped and still helping me. Effects are deep rooted but not all can ensure positive handling. May you bring much needed awareness. 💐</t>
  </si>
  <si>
    <t>https://twitter.com/majdpsingh/status/1218485166076653568</t>
  </si>
  <si>
    <t>Mumbai, India</t>
  </si>
  <si>
    <t>Actress, Fool, Creator, Host &amp; Co Producer of TheTaraSharmaShow https://www.youtube.com/tarasharmashow Mum of Kai and Zen Wife of Roopak LSE UWCAD BIS Accenture KhoslaKaGhosla</t>
  </si>
  <si>
    <t>http://www.tarasharmashow.com</t>
  </si>
  <si>
    <t>Bud Smallwood</t>
  </si>
  <si>
    <t>#triggered #trigger #CPTSD #mentalhealth #Awareness #Mindfulness Never allow anyone to label you without your full permission. Always be empowered.</t>
  </si>
  <si>
    <t>https://pbs.twimg.com/media/EOky2UAWsAY_5xq.png</t>
  </si>
  <si>
    <t>Commonwealth of Massachusetts</t>
  </si>
  <si>
    <t>Get in over your head once in a while.</t>
  </si>
  <si>
    <t>MHAC</t>
  </si>
  <si>
    <t>Journaling isn't just good for #mentalhealth. It might also help your physical health. - Letting your emotions out can reduce stress, which can boost your immune system — as long as you then process your emotions.</t>
  </si>
  <si>
    <t>http://ow.ly/xnBV50xYTbR</t>
  </si>
  <si>
    <t>http://mhac.org</t>
  </si>
  <si>
    <t>JunkshopLibrary</t>
  </si>
  <si>
    <t>Definitely. But I find it hard to imagine. #MentalHealth #BreakTheStigma RT @FrankthePegasus: Do you ever think about how much more productive you could be if you didn’t have crippling mental health issues?</t>
  </si>
  <si>
    <t>https://twitter.com/FrankthePegasus/status/1218317709496213507</t>
  </si>
  <si>
    <t>Tennessee, USA</t>
  </si>
  <si>
    <t>He/him. Anorexia survivor. Atheist. Cinephile. Democrat. Equality advocate. Gardener. Knowledge glutton. Pro-choice. Writer. http://patreon.com/JunkshopLibrary</t>
  </si>
  <si>
    <t>https://www.youtube.com/channel/UCLLdUY0pwy2yuVqcP7TcwaA</t>
  </si>
  <si>
    <t>John Stevenson</t>
  </si>
  <si>
    <t>Staffordshire Moorlands, UK</t>
  </si>
  <si>
    <t>Motor racing fan</t>
  </si>
  <si>
    <t>http://www.openpitlane.co.uk</t>
  </si>
  <si>
    <t>Katleho</t>
  </si>
  <si>
    <t>ÜT: -25.8562,28.18812</t>
  </si>
  <si>
    <t>I live for the rhythm, drumming through life seeking Peace, Passion, Love, Light and Serenity....</t>
  </si>
  <si>
    <t>Shelley</t>
  </si>
  <si>
    <t>G'day IG fam &amp; what a beautiful day. Yes minus 40 can look pretty. Hope you all have a fabulous #shatterday ✌️💜💨💨 #Epilepsy #fibromyalgia #chronicillness #mentalhealth #positivevibes #mmj #medicalcannabis…</t>
  </si>
  <si>
    <t>https://www.instagram.com/p/B7d3EGmBK_W/?igshid=18o013ngapwbh</t>
  </si>
  <si>
    <t xml:space="preserve">Calgary Alberta Canada </t>
  </si>
  <si>
    <t>Idiopathic Generalized Epilepsy &amp; Intractable Epilepsy effectively treated with #medicalcannabis ✌️💜 #ACMPR 🇨🇦 Medical Cannabis Consultant &amp; Advocate</t>
  </si>
  <si>
    <t>http://www.shelleythiemann.com</t>
  </si>
  <si>
    <t>Sara Goldvine</t>
  </si>
  <si>
    <t>“The issue—too much care for those who may not need it, &amp; too little for those who do—would be a good place to start fixing the system”. Important insights from ⁦@KurdyakP⁩ of ⁦@CAMHnews re #Mentalhealth care.</t>
  </si>
  <si>
    <t>Changemaker. Troubleshooter. Storyteller. Mama. By day, VP Communications @BC_Housing. By night, tacos &amp; chocolate. She/her.</t>
  </si>
  <si>
    <t>Know the signs of anxiety attack  #anxiety #mentalhealth</t>
  </si>
  <si>
    <t>https://bit.ly/1zXIQSZ</t>
  </si>
  <si>
    <t>angrycoffeeguy</t>
  </si>
  <si>
    <t>Trump to roll back Michelle Obama's school lunch rules on vegetables, fruits | TheHill #MAGA2020 #obesity #mentalhealth #RemoveTrump ⁦@senrobportman⁩ Please tell us this is good for the children of #ohio?</t>
  </si>
  <si>
    <t>https://thehill.com/homenews/administration/478816-trump-administration-to-roll-back-michelle-obamas-school-lunch-rules</t>
  </si>
  <si>
    <t>Play hard, work hard and eternally optimistic! Angry with complacency and repetitive acts of stupidity. Views are my own.</t>
  </si>
  <si>
    <t>https://www.lnk.xyz/r1BbKs2lL?aduc=mOJm5c01579362364301</t>
  </si>
  <si>
    <t>Troy Lambert</t>
  </si>
  <si>
    <t>Be yourself. It's the only you that you have! Here are some practical tips for developing great self-esteem.  #Mentalhealth #Selfesteem</t>
  </si>
  <si>
    <t>http://unboundnorthwest.com/you-nobody-does-it-better/</t>
  </si>
  <si>
    <t>https://pbs.twimg.com/media/EOkx3aAXsAU9zva.jpg</t>
  </si>
  <si>
    <t>Boise, ID</t>
  </si>
  <si>
    <t>Content Strategist, freelance writer, author, blogger, contributor to Huffington Post, Last Word on Pro Football, and more. #thriller #freelance #business #NFL.</t>
  </si>
  <si>
    <t>http://lastwordonprofootball.com/author/troylambert/</t>
  </si>
  <si>
    <t>Rhanjo</t>
  </si>
  <si>
    <t>ÜT: 10.244943,-67.602453</t>
  </si>
  <si>
    <t>LADRÓN... De tus deseos y pensamientos... Marketing... comunicación y Docencia Universitaria. Me gusta la playa, la rumba y la noche..😍😘🍍🍻🍰🍦💰</t>
  </si>
  <si>
    <t>TimelyMD</t>
  </si>
  <si>
    <t>Use the "Find My School" search bar at the top of our website to see if your #college #student has 24/7 access to #medical and #mentalhealth support through TimelyMD.</t>
  </si>
  <si>
    <t>https://www.timely.md</t>
  </si>
  <si>
    <t>https://pbs.twimg.com/media/EOkx1bcW4AkEmog.jpg</t>
  </si>
  <si>
    <t>Fort Worth, TX</t>
  </si>
  <si>
    <t>#telehealth for students.</t>
  </si>
  <si>
    <t>http://www.timely.md</t>
  </si>
  <si>
    <t>Melanie Korach</t>
  </si>
  <si>
    <t>Let’s all dream a little more today! Dreaming is good for your #mentalhealth! #StarfishClub</t>
  </si>
  <si>
    <t>https://pbs.twimg.com/media/EOkxtI3XsAAhmtE.jpg</t>
  </si>
  <si>
    <t xml:space="preserve">Whitby, Ontario </t>
  </si>
  <si>
    <t>#Poet, author of #LifeLines, teacher in🇨🇦. Founder of the #StarfishClub. I believe we all have the power to change the🌏, 1 life at a time! #FirstResponders</t>
  </si>
  <si>
    <t>Melissa 🌘</t>
  </si>
  <si>
    <t>To struggle w/ mental illness means you're a fighter. I often wonder, "How am I alive? Why? Where does the resilience come from?" For me, sports played a big role. Pos relationships w/ adults &amp; peers, movement, building mastery. What has helped others? #bpd #mentalhealth</t>
  </si>
  <si>
    <t>Child Advocate.💪🏻 Auntie.👩‍👧‍👧 Attachment Theory Evangelist.🧠 Healthcare worker on a mission to make healthcare work whilst riding BPD waves.🌊🤘🏻</t>
  </si>
  <si>
    <t>theoneofnow</t>
  </si>
  <si>
    <t>Blog Launch today! "The One of Now" sci-fi spiritual adventure brings you "Transmissions" for this holiday weekend commemorating peace and those who devoted their lives toward it.  #blog #Spiritual #mentalhealth #Climatechange #MLKDay</t>
  </si>
  <si>
    <t>http://www.theoneofnow.com/blog</t>
  </si>
  <si>
    <t>https://pbs.twimg.com/media/EOkxp90XsAI5B4h.jpg</t>
  </si>
  <si>
    <t>A spiritual based sci-fi journey into enlightenment. Calling on all angels to help us make this project happen in 2019!</t>
  </si>
  <si>
    <t>https://www.theoneofnow.com</t>
  </si>
  <si>
    <t>ashmaria</t>
  </si>
  <si>
    <t>Tips to mange your depression! #mentalhealth #depression #tips</t>
  </si>
  <si>
    <t>https://youtu.be/joKsob0tCk8</t>
  </si>
  <si>
    <t>Merp...</t>
  </si>
  <si>
    <t>Kim Fluxgold</t>
  </si>
  <si>
    <t>Please check out my latest blog "Am I A Cold Turkey? and continue to follow my journey at  #coldturkey #iquit #selfcare #smokefree #cravings #itsoktonotbeok #youarenotalone #youareenough #courage #depression #mentalillness #mentalhealth #mentalwellness</t>
  </si>
  <si>
    <t>http://youareenough712.wordpress.com</t>
  </si>
  <si>
    <t>https://pbs.twimg.com/media/EOkxoaMX4AoEZjD.jpg</t>
  </si>
  <si>
    <t>Carla Preston Boyer</t>
  </si>
  <si>
    <t>YOU . ARE . WORTHY! #youareworthymovement #sacredspace #quoteoftheday #motivation #quotestoliveby #inspiration #inspirationalquotes #mentalillness #peersupport #mentalhealthadvocate #mentalhealthrecovery #psychiatry #mentalhealth</t>
  </si>
  <si>
    <t>https://pbs.twimg.com/media/EOkxl8_W4AA3Y4U.jpg</t>
  </si>
  <si>
    <t>Transformational Strategist, Inspirational Speaker, Author and Founder of The You Are Worthy Movement</t>
  </si>
  <si>
    <t>http://www.youareworthy.ca</t>
  </si>
  <si>
    <t>wunda</t>
  </si>
  <si>
    <t>The business cards are in, and in the parlance of our times, they're fresh! With #environmental concerns in mind, I got the smallest size possible. I was reluctant to conform and get business cards, but have found new #education and #mentalhealth contacts value the symbolism 1/2</t>
  </si>
  <si>
    <t>https://pbs.twimg.com/media/EOkxi9XXUAITSfW.jpg</t>
  </si>
  <si>
    <t>A bookable talk to guide young people in reducing their use of social media and tech to secure their mental health and fulfil their potential.</t>
  </si>
  <si>
    <t>http://www.wunda.today</t>
  </si>
  <si>
    <t>Katerina Hilari</t>
  </si>
  <si>
    <t>Looking forward to discussing @SarahNorthcott8 @brookejryan @beads_trial @CarolineJM26 @cityalan Implications for #stroke #aphasia #mentalhealth For #depression the strongest mediator was negative thinking. Cognitive change important mediator in preventative interventions RT @morriseric: Mediators in psychological and psychoeducational interventions for the prevention of depression and anxiety. A systematic review</t>
  </si>
  <si>
    <t>https://twitter.com/morriseric/status/1217859071442931714
http://j.mp/2tUUsPP</t>
  </si>
  <si>
    <t>Professor @CityLCS City, University of London. Speech-Language Therapist researching aphasia, communication disability, quality of life</t>
  </si>
  <si>
    <t>https://www.city.ac.uk/people/academics/katerina-hilari</t>
  </si>
  <si>
    <t>Like One Another</t>
  </si>
  <si>
    <t>It takes a tremendous amount of bravery to seek out help. Our #mentalhealth advocate @kyrstinxox hopes her story of triumph over #depression will inspire all, even those without #mentalhealth conditions, to make self-care a priority. 📸 - @kyrstinxox #LikeOneAnother</t>
  </si>
  <si>
    <t>https://pbs.twimg.com/media/EOkxVy7XUAETRyY.jpg</t>
  </si>
  <si>
    <t>Reducing the stigma of mental health conditions by showing that we're all like one another, whether we have a mental health condition or not. #LikeOneAnother</t>
  </si>
  <si>
    <t>https://likeoneanother.com/</t>
  </si>
  <si>
    <t>🏁</t>
  </si>
  <si>
    <t>Artistic 🎨</t>
  </si>
  <si>
    <t>3 Steps to Manage Your Anxiety! #mentalhealth #anxiety #therapy</t>
  </si>
  <si>
    <t>https://youtu.be/3214jr5V-5I</t>
  </si>
  <si>
    <t>Steve Tattou</t>
  </si>
  <si>
    <t>It hurts always being alone and lonely. #quotes #mentalhealth #Loser #lonely #alone #Trending #hashtag #Random #socialmedia #introvert #Days #SaturdayMorning #SaturdayVibes #lonesome #selfhelp #help #sexualhealing #ChronicPain #mentalillness #chronicillness</t>
  </si>
  <si>
    <t>Montréal, Québec, Canada</t>
  </si>
  <si>
    <t>I play with LEGO and quote Bugs Bunny. Treehugger/Jitterbugger. 裸の付き合い</t>
  </si>
  <si>
    <t>Sarah Choujounian 🇦🇲🇨🇦</t>
  </si>
  <si>
    <t>What are your triggers? When you are aware of them and understand them, you can actually work on dissipating them #triggered #trigger #CPTSD #mentalhealth #Awareness #Mindfulness</t>
  </si>
  <si>
    <t>https://pbs.twimg.com/media/EOkw59CWkAEQ6Ac.jpg</t>
  </si>
  <si>
    <t>Lighting Up Dark Corners🕯️Empowering survivors of child sexual abuse 2 heal✊ &amp; bringing awareness in order 2 prevent it🗣 Facilitator @Gatehouse_The #CPTSD</t>
  </si>
  <si>
    <t>http://www.lightingupdarkcorners.com</t>
  </si>
  <si>
    <t>MsLinesandCurves</t>
  </si>
  <si>
    <t>School can be a place where we discover a child’s needs and help them begin to resolve them. E Learning cannot do this #SuicidePrevention #HealthyLiving #letstalk #mentalhealth RT @StuartShanker: Imagine how different our attitude would be if we referred to this cluster as a distinctive behavioural subtype of an ‘anxiety disorder’?</t>
  </si>
  <si>
    <t>https://twitter.com/stuartshanker/status/1218545345346621441</t>
  </si>
  <si>
    <t>https://pbs.twimg.com/media/EOkkiAkWkAU6s8T.jpg</t>
  </si>
  <si>
    <t>Art Teacher, Practicing Artist, Practicing Yoga, Non-Conformist Always Creative to the SOUL! Tweeting about Art and Yoga &amp; Learning! Living life to the fullest!</t>
  </si>
  <si>
    <t>Lisa M Carlson</t>
  </si>
  <si>
    <t>Can $1 make a difference for #mentalhealth and #PublicHealth ? Yes, it can. RT @emoryhealthsci: A new study by researchers @EmoryRollins found that a $1 increase in minimum wage is linked to a 3.5-6% fall in suicide rates among people with a high school education or less.</t>
  </si>
  <si>
    <t>https://twitter.com/emoryhealthsci/status/1218201787947274243
https://fal.cn/364KT</t>
  </si>
  <si>
    <t>https://pbs.twimg.com/media/EOfsEW-X4AANQKY.png</t>
  </si>
  <si>
    <t>President of APHA (@PublicHealth). Executive Administrator for Research Programs and Operations, Emory School of Medicine (@EmoryMedicine). Tree tourist.</t>
  </si>
  <si>
    <t>JustTalk Productions</t>
  </si>
  <si>
    <t>We are so happy to be doing this much needed service in our community that is having a positive impact on people’s lives.  #mentalhealth #trolling #socialmedia #bullying #youngpeople #support #youngvoices #counselling @BACP @JoHolmesBACP</t>
  </si>
  <si>
    <t>https://www.bacp.co.uk/news/news-from-bacp/2020/17-january-new-film-explores-psychological-impact-of-social-media/</t>
  </si>
  <si>
    <t>https://pbs.twimg.com/media/EOkwWNvXsAIImLx.jpg</t>
  </si>
  <si>
    <t>Sudbury Suffolk</t>
  </si>
  <si>
    <t>(Official Page)We link to @justtalk2019 counselling to bring you awareness films. (Mental Health) Profits from films go to support those in need.</t>
  </si>
  <si>
    <t>http://www.justtalk2019.com</t>
  </si>
  <si>
    <t>Peace In Pain</t>
  </si>
  <si>
    <t>#Physical &amp; #Mental #Pain may look different but they’re similar in more ways than people think🤔 You need the same ingredients from the #brain to keep going through the tough &amp;amp; challenging moments Mental resilience &amp;amp; strength Mental determination &amp;amp; Grit #mentalhealth 🕊</t>
  </si>
  <si>
    <t>https://pbs.twimg.com/media/EOkwOviW4AI4Zp4.jpg</t>
  </si>
  <si>
    <t>A place for Pain Management &amp; Wellbeing. Living with #trigeminalneuralgia #chronicpain #suicidedisease #failedbacksurgerysyndrome #bowelincontinence</t>
  </si>
  <si>
    <t>https://www.youtube.com/channel/UCEvm5H7xDKmjI6mqVLfbdWg?view_as=subscriber</t>
  </si>
  <si>
    <t>Ms Goddess 💋</t>
  </si>
  <si>
    <t>Today I woke up. 8AM. I was happy as can be. Now, I am on the verge of a breakdown, and nothing has changed to make me feel that way. In 2hrs and 37 minutes. My day changed. That is anxiety, that is depression, and most importantly, that is okay. ❤️ #mentalhealth</t>
  </si>
  <si>
    <t>𝘉𝘰𝘥𝘺 𝘗𝘰𝘴𝘪𝘵𝘪𝘷𝘪𝘵𝘺; 𝘔𝘦𝘯𝘵𝘢𝘭 𝘏𝘦𝘢𝘭𝘵𝘩 𝘈𝘥𝘷𝘰𝘤𝘢𝘵𝘦; 𝘓𝘎(𝘉)𝘛𝘘 𝘗𝘳𝘪𝘥𝘦;</t>
  </si>
  <si>
    <t>http://Twitch.tv/HolidayGoddess</t>
  </si>
  <si>
    <t>exploringUcounsellin</t>
  </si>
  <si>
    <t>https://pbs.twimg.com/media/EOkv5mZXsAEnli4.jpg</t>
  </si>
  <si>
    <t>Multiple Award Winning Counselling/Psychotherapy organisation based in Suffolk, offering psychotherapy &amp; Counselling</t>
  </si>
  <si>
    <t>http://www.exploringUcounselling.co.uk</t>
  </si>
  <si>
    <t>this could be how you start a conversation with a loved one about depression: I have been feeling concerned for you lately #mentalhealth #depression</t>
  </si>
  <si>
    <t>If you're looking for work in Denver, CO, check out this job:  #MentalHealthAwareness #MentalHealth</t>
  </si>
  <si>
    <t>http://bit.ly/38haK4D</t>
  </si>
  <si>
    <t>Paisley Smith</t>
  </si>
  <si>
    <t>"Switch the voice you listen to and let it take you to where you need to go."  #mentalhealth #selfawareness #selflove #growthmindset #selfimprovement</t>
  </si>
  <si>
    <t>https://medium.com/@paisleysmith94/my-true-voice-started-speaking-louder-in-my-head-5940e3d7db0a</t>
  </si>
  <si>
    <t>Scottish 🏴󠁧󠁢󠁳󠁣󠁴󠁿 Book lover 🔰 writer and dog mum 🐶 Business student</t>
  </si>
  <si>
    <t>keeranl</t>
  </si>
  <si>
    <t>Mentally strong person can deal with all other weaknesses. So mental health should be a bigger priority! By tackling #MentalHealth we’re harnessing the #PowerTo make a positive impact on the world. Thanks @BofA_News for keeping me informed on #WEF20.</t>
  </si>
  <si>
    <t>Do you know the difference between CPTSD &amp; BPD? CPTSD: distorted sense of self BPD: unstable sense of self Check out the chart below to understand them better #CPTSD #BPD #traumainformed #mentalhealth #braininjury #SaturdayMorning #knowledgeispower</t>
  </si>
  <si>
    <t>https://pbs.twimg.com/media/EOkvbPzXkAALokp.jpg</t>
  </si>
  <si>
    <t>Where is your happy place? #mindfulness #mentalhealth #MentalHealthMatters #positivity #SaturdayMorning #SaturdayVibes #blog #podcast #mom</t>
  </si>
  <si>
    <t>Godwin Kalu</t>
  </si>
  <si>
    <t>I'm a Scipreneur....Graduate microbiology|| Aspiring PhD in Immunology &amp; Molecular Pathogenesis||How does immunity relate to antimicrobial resistance</t>
  </si>
  <si>
    <t>Justtalk2019</t>
  </si>
  <si>
    <t>https://pbs.twimg.com/media/EOkvJN6W4AA6dJT.jpg</t>
  </si>
  <si>
    <t>Offering affordable Counselling with a trainee counsellor on placement via exploringU counselling &amp; JustTalk2019, Popup counselling clinics in London &amp; Suffolk</t>
  </si>
  <si>
    <t>http://www.JustTalk2019.com</t>
  </si>
  <si>
    <t>Peer Support Space</t>
  </si>
  <si>
    <t>We’re here for you this weekend! #mentalhealth #peersupport</t>
  </si>
  <si>
    <t>https://pbs.twimg.com/media/EOkus0CU4AIiymf.jpg</t>
  </si>
  <si>
    <t>FL based nonprofit, here to uplift and empower our community through the power of #peersupport ♥️</t>
  </si>
  <si>
    <t>http://peersupportspace.org</t>
  </si>
  <si>
    <t>Patricia Farrell, Ph.D.</t>
  </si>
  <si>
    <t>Once saw a new "psychiatrist" at a psych hospital going to a unit with an intro to psychology textbook under his arm. He wasn't boarded as a psychiatrist. Terrible. #psychiatry #mentalhealth #hospitals #MDs</t>
  </si>
  <si>
    <t>Dr. Farrell is a psychologist, author, photographer, interested in film, writing. Don't DM me. http://www.drfarrell.net</t>
  </si>
  <si>
    <t>Kdnit</t>
  </si>
  <si>
    <t>Kerala, India</t>
  </si>
  <si>
    <t>ride well,</t>
  </si>
  <si>
    <t>Elizabeth Romero</t>
  </si>
  <si>
    <t>So true- when your living to pay rent for a decent home, buy healthy food, and have transportation... it’s not a choice. So, everyone has to work. When we talk about #mentalhealth, being a working parent is stressful and you can feel like you never add up.</t>
  </si>
  <si>
    <t>https://www.nytimes.com/2020/01/17/upshot/mothers-choices-work-family.html?smid=fb-nytimes&amp;smtyp=cur</t>
  </si>
  <si>
    <t>Director, Delaware Division of Substance Abuse &amp; Mental Health. Mom, advocate, navigator, civil servant, failed crafter. Thoughts my own, RT not endorsement.</t>
  </si>
  <si>
    <t>http://www.helpisherede.com</t>
  </si>
  <si>
    <t>Conquer Your Goals with this Super Simple Technique - via @pensignal #medium #lifelessons #motivation #mentalhealth #goals #psychology #life #inspiration #lifegoals #wisdom #success #lifestyle #dreams #wellbeing #mindfulness #anxiety #health #happiness</t>
  </si>
  <si>
    <t>https://medium.com/med-daily/conquer-your-goals-with-this-super-simple-technique-f3e67e34f44e</t>
  </si>
  <si>
    <t>Allow us to walk by your side, anytime -anywhere. We're available 24/7 to talk to you. We are your trusted friend where you can be you, we are here to hear from you and help you grow! Install Wysa-&gt;  #loneliness #mentalhealth #selfcare #healing #lonely</t>
  </si>
  <si>
    <t>https://pbs.twimg.com/media/EOkuY3kX4AA-FPA.jpg</t>
  </si>
  <si>
    <t>Should You Choose Group Therapy? -  #mentalhealth #psychotherapy #psychology</t>
  </si>
  <si>
    <t>http://www.consultinghealth.com/is-group-therapy-for-you/</t>
  </si>
  <si>
    <t>MoodDisorders Canada</t>
  </si>
  <si>
    <t>If you are exploring exposure #therapy as a possible form of treatment, here are some key considerations to keep in mind before diving in:  #mentalhealth #mentalhealthawareness #endstigma</t>
  </si>
  <si>
    <t>https://www.talkspace.com/blog/exposure-therapy-what-is/</t>
  </si>
  <si>
    <t>Belleville, Ontario</t>
  </si>
  <si>
    <t>We support persons with mental health issues and illnesses (depression, bipolar disorder and other mood disorders), their families and caregivers from Canada.</t>
  </si>
  <si>
    <t>https://mdsc.ca/</t>
  </si>
  <si>
    <t>R</t>
  </si>
  <si>
    <t>#HomelessAshes full feature film drama ‘understanding’ homelessness—each person has his/her own story. A film you won’t forget Playing select theatres UK. Further availability 🌏🌎🌍@zammit_marc #movie #homeless #runaways #mentalhealth #abuse #film #NGO   RT @zammit_marc: It would be good to feature Homeless Ashes with @TheGazette @swreporter24 @EssexHertsNews @EssexLabour @EADT24 @EssexReporter @ICE_Essex @EssexWireNews a film raising awareness with Homelessness playing In Chelmsford Everyman cinema on the 27th! also raised in essex</t>
  </si>
  <si>
    <t>https://youtu.be/KzEaV9yqOx4
https://twitter.com/zammit_marc/status/1217548176141492225</t>
  </si>
  <si>
    <t>https://pbs.twimg.com/media/EOkuNoDXkAUt7Wc.jpg</t>
  </si>
  <si>
    <t xml:space="preserve">XChicagoland Maine </t>
  </si>
  <si>
    <t>EP HomelessAshes @zammit_marc #domesticviolence #homeless| EP OneThousandFlames ‘20| ItsJustABoy |@FaultyRoots |CensoredLove🎙🎶Franco’s Spain | #Arts #indie</t>
  </si>
  <si>
    <t>Can #spirituality help alleviate #anxiety? #mentalhealth #wellbeing #faith</t>
  </si>
  <si>
    <t>https://buff.ly/2TagCs1</t>
  </si>
  <si>
    <t>https://pbs.twimg.com/media/EOkuIwvX4AEIPIS.jpg</t>
  </si>
  <si>
    <t>Bailey Bacon</t>
  </si>
  <si>
    <t>My Bitch ❤️⁣ #menshealth #health #fitness #fitnessmotivation #men #workout #mensfitness #motivation #Nutrition #bodybuilding #gym #fitfam #wellness #ukfitness #goals #weightloss #mentalhealth…</t>
  </si>
  <si>
    <t>https://www.instagram.com/p/B7d03ezpqmG/?igshid=1mnn1a7ievb6s</t>
  </si>
  <si>
    <t>Portsmouth, England</t>
  </si>
  <si>
    <t>Ash</t>
  </si>
  <si>
    <t>Good work today on @SkyNews re Fathers #mentalhealth well done all @MarkWilliamsFMH @DrAndyMayers @sashabarber41 @BluebellCare @DADSINMIND and to all that helped to make it happen.</t>
  </si>
  <si>
    <t>cambridgeshire</t>
  </si>
  <si>
    <t>Volunteer @ocdaction @maternalocd @tourettesaction Blog http://askashocd.wordpress.com Nhs speaker, Advisor at @ifwip1 and RESEARCH</t>
  </si>
  <si>
    <t>https://askashocd.wordpress.com</t>
  </si>
  <si>
    <t>Brandman University</t>
  </si>
  <si>
    <t>💭 📋 By 2025 we will see an overall shortage of approximately 250,000 workers in the behavioral health professions according to HRSA. Now is your time to consider a career as a mental health professional. #mentalhealth</t>
  </si>
  <si>
    <t>https://bit.ly/2s8o1wT</t>
  </si>
  <si>
    <t>CA &amp; WA. Online Everywhere</t>
  </si>
  <si>
    <t>A private, non-profit university providing on-campus and online programs for today's working professionals. #BrandmanUniversity</t>
  </si>
  <si>
    <t>https://bit.ly/34loQQn</t>
  </si>
  <si>
    <t>Kirsteen Kamming</t>
  </si>
  <si>
    <t>The fabulous Henrietta and Charlie helping the @KentishMindShop get ready for Thurs 6th Feb #timetotalkday. The Mind shops are inviting local communities in for a tea and a chat about #mentalhealth Everyone is welcome. #MyMindShop @TimetoChange</t>
  </si>
  <si>
    <t>https://pbs.twimg.com/media/EOktyWXWoAEruQv.jpg</t>
  </si>
  <si>
    <t>Marketing Manager for Mind Retail. French speaking Psychology Msc. Part-time illustrator. Social justice is "my bag". All views my own.</t>
  </si>
  <si>
    <t>http://www.alphabetsandanimals.com</t>
  </si>
  <si>
    <t>Aaron Spencer</t>
  </si>
  <si>
    <t>After taking a day break from blogging, I have released my longest story yet. The final blog post about my mental health awareness festival. This article is all about my hero #Avicii I hope you enjoy. All feedback means the world. x #blog #mentalhealth</t>
  </si>
  <si>
    <t>https://mentalhealthfactsfiguresfascination.wordpress.com/2020/01/18/526/</t>
  </si>
  <si>
    <t>https://pbs.twimg.com/media/EOktmjGXUAIIXxo.jpg</t>
  </si>
  <si>
    <t>University of Derby Journalism graduate 🏳️‍🌈 feel free to click the link in the bio to read my blog. I appreciate all the feedback x</t>
  </si>
  <si>
    <t>https://mentalhealthfactsfiguresfascination.wordpress.com</t>
  </si>
  <si>
    <t>Make new music that supports #Mentalhealth #PeaceAndLove</t>
  </si>
  <si>
    <t>Mark Towhey</t>
  </si>
  <si>
    <t>TOWHEY: Canada should allow assisted suicide for those with mental illness #healthcare #mentalhealth #suicide #SupremeCourt</t>
  </si>
  <si>
    <t>https://torontosun.com/opinion/columnists/towhey-canada-should-allow-assisted-suicide-for-those-with-mental-illness/</t>
  </si>
  <si>
    <t>Toronto, Canada YYZ</t>
  </si>
  <si>
    <t>Editor-in-Chief, Sun News. | Host, #TheBestShowEver @NEWSTALK1010 Sun 2-4pm | Author of Mayor Rob Ford: Uncontrollable http://amzn.to/1JplhcW (Secretly Famous)</t>
  </si>
  <si>
    <t>http://www.torontosun.com</t>
  </si>
  <si>
    <t>Angela Kathleen</t>
  </si>
  <si>
    <t>This is what could really use a national strategy. #mentalhealth #cdnpoli RT @javeedsukhera: Half of Canadians have too few local psychiatrists, or none at all. How can we mend the mental-health gap? ⁦@ErinAnderssen⁩ ⁦@globeandmail⁩</t>
  </si>
  <si>
    <t>news junkie. advocate. mother. living in faith.</t>
  </si>
  <si>
    <t>We believe in you. 💙 #OtterlyHopeful #BelieveInYourself #MentalHealth #MentalIllness</t>
  </si>
  <si>
    <t>https://pbs.twimg.com/media/EOktPPMX0AEa7VR.jpg</t>
  </si>
  <si>
    <t>💕Have a Lovely #Saturday!💕 #LoveTrainFromIRAN #JoyTrain #GoldenHearts #IAMChoosingLove #ChooseLove #BeLove #love #FamilyTrain #starfishclub #mentalhealth #Peace #SaturdayMorning #SaturdayMotivation #SaturdayVibes #SaturdayThoughts #IAM #ShineOn #BeKind #Kindness #SuccessTRAIN RT @KariJoys: Have a sweet #Saturday! #JoyTrain #Joy #Love #Kindness #MentalHealth #Mindfulness #GoldenHearts #IAM #StarfishClub #ChooseLove #FamilyTrain #IAMChoosingLove #SaturdayMorning #SaturdayMotivation #SaturdayThoughts RT @gerrinnesmac</t>
  </si>
  <si>
    <t>https://twitter.com/KariJoys/status/1218552995912138752</t>
  </si>
  <si>
    <t>Claire DB</t>
  </si>
  <si>
    <t>"Needing to improve your mental health should never be taken lightly."  #meditation #Stress #MentalHealth</t>
  </si>
  <si>
    <t>https://bit.ly/2EGEhYA</t>
  </si>
  <si>
    <t>https://pbs.twimg.com/media/EOktCTkXkAIxY9i.png</t>
  </si>
  <si>
    <t>I love to share inspiring home decor, craft ideas, Planners &amp; fave products. I want to inspire &amp; be inspired</t>
  </si>
  <si>
    <t>http://www.hearthandmade.co.uk</t>
  </si>
  <si>
    <t>Andrew Sims Centre</t>
  </si>
  <si>
    <t>***CONFERENCE *** Old Age Psychiatry Thursday 6 February 2020 @ClaytonHotels Leeds Provide you with an update in the assessment, diagnosis and management of relevant medical illnesses. To book online:  #NHS #CPD #OldAge #MentalHealth</t>
  </si>
  <si>
    <t>https://bit.ly/36PSXBi</t>
  </si>
  <si>
    <t>https://pbs.twimg.com/media/EOKPZUvWsAALbwZ.jpg</t>
  </si>
  <si>
    <t>Continuing professional development for mental health &amp; learning disabilities professionals. Healthcare conference &amp; event management. Part of @LeedsandYorkPFT</t>
  </si>
  <si>
    <t>http://www.andrewsimscentre.nhs.uk</t>
  </si>
  <si>
    <t>Sarah Blair</t>
  </si>
  <si>
    <t>Supporting and caring for a person with Fetal Alcohol Spectrum Disorder is something that has taught me how to self-regulate and co-regulate emotions which allows you to focus on successfully helping the person in need! #FASD #FASDawareness #mentalhealth #EndTheStigma</t>
  </si>
  <si>
    <t>https://pbs.twimg.com/media/EOks5rIW4AAbUpX.jpg</t>
  </si>
  <si>
    <t>Honours Bachelors of Human Services</t>
  </si>
  <si>
    <t>Dylan</t>
  </si>
  <si>
    <t>Kind of funny, I’ve spoke up but gee, still tremendously depressed. This whole simplistic #RUOK bullshit doesn’t actually achieve anything. If anything it belittles such an engrossing heavy illness...But oh, you are loved... yawn. #Mentalhealth #mentalillness</t>
  </si>
  <si>
    <t>mostly sarcasm.</t>
  </si>
  <si>
    <t>Reader</t>
  </si>
  <si>
    <t>#health #healthcare #mentalhealth #success #happy #fitness Popular book "how to maximize your health in the 21st century" free download 👇</t>
  </si>
  <si>
    <t>https://birdload.com/931060a13e465dc9</t>
  </si>
  <si>
    <t>https://pbs.twimg.com/media/EOksxmzXsAIt5Xf.png</t>
  </si>
  <si>
    <t>#book #health #recipes #relations</t>
  </si>
  <si>
    <t>Daren Knight</t>
  </si>
  <si>
    <t>Today's mountain marathon training incorporated hill sprint repeats, which is a reflection of Life. Pushing yourself to your limits will make you stronger, BUT, only if you also give yourself adequet rest &amp; recuperation. #plantbasedathlete #mentalhealth #MentalHealthAwareness</t>
  </si>
  <si>
    <t>pic.twitter.com/9NgUNNN0wD</t>
  </si>
  <si>
    <t>Naas</t>
  </si>
  <si>
    <t>Dún Danu Amatsu 🙏 Health, Wellness &amp; Mental Health Resilience ❤️ Former Royal Marine Commando and international high-risk Security Consultant 🌍</t>
  </si>
  <si>
    <t>Jarrod Wronski #Positivity</t>
  </si>
  <si>
    <t>Wow, just got my 100th follower on this #MentalHealth journey. Thank you to all who follow and reach out. We are all here to help each other. #ImHere #SameHere #Positivity</t>
  </si>
  <si>
    <t>Herndon, Va</t>
  </si>
  <si>
    <t>Where #Positivity begins. Join me on my journey to be a better man. Open, honest, accountable, #ADHD #StopTheStigma #MentalHealth #MentalWellness #SameHere</t>
  </si>
  <si>
    <t>https://jarrodsdiary.home.blog/</t>
  </si>
  <si>
    <t>Bound Here By Evil!</t>
  </si>
  <si>
    <t>Half of Canadians have too few local psychiatrists, or none at all. How can we mend the mental-health gap? - The Globe and Mail  #MentalHealth #Canada #Canadians #HockeyTalks #Canada #Canucks</t>
  </si>
  <si>
    <t>Shhhh</t>
  </si>
  <si>
    <t>#Canucks Fan 🇨🇦 🏒 🥅 Sick Sense Of Humour &amp; To The Point With My Views! Don't Like it? Go FUCK Yourself!™ You Can't Kill #TheBoogeyman 🛑 #1FIRST💦 #1DDrive</t>
  </si>
  <si>
    <t>Dr Javeed Sukhera</t>
  </si>
  <si>
    <t>This exceptional piece by @ErinAnderssen should help us address an important issue. It is unconscionable that the most vulnerable patients in our system lack access to the specialists they need. All solutions require investments in #mentalhealth care What are we waiting for? RT @javeedsukhera: Half of Canadians have too few local psychiatrists, or none at all. How can we mend the mental-health gap? ⁦@ErinAnderssen⁩ ⁦@globeandmail⁩</t>
  </si>
  <si>
    <t>Physician/Educator/Activist MD/PhD President @ontpsychassoc Chair @ldnpoliceboard Scientist @westernuceri Research = #implicitbias #stigma #equity #Meded</t>
  </si>
  <si>
    <t>http://www.javeedsukhera.com</t>
  </si>
  <si>
    <t>** the chills ** #haiku #poetry - about emotions, pain and suffering posted on .@Medium  #writing #poetry #poet #writingcommunity #poetrycommunity #life #health #love #wellbeing #psychology #mindhealth #wisdom #mentalhealth #spirituality #creativity</t>
  </si>
  <si>
    <t>https://link.medium.com/82VCsL8si3</t>
  </si>
  <si>
    <t>Laura Mancini</t>
  </si>
  <si>
    <t>#OCC I'm not going to rant on about what Eminem may or may not have written but just bear in mind what such a song would mean to the families. As you can see, it's still in the forefront of our minds #EminemIsOverParty #mancismarvellous #mentalhealth</t>
  </si>
  <si>
    <t>https://pbs.twimg.com/media/EOkrfXJWAAE_-51.jpg</t>
  </si>
  <si>
    <t>Brooklyn, NY</t>
  </si>
  <si>
    <t>Everyone's life is like a jigsaw. @Rogan_HHM helps me put the pieces together &amp; restored my faith in love #Bro @Angels_Spawn #Bestie @TheeTommyD @RevivalsWilder</t>
  </si>
  <si>
    <t>Julie Drury</t>
  </si>
  <si>
    <t>#Pediatrics #mentalhealth #healthcareworkforce #kidsmatter #childyouthhealth With the lack of information and planning re our healthcare workforce - how can this even surprise us? RT @AlexMunter_: Took @CHEOhospital 8 years to staff all our fully-funded psychiatry positions. Zero child psychiatrists in rural area around #Ottawa. Need more MD's trained, more use of other #mentalhealth clinicians, more #digitalhealth solutions.  #ottnews #cdnhealth</t>
  </si>
  <si>
    <t>https://twitter.com/alexmunter_/status/1218540752789286917
https://www.theglobeandmail.com/canada/article-half-of-canadians-have-too-few-local-psychiatrists-or-none-at-all/?utm_medium=Referrer:+Social+Network+/+Media&amp;utm_campaign=Shared+Web+Article+Links</t>
  </si>
  <si>
    <t>Ottawa, Ontario, Canada</t>
  </si>
  <si>
    <t>Champion of patient/family/caregiver partnership Healthcare system policy&amp;design. Board director Change agent. Dislike tokenism Views my own #GentlyFierce</t>
  </si>
  <si>
    <t>http://www.searchingforsolidfooting.com</t>
  </si>
  <si>
    <t>victor jose romero s</t>
  </si>
  <si>
    <t>VT DHR Recruitment</t>
  </si>
  <si>
    <t>When you work for The State of Vermont, you and your work matter! Click here to learn more and apply today for a #mentalhealth role in #Waterbury, VT.</t>
  </si>
  <si>
    <t>http://bit.ly/38bzg7g</t>
  </si>
  <si>
    <t>Vermont</t>
  </si>
  <si>
    <t>Great jobs. An even greater purpose.... The State of Vermont offers diverse opportunities, from skilled labor to executive level positions.</t>
  </si>
  <si>
    <t>http://humanresources.vermont.gov/careers</t>
  </si>
  <si>
    <t>Ketohelpline</t>
  </si>
  <si>
    <t>"One billion people are protein deficient and 2 billion micronutrient deficient" "We're overfed and undernourished" #FoodOverDrugs #Mentalhealth  RT @FructoseNo: Mental health issues start and probably end with nutrition. So much to gain from #RealFood. To me that's #LCHF by definition. "One billion people are protein deficient and 2 billion micronutrient deficient" "We're overfed and undernourished" #FoodOverDrugs</t>
  </si>
  <si>
    <t>https://medium.com/feed-your-brain/give-your-mental-health-a-chance-start-here-feb5ed412f42
https://twitter.com/FructoseNo/status/1218123248040210432</t>
  </si>
  <si>
    <t>Curious about #keto? Get your questions answered in the #ketohelpline! #KetoTips, #KetoReviews, #Recipes &amp; More!</t>
  </si>
  <si>
    <t>https://Facebook.com/groups/ketohelpline</t>
  </si>
  <si>
    <t>NHS in Leeds</t>
  </si>
  <si>
    <t>From MindWell to university wellbeing services, there are lots of places you can find #MentalHealth support across #Leeds. Find out more here: feelbetterle  #FeelBetterLeeds @MindWellLeeds #MindWell @UoLStudents @LiveWellLeeds @leedsbeckett @LeedsMusic</t>
  </si>
  <si>
    <t>http://eds.org.uk/health-and-wellbeing-services</t>
  </si>
  <si>
    <t>https://pbs.twimg.com/media/EOkrY2nWkAQmGCg.png</t>
  </si>
  <si>
    <t>Leeds,UK</t>
  </si>
  <si>
    <t>Account for the NHS in Leeds responsible for planning and funding (commissioning) local healthcare services.</t>
  </si>
  <si>
    <t>https://www.leedsccg.nhs.uk/</t>
  </si>
  <si>
    <t>Again. But hopefully last day for a bit. I can face it. It will not beat me. Be brave with your struggles. #thejourneybue #mentalhealth #depression #anxiety #emotions</t>
  </si>
  <si>
    <t>https://pbs.twimg.com/media/EOkrOkyUwAEkQUk.jpg</t>
  </si>
  <si>
    <t>Bram Kletsio ❌🇨🇦🐀I❤️🐂⏳</t>
  </si>
  <si>
    <t>https://pbs.twimg.com/media/EOkrL2YWoAYA4e9.jpg</t>
  </si>
  <si>
    <t>Dimitrios Tsatiris MD</t>
  </si>
  <si>
    <t>Social Media has drawbacks. People cherry pick what they post. Hence, you compare your real life to someone’s ideal life. This unfair comparison fuels feelings envy and inadequacy. Be mindful #SaturdayVibes #SaturdayMorning #mentalhealth</t>
  </si>
  <si>
    <t>https://thriveglobal.com/stories/how-to-set-healthy-boundaries-with-social-media/</t>
  </si>
  <si>
    <t xml:space="preserve">Cleveland, Ohio </t>
  </si>
  <si>
    <t>Board Certified Psychiatrist. APA Fellow. Husband. Father. #Writer. All tweets = my opinion for general info. Not medical advice</t>
  </si>
  <si>
    <t>CEI</t>
  </si>
  <si>
    <t>Winter time, and the #SeasonalAffectiveDisorder that comes with it, can be difficult for students to manage. In this toolkit, teachers and school administrators can find lots of information and strategies to help support students:  #mentalhealth #education</t>
  </si>
  <si>
    <t>https://buff.ly/2FSVJdc</t>
  </si>
  <si>
    <t>https://pbs.twimg.com/media/EOkrKbVX0AIjf_H.png</t>
  </si>
  <si>
    <t>Heart Centered 21st Century Learning</t>
  </si>
  <si>
    <t>http://edimprovement.org</t>
  </si>
  <si>
    <t>Linda Paul</t>
  </si>
  <si>
    <t>New cowboys: Horses offer emotional healing to recovering addicts, others facing mental health challenges  via @theidahopress #Therapy #NAMI #MentalHealth #Animals #Horses</t>
  </si>
  <si>
    <t>https://buff.ly/2sywutv</t>
  </si>
  <si>
    <t>https://pbs.twimg.com/media/EOkq9BxX4AEGd2V.jpg</t>
  </si>
  <si>
    <t>Life is never-ending learning. My passion is words__ buffed &amp; polished. Offering curiosity, editing, content development, and a book! My Life With an Enigma</t>
  </si>
  <si>
    <t>http://rangewriter.wordpress.com</t>
  </si>
  <si>
    <t>Nicola Forshaw</t>
  </si>
  <si>
    <t>#goteamanna 'harnessing resilience' with . Two hour fee-free workshop and our generous delegates donated £290. Thank you guys and remember 'restoration' is the key to #resilience #mentalhealth #traumainformed</t>
  </si>
  <si>
    <t>http://www.nineteaching.com</t>
  </si>
  <si>
    <t>https://pbs.twimg.com/media/EOkque4X0AU6xXX.jpg</t>
  </si>
  <si>
    <t>Wirral</t>
  </si>
  <si>
    <t>Belief in humane-ness, growth &amp; resilience. Psychotherapist, Coach, Supervisor &amp; Yogi. Philosophy salon &amp; Wellbeing Practice. ILM Coach trainer</t>
  </si>
  <si>
    <t>http://www.nicolaforshaw.com</t>
  </si>
  <si>
    <t>Dr Lucy Loveday</t>
  </si>
  <si>
    <t>The equation that never fails to lift my spirit: FRIEND + MOVING (🏃‍♀️) + GREEN/BLUE SPACE = 😀 This morning I literally turned RED 😉&amp; met another RED-er Suzy @REDJanuaryUK running for mental health at the local @parkrun #mentalhealth #nature #parkrun #SaturdayMorning</t>
  </si>
  <si>
    <t>https://pbs.twimg.com/media/EOkqt0YWAAIf1KH.png</t>
  </si>
  <si>
    <t>GP, Training Programme Director. Key Note Speaker. Nature &amp; Movement for Health &amp; Wellbeing. Creator of a movement for Movement &amp; The Mind® Director @britsoclm</t>
  </si>
  <si>
    <t>https://bslm.org.uk/event/movement-the-mind/</t>
  </si>
  <si>
    <t>Here's a #thought to #warm you up from the #snow or those #woeful #WinterBlues: No matter how often you #feel #KnockedDown in #life, no matter the #season or #reason; may there always be someone or something to help #LiftYouUp! ~@ndpthepoetress #MentalHealth cause #YouMatter</t>
  </si>
  <si>
    <t>pic.twitter.com/3a9ElO1ViS</t>
  </si>
  <si>
    <t>life moves pretty fast. if you don't stop and look around once in a while, you could miss it 〰️ferris bueller's day off〰️ (ferris) #MyPhoto #photography #photographer #photo #nature #NaturePhotography #mentalhealth #MentalHealthMatters #gratitude #Happiness #JOY #JoyTrain</t>
  </si>
  <si>
    <t>https://pbs.twimg.com/media/EOkqXv6X0AADBXR.jpg</t>
  </si>
  <si>
    <t>luce🎋</t>
  </si>
  <si>
    <t>300 days mf’s!!!! love urself xxx #mentalhealth #EndTheStigma 🥰🥰  RT @LucyAshurst1: 100 days self harm free, first two photos I was the worst I’d ever been, 100+ days later I’m in New Zealand travelling living my best life. It gets better I promise🥰🥰 #MentalHealthAwareness #EndTheStigma</t>
  </si>
  <si>
    <t>https://twitter.com/lucyashurst1/status/1146668929655246848</t>
  </si>
  <si>
    <t>https://pbs.twimg.com/media/EOkqUcsWkAIIbXL.jpg
https://pbs.twimg.com/media/D-nJTu1UIAAGZXL.jpg</t>
  </si>
  <si>
    <t>Oxford, England</t>
  </si>
  <si>
    <t>I know you get what I’m saying you get me</t>
  </si>
  <si>
    <t>Finn (TheInFinncible) 🏳️‍🌈</t>
  </si>
  <si>
    <t>Good mental health means taking time out. Always remember to factor in some time to unplug from everything, even just for a few hours. #mentalhealth</t>
  </si>
  <si>
    <t>https://pbs.twimg.com/media/EOkqNAOXsAUu-sO.png</t>
  </si>
  <si>
    <t>Eastbourne, England</t>
  </si>
  <si>
    <t>Writer (Trans memoir in progress with @JKPGender). YouTuber. Blogger. @tedx Speaker. @OpenUniversity Ambassador &amp; BA Hons Open Student. He/Him</t>
  </si>
  <si>
    <t>https://linktr.ee/finntheinfinncible</t>
  </si>
  <si>
    <t>The Theatre Podcast with Alan Seales</t>
  </si>
  <si>
    <t>Up next is the incomparable #ElizabethStanley, leading audiences through an incredible journey 8 times a week in @jaggedmusical. This is one you cannot miss! Subscribe via  to be ready! 🎤 🎤 #jaggedlittlepill #alanismorissette #broadway #mentalhealth</t>
  </si>
  <si>
    <t>http://BPN.fm/ttp</t>
  </si>
  <si>
    <t>https://pbs.twimg.com/media/EOkp9epXUAILVV-.jpg</t>
  </si>
  <si>
    <t>Intimate conversations with theatre's biggest stars, creatives, influencers, and beyond. Proud member of http://BroadwayPodcastNetwork.com.</t>
  </si>
  <si>
    <t>http://TheTheatrePodcast.com</t>
  </si>
  <si>
    <t>Dr Helen Miles</t>
  </si>
  <si>
    <t>An excellent report outlining issues, what needs be done, resources &amp; what those of us working in either statutory, private or voluntary system(s) have seen #SystemChange #mentalhealth #PIE #homelesspsychology thanks for the share @piepeoples #whyPIE #TIC @CP_Policy RT @piepeoples: Fabulous to see PIE and TIC approaches acknowledged and recommended. Next step is to get them embedded. The norm not the exception. #MultiPIE #whyPIE #traumainformed</t>
  </si>
  <si>
    <t>https://twitter.com/piepeoples/status/1218509024985067520
https://twitter.com/FLevaluation/status/1218141508165128192</t>
  </si>
  <si>
    <t>Consultant Clinical &amp; Forensic Psychologist. PIE Lead for Centrepoint. Ex-NHS (20yrs). Parent Governor. Ginger. 🚌 🐶 Lover of all things ‘Marmite’. Views mine.</t>
  </si>
  <si>
    <t>Rachel Tesfaye</t>
  </si>
  <si>
    <t>At the @HappyHeadsMH event today with my lovely @TimetoChange colleagues. Excellent workshop from @MaudsleyNHS around #IAPT services and now a honest and relatable panel with #happyheads20 team members and @CllrBatt Lib Dem Counsellor for Sutton. #mentalhealth #mentalillness</t>
  </si>
  <si>
    <t>https://pbs.twimg.com/media/EOkpxm8XsAEAir9.jpg</t>
  </si>
  <si>
    <t>Programme Manager within Data Analytics Directorate @HealthFdn Views are my own. #evidencebasedresearch #healthcareimprovement #patientvoice #healthcarepolicy</t>
  </si>
  <si>
    <t>https://www.health.org.uk/</t>
  </si>
  <si>
    <t>Declining #mentalhealth shows itself in many different ways, grumpiness, anger, sadness, tiredness, #selfharm, #numbness, #substanceabuse, #anxiety, #panic episodes....the list goes on. Realising that you would benefit from getting some help can trigger many different emotions.</t>
  </si>
  <si>
    <t>https://pbs.twimg.com/media/EOkpr4nX0AAZYsq.jpg</t>
  </si>
  <si>
    <t>Mujeeb Bangash🇵🇰</t>
  </si>
  <si>
    <t>hangu pakistan</t>
  </si>
  <si>
    <t>Epi coordinator District Hangu</t>
  </si>
  <si>
    <t>bucknuttygames</t>
  </si>
  <si>
    <t>Another early stream? Who am I? Come chill and join in some #StarCitizen Enter the #Giveaway to win!! @robertsspaceind Live @  #twitchaffiliate #twitchtv #SupportSmallStreamers #bucknuttygames #mentalhealth #twitchkittens #bucknuttynation #Loveyourself</t>
  </si>
  <si>
    <t>http://twitch.tv/bucknuttygames</t>
  </si>
  <si>
    <t>http://twitch.tv/bucknuttygames #twitchaffiliate, Dedicated Father, quite the handsome boyfriend and proud founder of the #bucknuttynation drop a follow and come chill</t>
  </si>
  <si>
    <t>Talk Wellbeing</t>
  </si>
  <si>
    <t>Steps towards improving your mental health. #mentalhealth #mentalhealthawareness #mentalhealthmatters #love #me #you #step #followers #care #followtrain #instagood #doctor #thoughtoftheday #healthylifestyle…</t>
  </si>
  <si>
    <t>https://www.instagram.com/p/B7dygEMJGuE/?igshid=kglw0zvyr2qe</t>
  </si>
  <si>
    <t>Spreading mental health awareness, positive quotes and strategies for self help Find me on: Facebook and insta @ TalkWellbeing Psychological therapist</t>
  </si>
  <si>
    <t>The Rooftop</t>
  </si>
  <si>
    <t>Havering Council renews mental health support | @LBofHavering extends contract with @RiversideUK which provides accommodation and support for people with #mentalhealth issues. #London #Housing #Homelessness</t>
  </si>
  <si>
    <t>http://bit.ly/2NdqUE4</t>
  </si>
  <si>
    <t>A daily dose of positive news on issues that matter &amp; campaigns that make a difference. Stories to editor@therooftop.news. Funded by @CampaignsUK.</t>
  </si>
  <si>
    <t>https://therooftop.news/</t>
  </si>
  <si>
    <t>The CrimiTalk</t>
  </si>
  <si>
    <t>We watched this last night. Have you seen it yet. So many things can be discussed about it however one thing that stuck out to us was the relationship between #mentalhealth and #violentoffending - what are your views?</t>
  </si>
  <si>
    <t>https://pbs.twimg.com/media/EOkpF0zXUAEawAM.jpg</t>
  </si>
  <si>
    <t>📍| UK🇬🇧 🔎| Est 2016 💼| FREE services for your learning 💡| Alternative &amp; Innovative Criminology 📧| thecrimitalk@outlook.com</t>
  </si>
  <si>
    <t>http://www.thecrimitalk.com</t>
  </si>
  <si>
    <t>LeAnne Guerin, C.A.A</t>
  </si>
  <si>
    <t>I would have loved to see #RobinWilliams go after #Trump &amp; the GOP. But what did the #Republican #MentalHealth arena do? Attack RW w/ #Diagnosis valid &amp;amp; invalid titles, irresponsibly over-Prescribe #medications w/ side effects to #kill him. RW SERVES A BIG #GOD W/BIG INTENT! RT @NancyCushman: THEY got nothing else..it's inevitable..</t>
  </si>
  <si>
    <t>https://twitter.com/NancyCushman/status/1218396228532064257
https://twitter.com/Politidope/status/1218309768726663168</t>
  </si>
  <si>
    <t>pic.twitter.com/7NhcGL7DEC</t>
  </si>
  <si>
    <t>Toledo, Ohio 43612</t>
  </si>
  <si>
    <t>Retired Accountant &amp; Business owner due to 2 separate &amp; inoperable Traumatic Brain Injuries, 9-21-01 &amp; 2-12-09. fabislei7@yahoo.com. Trust God &amp; Love People!</t>
  </si>
  <si>
    <t>http://www.facebook.com/fabislei7</t>
  </si>
  <si>
    <t>Stop asking people who have never been where you're going for directions 😉💜 #garyveechallenge #Happiness #mentalhealth #workinghard #grind #KindnessDay #Kindness #dontforgettosmile #smile #LiveYourLife #MotivationalQuotes #SaturdayMotivation #SaturdayThoughts #SaturdayVibes</t>
  </si>
  <si>
    <t>River Marguerite ♀️♑</t>
  </si>
  <si>
    <t>Friends like this do not exist. Especially if you have a #mentalhealth problem. Nobody cares. They are too busy thinking about themselves. You are always on your own! RT @LatestFreeStuff:</t>
  </si>
  <si>
    <t>https://twitter.com/LatestFreeStuff/status/1218548649107644418</t>
  </si>
  <si>
    <t>https://pbs.twimg.com/media/EOknieBX0AEASxD.jpg</t>
  </si>
  <si>
    <t xml:space="preserve">London, Oxford, Grantchester </t>
  </si>
  <si>
    <t>Each day is different. Make the most of your good ones and self-care your bad. Remember: it is okay not to be okay! #mentalhealth I work to live to write.</t>
  </si>
  <si>
    <t>https://archiveofourown.org/users/RiverM_Hathaway</t>
  </si>
  <si>
    <t>Dr. Philippe Chouinard</t>
  </si>
  <si>
    <t>Canadians need to be aware of this issue and speak to their MPs about it. In my province, many physicians are burning themselves out treating complex patients who wait 18-24 mo to see a psychiatrist  by @ErinAnderssen #mentalhealth #cdnhealth #cdnpoli</t>
  </si>
  <si>
    <t>Dieppe, New Brunswick</t>
  </si>
  <si>
    <t>Family physician passionate about #pediatric physical and #mentalhealth issues. Health literacy advocate. Defender of evidence. Music lover. World traveller.</t>
  </si>
  <si>
    <t>Vibrant Communities Calgary - VCC</t>
  </si>
  <si>
    <t>Half of Canadians have too few local #psychiatrists, or none at all. How can we mend the #mentalhealth gap? Finding psychiatric care is a #challenge for #millions of Canadians in underserved regions.</t>
  </si>
  <si>
    <t>Seeking to engage Calgarians and to advocate for long-term strategies that address the root causes of poverty in Calgary. Also visit @EnoughForAllYYC</t>
  </si>
  <si>
    <t>http://www.vibrantcalgary.com</t>
  </si>
  <si>
    <t>ian hickie</t>
  </si>
  <si>
    <t>Sydney, Australia</t>
  </si>
  <si>
    <t>Co-Director of the Brain and Mind Centre at the University of Sydney, focusing on improving the lives of those who live with mental illness @BrainMind_USyd</t>
  </si>
  <si>
    <t>http://sydney.edu.au/bmri</t>
  </si>
  <si>
    <t>TMS Institute of America</t>
  </si>
  <si>
    <t>Your life doesn't need to be falling apart in order to seek help. In fact, therapy and other forms of treatment can and should be taken as preventative measures. Take action today!  #TMS #Hope #Depression #OCD #PTSD #Mentalhealth #Mentalhealthawareness</t>
  </si>
  <si>
    <t>https://buff.ly/2TvqcpB</t>
  </si>
  <si>
    <t>https://pbs.twimg.com/media/EOkopdGWsAcurUm.jpg</t>
  </si>
  <si>
    <t>Creve Coeur, MO</t>
  </si>
  <si>
    <t>We serve greater St. Louis with #TMS Therapy for the treatment of #Depression. TMS offers long-term remission from Treatment Resistant Depression (TRD).</t>
  </si>
  <si>
    <t>http://www.tmshelps.com</t>
  </si>
  <si>
    <t>Ben Miller</t>
  </si>
  <si>
    <t>"People with serious #mentalhealth conditions who cross paths with criminal justice system are often languishing for weeks and even months in county jails because #Maine doesn’t have enough space to house and treat them..."</t>
  </si>
  <si>
    <t>https://www.pressherald.com/2020/01/17/maine-lawmakers-urged-to-tackle-mental-health-crisis-in-jails/</t>
  </si>
  <si>
    <t>Denver, Colorado</t>
  </si>
  <si>
    <t>Chief Strategy Officer @wellbeingtrust Health policy wonk committed to integrating health #BeWell</t>
  </si>
  <si>
    <t>http://wellbeingtrust.org</t>
  </si>
  <si>
    <t>What To Do When Therapy Does Not Work? #SameHere #positivity #mentalhealth #MentalWellness  via @AthletesPsych</t>
  </si>
  <si>
    <t>https://humanperformancepsychology.com/2020/01/03/what-to-do-when-therapy-does-not-work/</t>
  </si>
  <si>
    <t>No More Martyrs</t>
  </si>
  <si>
    <t>Happy Saturday No More Martyrs family! #NoMoreMartyrs #BlackMentalHealth #BlackWomen #BlackGirls #MentalHealth</t>
  </si>
  <si>
    <t>https://pbs.twimg.com/media/EOkoJgpXsAApUDw.jpg</t>
  </si>
  <si>
    <t>No More Martyrs is a mental health awareness campaign committed to building a community of support for Black women with mental health concerns.</t>
  </si>
  <si>
    <t>http://www.NoMoreMartyrs.org</t>
  </si>
  <si>
    <t>Charmain F. Jackman</t>
  </si>
  <si>
    <t>Thank you @AyannaPressley for sharing your story. As @IyanlaVanzant says, when we share our stories, it not only heals us, it heals others! You have started your journey to #emotionalwellness. #mentalhealth #healpoc @InnoPsych RT @KamalaHarris: It takes courage to share your story—especially as you are processing. @AyannaPressley: thank you for being an inspiration to us all.</t>
  </si>
  <si>
    <t>https://twitter.com/KamalaHarris/status/1218192072819298304</t>
  </si>
  <si>
    <t>https://pbs.twimg.com/media/EOa0GWzW4AAOuLZ.jpg</t>
  </si>
  <si>
    <t>Psychologist. Writer. Public Speaker. Emotional Wellness Expert. Diversity &amp; Inclusion Consultant. Bedtime story narrator</t>
  </si>
  <si>
    <t>http://www.InnoPsych.com</t>
  </si>
  <si>
    <t>Compassionate Cuppa</t>
  </si>
  <si>
    <t>Been invited to #learn more about #trauma by @_breakthroughUK in #Southampton. Many #people that have #challenges with their #mentalhealth have experienced trauma in their lives which also needs addressing for their #emotional #wellbeing. 💜</t>
  </si>
  <si>
    <t>https://pbs.twimg.com/media/EOkoDpEW4AAidQz.jpg</t>
  </si>
  <si>
    <t>Southampton, England</t>
  </si>
  <si>
    <t>Mentoring for your emotional wellbeing. Be supported your way with Compassionate Cuppa.</t>
  </si>
  <si>
    <t>http://www.compassionatecuppa.co.uk</t>
  </si>
  <si>
    <t>Jen | Diffusing the Tension</t>
  </si>
  <si>
    <t>Have you been feeling sad lately? Unmotivated? Is it sadness, or a symptom of something more? #mentalhealth #MentalHealthAwareness #depression #depressionfeelslike #depressionisreal #BloggersHutRT @BloggersHut</t>
  </si>
  <si>
    <t>https://tinyurl.com/rmz5elb</t>
  </si>
  <si>
    <t>Blogger + #mentalhealth advocate. Mom of 2. 4w5. 🌈 Hufflepuff. I help others find hope and inspiration in their mental health journey.</t>
  </si>
  <si>
    <t>https://diffusingthetension.com/follow-me/</t>
  </si>
  <si>
    <t>Richard Dowling 🌍</t>
  </si>
  <si>
    <t>Im yet to read #BirdTherapy by Joe Harkness, but being aware of Joe's story on combating #MentalHealth with nature reversed the course of my day. I woke up feeling lower than I have in a long while but a walk around @KentWildlife Sevenoaks changed that. Thanks Joe! @ChrisGPackham</t>
  </si>
  <si>
    <t>https://pbs.twimg.com/media/EOkn5oXX4AUejD_.jpg</t>
  </si>
  <si>
    <t>Kent</t>
  </si>
  <si>
    <t>Interest in Natural World &amp; Wildlife. UK Wildlife Photographer &amp; Birder. Passion for Sustainable food, Biodiversity, Climate &amp; Environment, Walking, Rivers, NFL</t>
  </si>
  <si>
    <t>http://500px.com/dowlingnfl</t>
  </si>
  <si>
    <t>“When we tell children, and girls in particular, that this type of behavior is acceptable, we reinforce the notion [that] bullying behavior is a normal part of romantic relationships — and this is just simply untrue."  #Mentalhealth</t>
  </si>
  <si>
    <t>http://bit.ly/387DjBA</t>
  </si>
  <si>
    <t>Tandem Media</t>
  </si>
  <si>
    <t>Roadware Now in Pre-Production #roadwarethemovie #addiction #mentalhealth #depression #anxiety #endhomelessness #ptsd #homelesslivesmatter #poverty #veterans #humantrafficking #indiefilm #filmcurious</t>
  </si>
  <si>
    <t>https://pbs.twimg.com/media/EOknkxwXUAArhQw.jpg</t>
  </si>
  <si>
    <t>Producers of Last Gambit. Creators of the Biomechanic Approach to Acting - BRAVO System. Follow for #castings https://lastgambit.vhx.tv/</t>
  </si>
  <si>
    <t>http://www.TandemMediaUSA.com</t>
  </si>
  <si>
    <t>vamproy</t>
  </si>
  <si>
    <t>Explaining a little bit about my schedule. #depression #autism #mentalhealth #sadness #darkness #aspergers  via @YouTube</t>
  </si>
  <si>
    <t>https://youtu.be/3SJ_ETaxo9c</t>
  </si>
  <si>
    <t>Nederland</t>
  </si>
  <si>
    <t>Twitch, YouTube, IT, Games</t>
  </si>
  <si>
    <t>http://www.twitch.tv/vamproy</t>
  </si>
  <si>
    <t>SickNotWeak</t>
  </si>
  <si>
    <t>If you can't say to the people around you 'I suffer from a #mentalhealth problem,' you need to do something. - ML #SickNotWeak</t>
  </si>
  <si>
    <t>We help people understand that mental illness is a sickness, not a weakness. Founded by @HeyLandsberg, we are a statement, a community, a movement. #SickNotWeak</t>
  </si>
  <si>
    <t>http://www.SickNotWeak.com</t>
  </si>
  <si>
    <t>The Parenting 411</t>
  </si>
  <si>
    <t>Spread the word. Let the healing begin. Really want to speak to this author on Parenting 411. Bring back #blackboyjoy. #mentalhealth #raisingblackboys #blackmentalhealth</t>
  </si>
  <si>
    <t>https://www.lex18.com/news/national/author-hopes-to-tackle-mental-illness-in-african-american-community-with-picture-book</t>
  </si>
  <si>
    <t>2019 DC Mother of the Year, Radio Host, named Radio Personality of the Year at SpeakerCon 2019 🙌🏽👶🏽👶🏽❤️🏀🎙💯</t>
  </si>
  <si>
    <t>http://www.carolmuleta.com</t>
  </si>
  <si>
    <t>MMK Mind</t>
  </si>
  <si>
    <t>We stumbled upon this article which we felt makes a great point, so wanted to share it. Whilst we work to continue encouraging people to feel confident talking about their #mentalhealth, it is important that we remember that it's different for everyone.</t>
  </si>
  <si>
    <t>http://ow.ly/ZF1t50xWWy0</t>
  </si>
  <si>
    <t>Maidstone, Swale &amp; Ashford</t>
  </si>
  <si>
    <t>We are #Maidstone and Mid-#Kent Mind. We are here to support anyone with a #MentalHealth problem. This is not monitored 24/7.</t>
  </si>
  <si>
    <t>Disorders present unique challenges for people. Accepting others for what they are and helping one another to be our best selves is the way for everyone to "fit in" and have that all important sense of belonging. #MentalHealth #SNAPtoday</t>
  </si>
  <si>
    <t>https://pbs.twimg.com/media/EOknxiaXUAApWtn.jpg</t>
  </si>
  <si>
    <t>Olex</t>
  </si>
  <si>
    <t>🇵🇱 🇬🇧 Crypto - #Bitcoin #Telcoin #Apollo - Hyperhydrosis sufferer 😅💦 ABBA Robin Williams Fulham FC Poland 🇵🇱 Dog lover</t>
  </si>
  <si>
    <t>Ontario Shores Fdn</t>
  </si>
  <si>
    <t>Already one week in to this amazing #community campaign! Our #SaturdayThoughts are with @PlatosCloset Oshawa who until Jan 31 will MATCH every donation received with purchase in support of #mentalhealth and #recovery @OntarioShores and #BellLetsTalk ❤️ #grateful #weekendvibes</t>
  </si>
  <si>
    <t>https://pbs.twimg.com/media/EOknwL7WoAASrgq.jpg</t>
  </si>
  <si>
    <t>Whitby, Ontario</t>
  </si>
  <si>
    <t>Official account of Ontario Shores Foundation. We raise funds and awareness for mental health @OntarioShores Centre for Mental Health Sciences.</t>
  </si>
  <si>
    <t>https://www.ontarioshores.ca/foundation</t>
  </si>
  <si>
    <t>Learn how to #sew and make incredible #toys #bags and #shirts #blouses &amp; #duvets in #Derby on our #Fashion &amp;amp; #Textiles courses. Make #learning #fun, make new #friends Click here  #NEET #education #youngpeople #parents #training #wellbeing #mentalhealth</t>
  </si>
  <si>
    <t>https://pbs.twimg.com/media/EOkntqNX0AAqekE.jpg</t>
  </si>
  <si>
    <t>Golden Tree CIC</t>
  </si>
  <si>
    <t>Thing don't always turn out the way that we wanted them to. But other opportunities present themselves. #mentalhealth #resilience</t>
  </si>
  <si>
    <t>https://pbs.twimg.com/media/EOknr56W4AA79w0.jpg</t>
  </si>
  <si>
    <t xml:space="preserve">N-E &amp; across the UK </t>
  </si>
  <si>
    <t>Innovative #Mental Health &amp; #Wellbeing training: we provide a selection of #training &amp;/or workshops for #business, #schools and #communities.</t>
  </si>
  <si>
    <t>http://www.goldentreecic.co.uk</t>
  </si>
  <si>
    <t>Oxford Counsellor</t>
  </si>
  <si>
    <t>What causes teen stress, and what helps manage it? @psychtoday  #mentalhealth #stress</t>
  </si>
  <si>
    <t>https://www.psychologytoday.com/gb/blog/packing-success/202001/7-ways-help-teens-manage-stress</t>
  </si>
  <si>
    <t>Counselling in Oxford, @BACP Accredited</t>
  </si>
  <si>
    <t>http://oxford-counsellor.uk</t>
  </si>
  <si>
    <t>Fountain House</t>
  </si>
  <si>
    <t>A writer shares a bit of her experience with hypomania: "I’m flying high on these ideas and desires, and it feels like I have willed them into existence."  #mentalhealth #mentalillness #awareness</t>
  </si>
  <si>
    <t>http://ow.ly/VLRJ50xYvsQ</t>
  </si>
  <si>
    <t>Fountain House empowers people with serious mental illness to live and thrive in society. RTs not endorsements.</t>
  </si>
  <si>
    <t>http://www.fountainhouse.org/</t>
  </si>
  <si>
    <t>Good morning. New #mentalhealth stories and info coming right up! :) Amanda == #mhsm #mhchat #quotes #inspirationalquotes</t>
  </si>
  <si>
    <t>https://pbs.twimg.com/media/EOknk0VW4AATG1u.jpg</t>
  </si>
  <si>
    <t>Dr. Romie Mushtaq MD</t>
  </si>
  <si>
    <t>Did you know that exposure to electronic stimuli and disrupted #sleep are scientifically linked, and sleep problems have a lot of negative consequences? If falling asleep or staying asleep is a problem, we need to #unplug. #digitaldetox #brainhealth #mentalhealth</t>
  </si>
  <si>
    <t>https://pbs.twimg.com/media/EOknkFDWoAEkY4n.jpg</t>
  </si>
  <si>
    <t>Neurology, Integrative Medicine &amp; #mindfulness ✨ Workplace Brain/Mental Health ✨ Speaker✨ Wellness Evolved Podcast✨Chief Wellness Officer, Evolution Hospitality</t>
  </si>
  <si>
    <t>http://DrRomie.com</t>
  </si>
  <si>
    <t>4 ᕼᑌᗰᗩᑎᖇIGᕼTᔕ</t>
  </si>
  <si>
    <t>Rock on🤘☀️😊☀️🙌 . #rockon #rocking #alone #shine #shineon #quotes #inspiration #inspiring #motivation #wisdom #thoughts #dontbeafraid #mentalhealthawareness #mentalhealth</t>
  </si>
  <si>
    <t>https://pbs.twimg.com/media/EOkniLHWoAAkh5J.jpg</t>
  </si>
  <si>
    <t>Citizen of the World</t>
  </si>
  <si>
    <t>#HumanRights Defender. Rights, Freedom, Equality &amp; Justice. Gender-Based Violence &amp; Child Abuse Awareness. Mental Health &amp; Dementia Awareness. #DerechosHumanos.</t>
  </si>
  <si>
    <t>http://www.instagram.com/4_humanrights</t>
  </si>
  <si>
    <t>Independence Blue Cross</t>
  </si>
  <si>
    <t>Want to improve your #mentalhealth? Try ice skating at the Blue Cross @River_Rink Winterfest! ⛸️ Spending time outside helps relieve symptoms of Seasonal Affective Disorder (SAD), which are triggered by winter’s shorter days and low light.</t>
  </si>
  <si>
    <t>http://bit.ly/2ttqdzG</t>
  </si>
  <si>
    <t>Independence Blue Cross is an independent licensee of the @BCBSAssociation providing health insurance in Philadelphia and southeastern PA.</t>
  </si>
  <si>
    <t>http://www.ibx.com</t>
  </si>
  <si>
    <t>Ellen Acconcia 🏙🐶🗽🌷🚖🌃🌉</t>
  </si>
  <si>
    <t>This article is a must read. It accurately depicts what #mentalillness and the failed #mentalhealth system is doing to families all across the US. Time to wake up and not let any more generations go to waste. #mentalhealthadvocacy #MentalHealthAwareness RT @UCLASemelFriend: What #schizophrenia does to families — and why the #mentalhealth system can’t keep up - The Washington Post</t>
  </si>
  <si>
    <t>https://twitter.com/uclasemelfriend/status/1218547659905961985
https://www.washingtonpost.com/magazine/2020/01/13/what-schizophrenia-does-families-why-mental-health-system-cant-keep-up/</t>
  </si>
  <si>
    <t>Northern Virginia/DC metro</t>
  </si>
  <si>
    <t>Bklyn gal, marcomm leader, interests #healthcare #mentalhealth; #content #amwriting ❤️NY! Nats! Opinions my own. http://www.linkedin.com/mediamarketingpro</t>
  </si>
  <si>
    <t>http://www.linkedin.com/in/mediamarketingpro</t>
  </si>
  <si>
    <t>Great to be part of the @HappyHeadsMH conference today #happyheads #mentalhealth</t>
  </si>
  <si>
    <t>https://pbs.twimg.com/media/EOknLzjWsAELT1A.jpg</t>
  </si>
  <si>
    <t>The Daily Brew Journal</t>
  </si>
  <si>
    <t>For your next #fundraising event consider using our #NonProfit #selfcare #journal as a #reward , #incentive or door prize. Look at how one organization gave it those who #donated the most to their #fashionshow , which raised funds for #mentalhealth #advocacy.</t>
  </si>
  <si>
    <t>https://pbs.twimg.com/media/EOkm8YWX4AEnrc0.jpg</t>
  </si>
  <si>
    <t>Help yourself, help another!</t>
  </si>
  <si>
    <t>A best selling 365-Day Guided Journal : thought provoking prompts, inspirational quotes +. All proceeds donated to charity. #SelfCare #MentalHealth #Journaling</t>
  </si>
  <si>
    <t>http://www.outskirtspress.com/dailybrewjournal</t>
  </si>
  <si>
    <t>The #Trauma Inflicted by Child Sex Predators  #ChildAbuse #psychology #MentalHealth</t>
  </si>
  <si>
    <t>http://bit.ly/1TZp2NI</t>
  </si>
  <si>
    <t>Web therapy is the perfect self care for these kind of days! #Maryland #mentalhealth RT @TurkWJZ: Very dry cold air is preventing much of the precipitation that’s over the area from reaching the ground at this point. A few more rounds of moisture will be moving through this morning and afternoon, so be on guard for anything from snow to sleet , ice &amp;rain</t>
  </si>
  <si>
    <t>https://twitter.com/TurkWJZ/status/1218517717935951873</t>
  </si>
  <si>
    <t>What #schizophrenia does to families — and why the #mentalhealth system can’t keep up - The Washington Post</t>
  </si>
  <si>
    <t>✨IAMAllisonLawrence✨</t>
  </si>
  <si>
    <t>There is beauty in #stillness. #freegame #mentalhealth #thebestisyettocome #sessionweekends #pausereflectrelax</t>
  </si>
  <si>
    <t>Personal Acct | TCSGLLC | Politico | Connector | Sports | Foodie | Traveler | Music | Creator | Event Planner | Survivor 💜| RETWEETS &amp; LIKES 🚫 ENDORSEMENTS</t>
  </si>
  <si>
    <t>issaraya</t>
  </si>
  <si>
    <t>guys pls, if theres someone whos going thru a rough time, dont talk about urself. they just need u to listen #Mentalhealth</t>
  </si>
  <si>
    <t>i just wanna rant</t>
  </si>
  <si>
    <t>Why Talking to Yourself Is a Secret Superpower by @lemonsand in @elemental  #Self #Psychology #MentalHealth #Brain #Anxiety</t>
  </si>
  <si>
    <t>https://elemental.medium.com/why-talking-to-yourself-is-a-secret-superpower-5eff091b896c</t>
  </si>
  <si>
    <t>.@BlurtAlerts article about self-care when the news is bad may be useful, whatever age you are:  #mentalhealth</t>
  </si>
  <si>
    <t>http://bit.ly/blurtnews8</t>
  </si>
  <si>
    <t>https://pbs.twimg.com/media/EOkmX4BXsAI2jzF.jpg</t>
  </si>
  <si>
    <t>Heartspring Therapy</t>
  </si>
  <si>
    <t>“One important thing to remember is, like for all of us, high functioning #anxiety can turn into something a lot more disruptive without proper treatment and support.” #MentalHealth #Wellness #Therapy What is High-Functioning Anxiety?</t>
  </si>
  <si>
    <t>https://www.talkspace.com/blog/what-is-high-functioning-anxiety/</t>
  </si>
  <si>
    <t>Individual/couples therapy (in-person and online) based in Toronto, ON. Page managed by @DAllenRSW</t>
  </si>
  <si>
    <t>http://heartspringtherapy.ca</t>
  </si>
  <si>
    <t>Life: oh hey, things are going great for you right now Me: thanks they really are Life: I know, let's see if we can change it, make your life totally shit, that's better for you Life always finds a way to fuck things up #MentalHealth #MentalHealthAwareness #KeepTalkingMH</t>
  </si>
  <si>
    <t>elmarie</t>
  </si>
  <si>
    <t>In the salon, the only time I read the Daily Mail gossip. Good God it's woeful. Relentless bullying, lowest common denominator topics, &amp; riddled with typos. It's like they're in such a rush to feed the machine they don't even bother checking anything. #toxic #mail #mentalhealth</t>
  </si>
  <si>
    <t>https://pbs.twimg.com/media/EOkmIxtWoAAj4ZC.jpg</t>
  </si>
  <si>
    <t>Cork</t>
  </si>
  <si>
    <t>Arts &amp; Culture for Cork City &amp; County on Cork's 96FM &amp; C103 ❤ Ovarian Cancer Survivor!!</t>
  </si>
  <si>
    <t>http://www.96fm.ie</t>
  </si>
  <si>
    <t>N O R T H S T A R ☽ XXX 💔</t>
  </si>
  <si>
    <t>Sorry that it took FOREVER to upload, but here’s a new video on insecurity and relationships!! Full video link in my bio. Please retweet and leave me some loooooove! ❤️🙏🏼✨✨ #Insecure #youtube #RelationshipGoals #relationships #advice #mentalhealth</t>
  </si>
  <si>
    <t>pic.twitter.com/q302WVJA7A</t>
  </si>
  <si>
    <t>NEW ORLEANS, LA</t>
  </si>
  <si>
    <t>LIFE COACH. Black belt in Taekwondo. YOUTUBER. #motivation #selflove #empath #martialartist #vegetarian #Virgo ♍️ 🖤 NOLA ✨ #LLJ</t>
  </si>
  <si>
    <t>https://www.youtube.com/channel/UCbqFWDBnmtLFlSjgAgrO5rQ</t>
  </si>
  <si>
    <t>Eric Down</t>
  </si>
  <si>
    <t>Sometimes just managing to get up and walk is more important than the direction. Mountains are climed in small steps. #mentalhealth 🗻pauljuniorfrancois @kultma shot on location in stubai_glacier stubai_tirol by…</t>
  </si>
  <si>
    <t>https://www.instagram.com/p/B7dwu4sgcgW/?igshid=xag75f2b8ysv</t>
  </si>
  <si>
    <t>Londinium</t>
  </si>
  <si>
    <t>Style Director, Stylist, Menswear Consultant &amp; Journalist. Thoughts mine only. There's a crack in everything; that's how the light gets in. Pic is my work.</t>
  </si>
  <si>
    <t>http://www.cargocollective.com/ericdownstylist</t>
  </si>
  <si>
    <t>Always have a willing hand to help someone, you might be the only one that does. #charity #storytelling #houston #texas #mentalhealth</t>
  </si>
  <si>
    <t>IceKitty</t>
  </si>
  <si>
    <t>It's been awhile since I streamed, I will soon and I promise I will explain everything on stream. I haven't yet cause its personal and its just been rough. I will post when I'm live til then have a good day guys! #twitch #ps4 #SupportSmallStreamers #gamer #GirlGamer #mentalhealth</t>
  </si>
  <si>
    <t>pic.twitter.com/l4lImFRxYm</t>
  </si>
  <si>
    <t>Twitch Streamer📽 Ps4 Gamer🎮 Mother of Cats😻 http://Twitch.tv/IceKitty📱</t>
  </si>
  <si>
    <t>http://www.instagram.com/IceKitty1212</t>
  </si>
  <si>
    <t>Russell Lehmann</t>
  </si>
  <si>
    <t>People ask me all the time, "How have you come so far in life?" Very simple. Dedication, tenacity and perseverance. Every day is a strenuous effort. Life hasn't gotten easier, but it has gotten BETTER. 💪❤️ #autism #mentalhealth</t>
  </si>
  <si>
    <t>@mitsloan educated motivational speaker, author, poet, advocate. Bookings visit 👇👇👇 #Autism #Mentalhealth</t>
  </si>
  <si>
    <t>http://theautisticpoet.com</t>
  </si>
  <si>
    <t>Dr. Lee Keyes</t>
  </si>
  <si>
    <t>Improving campus response to student needs  #mentalhealth #highereducation @NASPAtweets @ACCA_Now @CounselingViews</t>
  </si>
  <si>
    <t>http://bit.ly/Keyes-Polychronis</t>
  </si>
  <si>
    <t>#Psychologist, #highered #mentalhealth professional, Scots-Irish, music, and baseball fan. Tweeting news and my own views about a very dynamic field.</t>
  </si>
  <si>
    <t>Beth Burgess</t>
  </si>
  <si>
    <t>Why Am I Anxious? Understanding Anxiety  #Mentalhealth #stress #anxietydisorders #life #wellbeing #anxiety #depression #mentalhealthmatters #mentalhealthawareness #stress</t>
  </si>
  <si>
    <t>http://ow.ly/nBvz30g5Ige</t>
  </si>
  <si>
    <t>★ Addiction &amp; Mental Health Expert ★ Author: The Recovery Formula &amp; The Happy Addict http://amzn.to/1soSY56 ★ Freelance Writer ★ Ex-addict ★ Happiness &amp; Effectiveness</t>
  </si>
  <si>
    <t>http://www.smyls.co.uk</t>
  </si>
  <si>
    <t>Aliah Davis-McHenry</t>
  </si>
  <si>
    <t>Social media is no substitute for therapy, but it does give people tangible tools to create deep change in their life. - Nicole LaPerla , “The Holistic Psychologist,” Is Radically Changing The Business Of #MentalHealth  via @forbes</t>
  </si>
  <si>
    <t>https://buff.ly/2RrNavd</t>
  </si>
  <si>
    <t>https://pbs.twimg.com/media/EOklNnQW4AA-vjO.jpg</t>
  </si>
  <si>
    <t>🌙marked &amp; touched by ☀️| 🏆winning #PR #AIMarketing @TheFervency | 💍Mom | I help womxn live well AND get paid @FerventWellness | #LiveFervently🎙Podcast Host</t>
  </si>
  <si>
    <t>http://thefervency.com/</t>
  </si>
  <si>
    <t>Shine</t>
  </si>
  <si>
    <t>👉 NEW JOB POST!! We are hiring! Community Mental Health Worker, Cork, Full-Time. Closing date for applications 10th February. For more information  #jobfairy #wearehiring #community #mentalhealth #Cork #joinourteam</t>
  </si>
  <si>
    <t>https://www.shine.ie/vacancy-community-mental-health-worker-cork/</t>
  </si>
  <si>
    <t>https://pbs.twimg.com/media/EOklMCsXsAAHAhw.jpg</t>
  </si>
  <si>
    <t>Ireland Reg Cty No: 20011512</t>
  </si>
  <si>
    <t>Shine is Ireland's national organisation dedicated to upholding the rights and addressing the needs of people affected by mental illness. See Change &amp; Headline</t>
  </si>
  <si>
    <t>http://www.shine.ie</t>
  </si>
  <si>
    <t>PhillyBlackGiving</t>
  </si>
  <si>
    <t>This Woman Is Changing Wellness For #BlackWomen:  via @Refinery29 #BlackGirlsMatter #ToBeBlackInAmerica #SayHerName #MentalHealth #EndTheStigma #MinorityMentalHealth #Resilience</t>
  </si>
  <si>
    <t>https://r29.co/2FU2sDG</t>
  </si>
  <si>
    <t>The Phila Black Giving Circle cultivates a culture of #philanthropy within the black community &amp; supports our City's black-serving/black-lead non-profits</t>
  </si>
  <si>
    <t>https://www.phillyblackgiving.org/</t>
  </si>
  <si>
    <t>Just Breathe and take in this #relaxing green landscape 🌿 #mentalhealth #stress #anxiety RT @white_queen31: 🌞🌿💦💚💫</t>
  </si>
  <si>
    <t>https://twitter.com/white_queen31/status/1218218672461959168</t>
  </si>
  <si>
    <t>pic.twitter.com/Y442jZLXbC</t>
  </si>
  <si>
    <t>🎼👠Rachel Orr 👠🎼</t>
  </si>
  <si>
    <t>I’m going to wear everything inside out. #6thFeb #mentalhealth RT @jillberry102: "Pupils &amp; teachers across the country are being urged to wear an item of clothing inside out for a day to raise awareness about mental health. The idea of Inside Out Day, 6 Feb, is to make people stop &amp;amp; consider others may look OK on the outside despite feeling distressed." @tes</t>
  </si>
  <si>
    <t>https://twitter.com/jillberry102/status/1218545001120129024</t>
  </si>
  <si>
    <t>Co. Durham England</t>
  </si>
  <si>
    <t>NPQ/Edu Consultant, Mental Health First Aider, Primary Teacher, previously Head Teacher NE UK, Queen of the high heels! Opera Singer. Mozart is in the house!</t>
  </si>
  <si>
    <t>http://highheelsandhighnotes.wordpress.com/</t>
  </si>
  <si>
    <t>Wise Little Owl The wise little owl perched in the oak, Intent to listen, so less he spoke. The less he said, the more he heard, What a wonderful lesson from this little bird!♥️ M. Korach #StarfishClub #mentalhealth #owls #NotesToAYoungerMe</t>
  </si>
  <si>
    <t>https://pbs.twimg.com/media/EOkk1BVXkAAHTLv.jpg</t>
  </si>
  <si>
    <t>JP Trett Ltd</t>
  </si>
  <si>
    <t>Britain’s Fittest Farmer is a competition designed to encourage a vital discussion about the physical and mental health of our farmers in a fun and friendly atmosphere. Have you got what it takes? #JPTtrustthebull #BackBritishFarming #mentalhealth</t>
  </si>
  <si>
    <t>https://buff.ly/2szmFvy</t>
  </si>
  <si>
    <t>https://pbs.twimg.com/media/EOkkwTjXUAAwJsl.jpg</t>
  </si>
  <si>
    <t>Executive Agri-Business Search, Selection and Consultancy - Shaping Strategy and Organising Talent</t>
  </si>
  <si>
    <t>https://jobs.jptrett.com/vacancies/vacancy-search-results.aspx</t>
  </si>
  <si>
    <t>Fred Goldstein</t>
  </si>
  <si>
    <t>Post #CES2020 lets talk about #Health Apps and Current research on their effectiveness —&gt;  #soundcloud #PHC20 #MentalHealth #DigitalHealth #QuantifiedSelf #hcldr #pophealth #Wellbeing</t>
  </si>
  <si>
    <t>https://soundcloud.com/hcnradio/pophealth-minute-brought-to-you-by-accountable-health-llc?in=hcnradio/sets/pophealth-minutes</t>
  </si>
  <si>
    <t>https://pbs.twimg.com/media/EOkkmFkX4AIKciy.png</t>
  </si>
  <si>
    <t>Jacksonville, FL</t>
  </si>
  <si>
    <t>President &amp; Founder-Accountable Health, LLC, consulting on better health system design, Pop Health, mobile tech &amp; data. Co-Founder PopHealth Week #PinkSocks</t>
  </si>
  <si>
    <t>http://www.accountablehealth.wordpress.com</t>
  </si>
  <si>
    <t>BloomerBoomer50</t>
  </si>
  <si>
    <t>Checkout All of the services at MindPath Care Centers are aimed at providing the best MindCare for you... #absenceofmentalillness #boomerboomer #BoomerTV #importanceofmentalhealth #mentalhealth #mentalhealthawareness #MentalHealthCare</t>
  </si>
  <si>
    <t>https://bloomerboomer.com/mental-health-help-online/</t>
  </si>
  <si>
    <t>https://pbs.twimg.com/media/EOkkYx2XUAESCtU.jpg</t>
  </si>
  <si>
    <t>http://BloomerBoomer.com the Plus 50 Good Life, Embrace Age, Empower Dreams, Embrace Life. #life be it #diet, #workouts, #relationship and getting #parttimejob.</t>
  </si>
  <si>
    <t>http://BloomerBoomer.com</t>
  </si>
  <si>
    <t>Plymouth Specials</t>
  </si>
  <si>
    <t>Busy weekend again for our team attending #mentalhealth #training. We are always keeping our skills sharp in the classroom and on the streets. Also joining us is @SouthDevon_SC. @EmmaWebber1 @DC_PolSpecials</t>
  </si>
  <si>
    <t>https://pbs.twimg.com/media/EOkkG_WWAAAWui0.jpg</t>
  </si>
  <si>
    <t>SC team in Plymouth. We do not monitor Twitter 24/7. For non emergencies or reporting crime email 101@dc.police.uk or in an emergency call 999</t>
  </si>
  <si>
    <t xml:space="preserve">Nasreen </t>
  </si>
  <si>
    <t xml:space="preserve">Mumbai and Hyderabad, India </t>
  </si>
  <si>
    <t>#Entrepreneur, #Certified #Clinical #Hypnotist and #Personal #Counsellor. Nature Lover, focused to help mankind</t>
  </si>
  <si>
    <t>http://www.designyourdestiny.in.net</t>
  </si>
  <si>
    <t>David Carvajal</t>
  </si>
  <si>
    <t>I am doing a Brother check-in. Showing support for one another... I need six men to post, not share, this message to show you are always there if someone needs to talk..🤙🤙💙💙 #mentalhealth #lookoutforeachother</t>
  </si>
  <si>
    <t>De Madrid, España</t>
  </si>
  <si>
    <t>Periodista, pero también DJ, actor de doblaje y, en cualquier caso, eterno aprendiz de palabras...</t>
  </si>
  <si>
    <t>http://www.princedomoftrance.com</t>
  </si>
  <si>
    <t>MapsofIndia</t>
  </si>
  <si>
    <t>Mobile Games Addiction, A Threat to Life of Teenagers  #HealthCare #MentalHealth #MobileGames</t>
  </si>
  <si>
    <t>https://www.mapsofindia.com/my-india/society/mobile-games-addiction-a-threat-to-life-of-teenagers</t>
  </si>
  <si>
    <t>For all travelers in India, a Map of India is a must and thus the need for us to find the best map for you.</t>
  </si>
  <si>
    <t>http://www.mapsofindia.com</t>
  </si>
  <si>
    <t>TMoves</t>
  </si>
  <si>
    <t>We would also add on the list : "Dance without passion" "Moving without being conscious of your soul's needs" What would you add for this year? #tmoves #lifeskills #wellbeing #transformation #mentalhealth #selfawareness #behaviourchange #selfmotivation #kindnessmatters</t>
  </si>
  <si>
    <t>https://pbs.twimg.com/media/EOkjsSTW4AEDhXO.jpg</t>
  </si>
  <si>
    <t>Bucharest, Romania</t>
  </si>
  <si>
    <t>Developing 10 life skills endorsed by WHO, so that we cultivate and maintain the mental, emotional, physical and social health. All through movement!</t>
  </si>
  <si>
    <t>saNeuroGut</t>
  </si>
  <si>
    <t>We are back in the lab, feeling energized and ready to take on 2020. Our grant applications have been successful and we are looking forward to getting this project up and running #gutmicrobiome #genetics #mentalhealth #guthealth #southafricanresearch</t>
  </si>
  <si>
    <t>Cape Town, South Africa</t>
  </si>
  <si>
    <t>A South African #research study aimed at unravelling the role of the #gutmicrobiome and host #genetics in #psychiatric disorders. Visit our website to register.</t>
  </si>
  <si>
    <t>http://www.saneurogut.org</t>
  </si>
  <si>
    <t>Hilary Jacobs Hendel</t>
  </si>
  <si>
    <t>Chronic boredom is very distressing. Underlying blocked core emotions need to be discovered and validated to get unstuck. #emotion #education #thechangetriangle #itsnotalwaysdepression #mentalhealth #boredom #symptom #recovery</t>
  </si>
  <si>
    <t>https://psychcentral.com/blog/how-to-deal-with-boredom/</t>
  </si>
  <si>
    <t>I help people understand emotions. My website has free resources &amp; my blog. Sign up to stay connected! Now available: IT’S NOT ALWAYS DEPRESSION (Random House)</t>
  </si>
  <si>
    <t>http://www.hilaryjacobshendel.com</t>
  </si>
  <si>
    <t>|￣￣￣￣￣￣￣￣￣￣￣| YOU ARE WORTH IT |＿___＿＿＿＿＿＿＿＿__| \ (•◡•) / \ / --- | | credit: @depressionnote #mentalhealth</t>
  </si>
  <si>
    <t>Joel Msafiri Francis</t>
  </si>
  <si>
    <t>Johannesburg, South Africa</t>
  </si>
  <si>
    <t>Medical Doctor|Epidemiologist|Researcher @WitsUniversity interested in |#HIV|Substance(#alcohol)_Use|#Mental_Health|#Epidemiology|. #epitwitter Views Are My Own</t>
  </si>
  <si>
    <t>https://www.wits.ac.za/staff/academic-a-z-listing/f/joelfranciswitsacza/</t>
  </si>
  <si>
    <t>Interesting read re deprivation and brain development. Useful to share. #mentalhealth #edutwitter #wellbeing #psychology #traumainformed #braininjury #brain #nurture #Adoption</t>
  </si>
  <si>
    <t>https://www.upi.com/amp/Health_News/2020/01/06/Malnourishment-lack-of-interaction-in-childhood-can-affect-brain-development/5311578334606/</t>
  </si>
  <si>
    <t>Dev Meshram</t>
  </si>
  <si>
    <t>Andheri East, Mumbai</t>
  </si>
  <si>
    <t>Artist,Thoda bohot likh hoon leta kabhi.</t>
  </si>
  <si>
    <t>#mentalhealth #bipolar #BPD #PTSD Well, I'm stuck in the #family home, supervised by my #sister, unable to leave #alone! #crisisteam orders. I feel ok, and I'm really #safe. I am #coping ok. I have #escaped the #darkness. #recovering slowly. Your #kind words help so much 🙏💚</t>
  </si>
  <si>
    <t>https://pbs.twimg.com/media/EOkjKhbXsAABiD6.jpg</t>
  </si>
  <si>
    <t>Fraser Smith, Counselling Psychologist in Training</t>
  </si>
  <si>
    <t>Really blown away by this. The extent of some people’s loneliness is overwhelming. It’s scary how close a connection there is between #loneliness and #mentalhealth difficulties.</t>
  </si>
  <si>
    <t>https://www.theguardian.com/society/2020/jan/16/the-agony-of-weekend-loneliness-i-wont-speak-to-another-human-until-monday</t>
  </si>
  <si>
    <t>•#Counselling #Psychology trainee•@_getpsyched_ creator•#Psychological #Therapist•http://www.GetPsyched.org.uk •International &amp; #TEDxGlasgow Speaker•#GetPsyched</t>
  </si>
  <si>
    <t>https://www.youtube.com/channel/UCFKWBgD39nNzE8lbb8u0SJw</t>
  </si>
  <si>
    <t>GetPsyched</t>
  </si>
  <si>
    <t>💙💛Welcome to #GetPsyched, the #psychology community. We develop psychology content for all on #YouTube, our #blog &amp; on social media!💛💙 creator - @FSmithCPsy</t>
  </si>
  <si>
    <t>http://youtube.com/c/GetPsyched</t>
  </si>
  <si>
    <t>The Nyali Children and Women Hospital</t>
  </si>
  <si>
    <t>#Mentalhealth can affect daily life,relationships, and even physical health. Mental health also includes a person's ability to enjoy life -to attain a balance between life activities and efforts to achieve psychological resilience.Thanks @BofA_News for keeping us informed on this</t>
  </si>
  <si>
    <t>Nyali, Kena</t>
  </si>
  <si>
    <t>Near mama's heart on quality healthcare</t>
  </si>
  <si>
    <t>https://www.nyalichildrenhospital.co.ke/doctor.html</t>
  </si>
  <si>
    <t>-- love lost -- #poetry about the hurt of a #relationship breakdown posted on .@Medium  #writing #poem #poet #writingcommunity #poetrycommunity #life #health #love #wellbeing #psychology #mindhealth #wisdom #mentalhealth #lover</t>
  </si>
  <si>
    <t>https://link.medium.com/tUeWOeoSW2</t>
  </si>
  <si>
    <t>eCampus News</t>
  </si>
  <si>
    <t>Here are 3 reasons students don't seek out on-campus mental health resources  #mentalhealth #studenthealth #campuslife #highered</t>
  </si>
  <si>
    <t>https://buff.ly/35YUhjW</t>
  </si>
  <si>
    <t>https://pbs.twimg.com/media/EOki7G3X0AAdQoR.jpg</t>
  </si>
  <si>
    <t>Maryland</t>
  </si>
  <si>
    <t>We connect you to the latest news &amp; information on how today’s college and university leaders are using #EdTech to improve #HigherEd.</t>
  </si>
  <si>
    <t>http://www.ecampusnews.com</t>
  </si>
  <si>
    <t>Toyin Isujeh</t>
  </si>
  <si>
    <t>Happy Heads</t>
  </si>
  <si>
    <t>What changes can you make in #CBT to change the #mentalhealth cycle? Engaged guests #happyheads20 @MaudsleyNHS</t>
  </si>
  <si>
    <t>#MentalHealth empowerment, encouragement and educational support through the #BalanceBall, a personalised creative recovery tool - happyheadsmh@hotmail.com</t>
  </si>
  <si>
    <t>https://bit.ly/2tOwiXd</t>
  </si>
  <si>
    <t>Vivek Sharma- Social Entrepreneur</t>
  </si>
  <si>
    <t>It'd been a pleasure to have the support of eminent Psychiatrist in Mumbai, Dr. Santosh Bangar for 'God Is Not Fair?' book. His views about mental health in India in #godisnotfair? will surely help youth. #Indussourcebooks #globalhospital #mentalhealth #motivation #inspiration</t>
  </si>
  <si>
    <t>https://pbs.twimg.com/media/EOkit9SUEAEbJOx.jpg</t>
  </si>
  <si>
    <t>India, Mumbai</t>
  </si>
  <si>
    <t>Author I Social Entrepreneur I IIM-C</t>
  </si>
  <si>
    <t>http://www.thevivek.in</t>
  </si>
  <si>
    <t>“One of the best self-help/psychology books I have ever read!!” -Amazon Review Give the gift of emotion education and change lives for the better. #wellness #wellbeing #growth  #wellbeing #mentalhealth #anxiety #depression #growth #tool #thechangetriangle</t>
  </si>
  <si>
    <t>https://bookauthority.org/books/new-depression-audiobooks?t=11egqz&amp;s=award&amp;book=0399588140</t>
  </si>
  <si>
    <t>Richard (Dick) Quis</t>
  </si>
  <si>
    <t>We all need a little help now and then.  #SaturdayMorning #SaturdayMotivation #SaturdayThoughts #weekend #Satchat #mentalhealth #MHChat #MentalHealthAwareness #MentalHealthMatters #brainpower #resolutions #healing #mindfulness #anxiety #Wellbeing</t>
  </si>
  <si>
    <t>http://amzn.to/16y5VAa</t>
  </si>
  <si>
    <t>Fullerton, California</t>
  </si>
  <si>
    <t>An author, visual artist and retired CPA with particular interest in helping business owners buy, sell and resolve complex financial challenges.</t>
  </si>
  <si>
    <t>http://www.helpthinkinganew.com</t>
  </si>
  <si>
    <t>Shaun Vos</t>
  </si>
  <si>
    <t>The thing about about my #mentalhealth course is it gives an overview of everything rather than a specific discipline. It's helping me to systemise humanity.</t>
  </si>
  <si>
    <t>Southend, England</t>
  </si>
  <si>
    <t>@Rethink_ Member of the Year. Studying MSc in Mental Health Recovery &amp; Social Inclusion. Ran 3 Marathons in 2019. Planning an Ultra in 2020 https://t.co/Ib6kFO3</t>
  </si>
  <si>
    <t>https://t.co/W5jz04uUc9</t>
  </si>
  <si>
    <t>Look who stoped by to say 👋 over at the Changing Minds corner! #NBC4Expo @nbcwashington #mentalhealth #DontEndYourStory</t>
  </si>
  <si>
    <t>https://pbs.twimg.com/media/EOkiLovXUAARkVs.jpg</t>
  </si>
  <si>
    <t>Marine Ramdhani</t>
  </si>
  <si>
    <t>Bandung, Indonesia</t>
  </si>
  <si>
    <t>http://www.thelouhouse.com</t>
  </si>
  <si>
    <t>Lydia Browne</t>
  </si>
  <si>
    <t>First run of 2020 done.... yes it was slowish and only 2 miles but better than nothing! Feel so much better for doing it no matter how much I really didn’t want too! The little one seemed to enjoy the run out as well 😁🐶 #weekend #run #fitnessfirst #mentalhealth</t>
  </si>
  <si>
    <t>Sometimes you miss the opportunity because you are so focused on the negative. Change your perspective and change your life. #mentalhealth #gamechanger #thebestisyettocome #freegame</t>
  </si>
  <si>
    <t>Sam Magill</t>
  </si>
  <si>
    <t>Take A Minute - my Ardsview Chaplain's Column for @ArdsFC1900 vs @PSNIFC #MentalHealth #RABA #ArdsFamily #WeAreArds @sportschaplain @sportchaplaincy @SPORTS_1stBgr</t>
  </si>
  <si>
    <t>https://pbs.twimg.com/media/EOkh-_qXsAEhtjV.jpg</t>
  </si>
  <si>
    <t>Newtownards, County Down</t>
  </si>
  <si>
    <t>Husband, Dad, Thriver &amp; Ards FC Chaplain</t>
  </si>
  <si>
    <t>Bobbi-Sue</t>
  </si>
  <si>
    <t>We have to make #MentalHealth and #Wellness a priority. This cannot happen if we don’t #EndTheStigma. You are not alone. RT @CharlaStevens: The suicide rate for lawyers has passed that of doctors and dentists. @ABALitigation @LAPNH #LitigationLeader #Wellbeing</t>
  </si>
  <si>
    <t>https://twitter.com/charlastevens/status/1218536670838108160</t>
  </si>
  <si>
    <t>Stamford, CT</t>
  </si>
  <si>
    <t>Feminist, sports/entertainment/media lawyer, animal lover, mental health advocate, planning world domination. She/her. *All opinions/tweets are solely my own*</t>
  </si>
  <si>
    <t>Phil the Fluter</t>
  </si>
  <si>
    <t xml:space="preserve">West Midlands, England. </t>
  </si>
  <si>
    <t>Like to see the best in people, not always successfully.</t>
  </si>
  <si>
    <t>Jess Plant</t>
  </si>
  <si>
    <t>These may be controversial views on #MentalHealth/#MentalIllness. * I don't believe BPD/EUPD = #cPTSD (although there is some overlap, and I think they frequently co-occur). * I don't have a problem with the terms #BPD/#EUPD.</t>
  </si>
  <si>
    <t>Canvey Island, Essex, UK</t>
  </si>
  <si>
    <t>Jess Plant (that's me) uses the pronouns she/they. Blogger. They are a work in progress. For more information, please read the pinned thread ⬇️.</t>
  </si>
  <si>
    <t>https://iamjessplant.blogspot.com/</t>
  </si>
  <si>
    <t>The Lancet Child &amp; Adolescent Health</t>
  </si>
  <si>
    <t>Schools are an important community resource for #MentalHealth promotion. Tolulope Bella-Awusah &amp; Olayinka Omigbodun @UniIbadan discuss school-based mental health interventions in #Nigeria:</t>
  </si>
  <si>
    <t>http://ow.ly/EcoL50xYfUF</t>
  </si>
  <si>
    <t>https://pbs.twimg.com/media/EOkhyH9XUAEQKid.jpg</t>
  </si>
  <si>
    <t>A vital voice for improving young lives, The Lancet Child &amp; Adolescent Health publishes top quality research and trusted comment and opinion.</t>
  </si>
  <si>
    <t>http://www.thelancet.com/child-adolescent</t>
  </si>
  <si>
    <t>CeCe</t>
  </si>
  <si>
    <t>1,000 km speak louder than 1,000 words: running 1,000 km this year to raise awareness of exercise as chronic pain management &amp; #mentalhealth support. Launching 1st March in Hyde Park for #endometriosisawareness month #runningfrompain #chronicillness #endometriosis #runner</t>
  </si>
  <si>
    <t>https://pbs.twimg.com/media/EOkhwzcWAAEIAzK.jpg</t>
  </si>
  <si>
    <t>Digital Advertising Exec. #Endometriosis Stage 4. British Sign Language Level 3. Dreamer. #Marathon (2) 4:29:36 #HalfMarathon (11) 1:50:12</t>
  </si>
  <si>
    <t>https://www.bbc.co.uk/news/av/health-47006228/running-from-endometriosis-i-feel-in-control-again</t>
  </si>
  <si>
    <t>Leyna</t>
  </si>
  <si>
    <t>Spot of balcony gardening in glorious sunshine is genuinely healing after a testing week 🌞🌻 So much so that I’ve just made a vow that this time next year I’ll be out of London and into a place with an actual garden 🤞 #SaturdayThoughts #gardening #sunshine #mentalhealth</t>
  </si>
  <si>
    <t>https://pbs.twimg.com/media/EOkhr2uWoAAwJXA.jpg</t>
  </si>
  <si>
    <t>Science, nature and football (#HCAFC). Occasional volunteer @wildlondon_SHW. London National Park City* Maker.</t>
  </si>
  <si>
    <t>SB4MH</t>
  </si>
  <si>
    <t>Devie Talks Dissociation #guestblogger #DID #SB4MH #dissociation #mentalhealth</t>
  </si>
  <si>
    <t>http://sexbloggersformentalhealth.sassycat3000.net/devie-talks-dissociation-guest-blogger/</t>
  </si>
  <si>
    <t>Sex Bloggers for Mental Health created by @sassycat38. Admin @May_Matters @sissymaidmelody. Bloggers who write about sex &amp; mental health. #sb4mh</t>
  </si>
  <si>
    <t>http://sexbloggersformentalhealth.sassycat3000.net</t>
  </si>
  <si>
    <t>William Chen, PhD</t>
  </si>
  <si>
    <t>Cursed Madmen: Mental Disorders and Mental Health Stigma in Africa  #mentalhealth #Africa #health</t>
  </si>
  <si>
    <t>http://bit.ly/2DNdQPY</t>
  </si>
  <si>
    <t>Oshawa - Ontario - Canada</t>
  </si>
  <si>
    <t>Husband, father, psychotherapist in private practice, rock musician, and amateur cook. I volunteer as a Program Director at Durham Region Autism Services.</t>
  </si>
  <si>
    <t>http://www.durham-autism.org/</t>
  </si>
  <si>
    <t>Cognimmune</t>
  </si>
  <si>
    <t>12 Mental Health Hacks for Entrepreneurs "There’s a mental health crisis among entrepreneurs. And, that shouldn’t be all that surprising. Being an entrepreneur is stressful, full of uncertainty, unhealthy comparisons, and social isolation."  #MentalHealth</t>
  </si>
  <si>
    <t>https://goo.gl/alerts/4VZkZ</t>
  </si>
  <si>
    <t>Cognimmune is the only organization in the world devoted to preventing the onset of mental and emotional illness. A follow or retweet is NOT an endorsement.</t>
  </si>
  <si>
    <t>http://cognimmune.com</t>
  </si>
  <si>
    <t>Mr Hooper 🎗</t>
  </si>
  <si>
    <t>Just discussing this a few hours back. Many fuelling #mentalhealth problems or masking them through abusing all substances. I know because I was one, 27yrs I haven’t touched a thing 🙌🏻 It’s become a ‘joke’ with potentially a devastating punch ‘line’ 🙏🏻 Take a listen @Dempz8 RT @Dempz8: Don’t be part of this problem. Stop with drugs 😠 #dontfundthem #dontfuelthem #thecountryisfucked</t>
  </si>
  <si>
    <t>https://twitter.com/dempz8/status/1218533235141087233</t>
  </si>
  <si>
    <t>pic.twitter.com/VNA7U9PY6w</t>
  </si>
  <si>
    <t>Ex pro/non league footballer Ambassador @WalkandTalkMMH #roarforjess 🙌🏻 #lookupforkay #WalkandTalkMMH</t>
  </si>
  <si>
    <t>Patricia Stead Counselling</t>
  </si>
  <si>
    <t>It’s good to talk and off load how you are feeling. #SaturdayThoughts #mentalhealth #Wellbeing #selflove</t>
  </si>
  <si>
    <t>https://pbs.twimg.com/media/EOkhNGuXUAEyCsp.jpg</t>
  </si>
  <si>
    <t>Yorkshire and The Humber</t>
  </si>
  <si>
    <t>Person-Centred Counsellor working extensively with clients covering a wide range of issues. Counselling service available for adults, couples and young people.</t>
  </si>
  <si>
    <t>http://www.patriciasteadcounselling.co.uk</t>
  </si>
  <si>
    <t>🌼VIDYA🌺MANDAR🌼</t>
  </si>
  <si>
    <t>ISSUES INDIA SHOULD REALLY BE WORRYING ABOUT #ClimateEmergency #womensafety #Mentalhealth #poverty</t>
  </si>
  <si>
    <t>https://pbs.twimg.com/media/EOkg7lbU4AAovt6.jpg</t>
  </si>
  <si>
    <t>planet earth</t>
  </si>
  <si>
    <t>VOICE YOUR OPINION 🏵️ MAKE A CHANGE 🏵️ MOM 🏵️ BLOGGER 🏵️COFFEEOBESSED🏵️ KARMABELIEVER 🏵️ . . #PROUDINDIAN 🙏🏻</t>
  </si>
  <si>
    <t>http://www.instagram.com/mandar_._vidya</t>
  </si>
  <si>
    <t>We're On Our Way!</t>
  </si>
  <si>
    <t>All you lucky buggers at football this afternoon - I am setting off for work! Usually love this work, not today though #MentalHealth</t>
  </si>
  <si>
    <t>Groundhopping and rating the whole thing. Other account is @RateMySausage</t>
  </si>
  <si>
    <t>The Canaries Trust</t>
  </si>
  <si>
    <t>Today’s @NorwichCityFC programme features a few well chosen words from @MandieMooMoo #mentalhealth #talking #welcomebackmoo 💛💚👍</t>
  </si>
  <si>
    <t>Canaries all over the world</t>
  </si>
  <si>
    <t>Canaries Trust🐤is run by the fans - a non-profit making organisation raising money to buy shares - 13th largest shareholder in @NorwichCityFC.👇🏻JOIN NOW</t>
  </si>
  <si>
    <t>https://canariestrust.org/join/</t>
  </si>
  <si>
    <t>I was the #mentalhealth consultant on #madmen so I got to know #dondraper intimately: “Breaking down and coming back” #addiction #abuse #neglect #infidelity #thechangetriangle #recovery #emotion #education</t>
  </si>
  <si>
    <t>https://www.psychologytoday.com/us/blog/emotion-information/201905/the-trauma-and-shame-don-draper</t>
  </si>
  <si>
    <t>Dr Vasanth R</t>
  </si>
  <si>
    <t>Talk on stress management. @fortis_hospital #mentalhealth</t>
  </si>
  <si>
    <t>https://pbs.twimg.com/media/EOkgx_mU4AEJtYo.jpg</t>
  </si>
  <si>
    <t>Chennai</t>
  </si>
  <si>
    <t>Atle Mesøy</t>
  </si>
  <si>
    <t>Can mental health be one of the causes foreign fighters joined "the Caliphate" and committed war crimes?,  #CVE #mentalhealth #Repatriation</t>
  </si>
  <si>
    <t>https://www.justiceinfo.net/en/tribunals/national-tribunals/42008-first-dutch-islamic-state-fighter-convicted-for-war-crimes.html</t>
  </si>
  <si>
    <t>Oslo</t>
  </si>
  <si>
    <t>Senior Advisor and Analyst in U-Turn #PVE ,#CVE, International Relations, Terrorism, Security. Special Focus: #Internet as a radicalizing space, #IR, #Terrorism</t>
  </si>
  <si>
    <t>Kat</t>
  </si>
  <si>
    <t>7 Things an Angry Mom Needs More than Ever #momlife #mentalhealth #selfcare</t>
  </si>
  <si>
    <t>https://ift.tt/2UzfFuI</t>
  </si>
  <si>
    <t>https://pbs.twimg.com/media/EOkgrWIX4AA5gF6.png</t>
  </si>
  <si>
    <t>Dearly Loved Child | Mom Life on Purpose</t>
  </si>
  <si>
    <t>http://www.dearlylovedchild.com</t>
  </si>
  <si>
    <t>Paige Bridges</t>
  </si>
  <si>
    <t>Apps like facetune are disgusting #mentalhealth #bdd</t>
  </si>
  <si>
    <t>Passions: Photography🗻Tea🍵 Protection of wildlife &amp; green spaces🦉 ENFP with BPD ♍</t>
  </si>
  <si>
    <t>Moms and Martinis Podcast</t>
  </si>
  <si>
    <t>Do you have a #selfcare routine? What does it consist of? #research #mentalhealth #physicalhealth #mentalhealth</t>
  </si>
  <si>
    <t>Moms and Martinis Podcast was created by best friends, Lark and Kira, to discuss motherhood, careers, love and this roller coaster called life.</t>
  </si>
  <si>
    <t>André Picard</t>
  </si>
  <si>
    <t>What #schizophrenia does to families — and why the #mentalhealth system can’t keep up, by @AbigailDJ  via @wpmagazine</t>
  </si>
  <si>
    <t>Montréal</t>
  </si>
  <si>
    <t>André Picard is the health columnist at The Globe and Mail. Author of "Matters of Life and Death." I tweet and RT about health issues, running and journalism.</t>
  </si>
  <si>
    <t>http://www.andrepicard.com</t>
  </si>
  <si>
    <t>Uncle Kaso</t>
  </si>
  <si>
    <t>Shinyanga, Tanzania</t>
  </si>
  <si>
    <t>Teacher | Educationist | Feminist | Human Rights Activist | Politics' Analyst | Researcher | Pan-Africanist</t>
  </si>
  <si>
    <t>Alex Munter</t>
  </si>
  <si>
    <t>Took @CHEOhospital 8 years to staff all our fully-funded psychiatry positions. Zero child psychiatrists in rural area around #Ottawa. Need more MD's trained, more use of other #mentalhealth clinicians, more #digitalhealth solutions.  #ottnews #cdnhealth</t>
  </si>
  <si>
    <t>Proud member of dedicated and innovative @CHEOhospital team as its President and CEO. Also known as #Dad #LGBTQ #Ottawan #SonOfImmigrants @uOttawa+@LSEnews alum</t>
  </si>
  <si>
    <t>http://www.cheo.on.ca</t>
  </si>
  <si>
    <t>richard steven itembe ( Ricky) 🕊</t>
  </si>
  <si>
    <t>news Anchor //reporter ITV &amp; radio one //ricky super rice 🍚 // Future dedicated diplomat &amp; mass communicator</t>
  </si>
  <si>
    <t>http://itv.co.tz</t>
  </si>
  <si>
    <t>Paradigm Consulting</t>
  </si>
  <si>
    <t>With #BellLetsTalk Day coming up on January 29th, we wanted to start sharing some great tips, tricks and resources to help promote #mentalHealth in the workplace! Check out what an awesome @UofRegina PhD student is working on to help employees cope:</t>
  </si>
  <si>
    <t>https://buff.ly/3ajHWdB</t>
  </si>
  <si>
    <t>https://pbs.twimg.com/media/EOkgLVJXUAE6Q5q.jpg</t>
  </si>
  <si>
    <t>|YQR|  |YXE|  |YWG|</t>
  </si>
  <si>
    <t>| Developing and implementing next-level solutions for businesses in the Prairies |</t>
  </si>
  <si>
    <t>http://www.paradigmconsulting.com/</t>
  </si>
  <si>
    <t>Dr. Zack™</t>
  </si>
  <si>
    <t>DM for Ad's | Entrepreneur | @dexterousbabys1 PR | ni mtu fulani hivi wa kawaida sana | http://wa.me/255677825975 ☎ +255734052138</t>
  </si>
  <si>
    <t>http://Zack.com</t>
  </si>
  <si>
    <t>RelaxIntuit.com</t>
  </si>
  <si>
    <t>I've always loved the fact that laughter is a universal language, and it opens every heart. -author, Susie Mantell  #laugh #smiles #smile #humor #laughter #language #universal #healing #laughter #mentalhealth #SaturdayMorning #SaturdayThoughts #</t>
  </si>
  <si>
    <t>http://RelaxIntuit.com/</t>
  </si>
  <si>
    <t>https://pbs.twimg.com/media/EOkf_kAXkAA3_lR.jpg</t>
  </si>
  <si>
    <t>Award-Winning #Meditation CD by #StressRelief Expert Susie Mantell Soothes Sleep &amp; Depression--Mayo Clinic-Betty Ford-Canyon Ranch,Fortune 500.Amazon Bestseller</t>
  </si>
  <si>
    <t>http://www.Relaxintuit.com</t>
  </si>
  <si>
    <t>Get Schooled Tour</t>
  </si>
  <si>
    <t>How are you... really? Text 494949 and let us know. #mentalhealth #livechat #24hours #hope #compassion #presence #txt494949 #help #secretstruggle #depression #anxiety #stigma #change #pleaseshare</t>
  </si>
  <si>
    <t>https://www.instagram.com/p/B7dt2ytgkBa/?igshid=1n4kr0pq2b731</t>
  </si>
  <si>
    <t>Interactive school assemblies that use entertainment, polling, and engaging video to get students to share their secret struggle and move into a system of care.</t>
  </si>
  <si>
    <t>http://www.GetSchooledTour.com</t>
  </si>
  <si>
    <t>Jefflin Persis</t>
  </si>
  <si>
    <t>When you're feeling stressful, make it a point to leave from that place asap. Take a walk, go to a movie, restaurant, meet your loved ones. DO WHATEVER MAKES YOUR HEART HAPPY. Don't ignore the feeling if you're feeling down. Do something about it. #selfcare #Mentalhealth</t>
  </si>
  <si>
    <t>pic.twitter.com/P8eXh64HRR</t>
  </si>
  <si>
    <t>Coimbatore, India</t>
  </si>
  <si>
    <t>Blogger | Content writer | Podcasts coming soon!</t>
  </si>
  <si>
    <t>http://unknowninfinityescape.blogspot.com/?m=1</t>
  </si>
  <si>
    <t>Fighting suicides in dairy country through a Farmer Angel Network  via @washingtonpost #farming #mentalhealth #suicide</t>
  </si>
  <si>
    <t>https://www.washingtonpost.com/national/fighting-suicides-in-dairy-country-through-a-farmer-angel-network/2020/01/17/33f3f584-38c6-11ea-9541-9107303481a4_story.html</t>
  </si>
  <si>
    <t>Running From The Black Dog (Gavin Simpson)</t>
  </si>
  <si>
    <t>Another blog, this time I cover more mental health, what helps me, what brings me down, nutrition, family and @parkrunuk. #running #mentalhealth #ukrunchat @GoZwiftRun @TheGutHealthDoc @runningblogs Running From The Black Dog - Hello Blue Skies!</t>
  </si>
  <si>
    <t>http://runningfromtheblackdog.com/hello-blue-skies</t>
  </si>
  <si>
    <t>Northampton, England</t>
  </si>
  <si>
    <t>A middle aged wannabe athlete with a steadily reducing set of spare tyres. Husband, Father, Blogger, Geek. #running #mentalhealth</t>
  </si>
  <si>
    <t>http://www.runningfromtheblackdog.com</t>
  </si>
  <si>
    <t>Paulloveslife 🇬🇧</t>
  </si>
  <si>
    <t>HORROR STORY: UK Schools 'converting toilet blocks into isolation booths'. #news #schools #mentalhealth #youngpeople #healthcare #pupilbehaviour #uk #SaturdayThoughts</t>
  </si>
  <si>
    <t>https://www.theguardian.com/education/2020/jan/17/schools-converting-toilet-blocks-into-isolation-booths</t>
  </si>
  <si>
    <t>“You know the reason The Beatles made it so big?...'I Wanna Hold Your Hand.' First single. Fucking brilliant. 😊🎶🇬🇧</t>
  </si>
  <si>
    <t>First workshop of the day on how #mentalhealth problems happen hosted by @MaudsleyNHS #happyheads20</t>
  </si>
  <si>
    <t>https://pbs.twimg.com/media/EOkfvUJWAAASlgO.jpg</t>
  </si>
  <si>
    <t>“I thought of Kyle as a survivor of emotional abuse despite the fact that others thought he came from a “fine family.” And, I let him know he could heal.” #emotion #education #mentalhealth #traumainformed #abuse #thechangetriangle #itsnotalwaysdepression</t>
  </si>
  <si>
    <t>https://www.hilaryjacobshendel.com/post/disgust</t>
  </si>
  <si>
    <t>Business Advice Donuts</t>
  </si>
  <si>
    <t>Don't let #blueMonday get employees down. Sally Orton of @FineFinishers shares tips for managing employee #mentalhealth</t>
  </si>
  <si>
    <t>https://bit.ly/2TrlXvi</t>
  </si>
  <si>
    <t>Bristol, UK</t>
  </si>
  <si>
    <t>Advice, resources and tools from the six Donut websites helping start-ups and small businesses succeed.</t>
  </si>
  <si>
    <t>http://www.startupdonut.co.uk</t>
  </si>
  <si>
    <t>A_billion_things_ to_do by Deeksha Arora</t>
  </si>
  <si>
    <t>depression, life, positive attitude quotes, motivational quotes  #depression #Mentalhealth #abillionthingstodo #2020goals #SaturdayMotivation #amwriting #bloggerstribe #blogging #motivational #life #Now #mindfulness</t>
  </si>
  <si>
    <t>https://abillionthingstodo.com/life/Something-about-Depression</t>
  </si>
  <si>
    <t>pic.twitter.com/vwnHMiDvwI</t>
  </si>
  <si>
    <t>Panchkula, India</t>
  </si>
  <si>
    <t>#Abillionthingstodobook #author #writer #poetry #quotes #contests #Deekshaquotes #Transforming_lives #a_billion_things_to_do listed in top 25 motivational blogs</t>
  </si>
  <si>
    <t>http://www.abillionthingstodo.com</t>
  </si>
  <si>
    <t>dani krisw</t>
  </si>
  <si>
    <t>Jawa Timur, Indonesia</t>
  </si>
  <si>
    <t>I think it's better to fell good than tolong look good</t>
  </si>
  <si>
    <t>MJ</t>
  </si>
  <si>
    <t>Not bad for my #first #venture out #walking for #2020, even if I am #payingforit now!!😏 #StepCount #Diet #Weightloss #Fitness #LegLifts #ArmWeights #Physical &amp; #MentalHealth &amp;amp; #Wellbeing #PMA #Winning #MJsWorld🤷🏻‍♀️</t>
  </si>
  <si>
    <t>https://pbs.twimg.com/media/EOke2z1XUAATDiM.jpg</t>
  </si>
  <si>
    <t xml:space="preserve">UK mjsworldblog.wordpress.com </t>
  </si>
  <si>
    <t>Ex Model,Hotel/Retail/Haven Manager🎤#Singer #SoundCloud #YouTube #Honest #BLOG #MentalHealth #Fibro #CFS #RLS ❤️#Animals #CrueltyFree✍🏻Tell all #Autobiography</t>
  </si>
  <si>
    <t>http://fb.me/PinkandwildOfficial</t>
  </si>
  <si>
    <t>To succeed, you must first believe YOU CAN! #rednoseday #charity #justsponsored #houston #texas #nonprofits #nonprofitchat #mentalhealth</t>
  </si>
  <si>
    <t>Jennifer Marshall</t>
  </si>
  <si>
    <t>The snow didn’t stop us! Come say hi 👋🏼 from 9am-5pm at the @nbcwashington #NBC4Expo!! Our @ThisIsMyBrave booth is in Section 400! #mentalhealth</t>
  </si>
  <si>
    <t>https://pbs.twimg.com/media/EOkepZCW4AAndcC.jpg</t>
  </si>
  <si>
    <t>Ashburn, VA</t>
  </si>
  <si>
    <t>Executive Dir, @ThisIsMyBrave | #TEDx speaker | Wife &amp; Mama of 2 | Dx #Bipolar 1 | Freelance #writer | Writing my way through living w/ a #mentalillness</t>
  </si>
  <si>
    <t>http://jennifermarshall.me</t>
  </si>
  <si>
    <t>TheMostlySunnyBlog</t>
  </si>
  <si>
    <t>After taking some time off for the holidays I have a new blog post up. All about how I cope with fear. Look forward to your feedback friends! ☀️Copy/paste:  #fearLESS #mentalhealth #scadalliance #fmdsa #chronicillness #chronicdisease #survivor</t>
  </si>
  <si>
    <t>https://themostlysunnyblogspot.wordpress.com/2020/01/18/fear-less/#themostlysunnyblog</t>
  </si>
  <si>
    <t>pic.twitter.com/yzOsAga5Ti</t>
  </si>
  <si>
    <t>Partly cloudy or mostly sunny... you decide.</t>
  </si>
  <si>
    <t>http://themostlysunnyblogspot.wordpress.com</t>
  </si>
  <si>
    <t>// personal belongings // #haiku #poetry - about the formalities of a break up posted on .@Medium  #writing #poetry #poet #writingcommunity #poetrycommunity #life #health #love #wellbeing #psychology #mindhealth #wisdom #mentalhealth #emotions</t>
  </si>
  <si>
    <t>https://link.medium.com/SWPG49ild3</t>
  </si>
  <si>
    <t>MIND</t>
  </si>
  <si>
    <t>Want to learn more about mental health in 2020? Book for our Basic Mental Health Course in #chelmsford on 23rd Jan at 6.30pm  #chelmsford #mentalhealth</t>
  </si>
  <si>
    <t>https://eventbrite.co.uk/e/basic-mental-health-mht1-chelmsford-evening-course-tickets-80047974647</t>
  </si>
  <si>
    <t>Southend, Essex</t>
  </si>
  <si>
    <t>SECE Mind are here to support people with mental health challenges &amp; those who want to care for the mental wellbeing of themselves and others.</t>
  </si>
  <si>
    <t>http://www.seandcessexmind.org.uk</t>
  </si>
  <si>
    <t>Tom Clay Cotter</t>
  </si>
  <si>
    <t>Do you experience painful triggers from your past experiences? Then you need to learn the #NLP technique, Anchoring!  via @SelfHelpHealing #selfimprovement #mentalhealth</t>
  </si>
  <si>
    <t>http://j.mp/2Qwh0OH</t>
  </si>
  <si>
    <t>https://pbs.twimg.com/media/EOkeWK-WsAApEzF.jpg</t>
  </si>
  <si>
    <t>Fresno, CA</t>
  </si>
  <si>
    <t>I Make it Easy for #Californians to Save Money on #Electricity. 🔆 14-Year #Solar Pro. 🔌 #ElectricCar Driver. 👨‍🏫 #Climate Educator. 👩‍👩‍👧‍👦 Dad &amp; Hubby.</t>
  </si>
  <si>
    <t>https://www.linkedin.com/in/tomccotter</t>
  </si>
  <si>
    <t>Emmanuel Benyeogor</t>
  </si>
  <si>
    <t>FCT, Nigeria</t>
  </si>
  <si>
    <t>Building a Network of Public Health Emergency Operations Centres #PHEOCs #EOCs #Epidemiologist YALI RLC Fellow #AMR FlemingFund Fellow</t>
  </si>
  <si>
    <t>http://www.hifa.org/support/members/emmanuel-ifechukwude</t>
  </si>
  <si>
    <t>Taking time to understand someone’s heart is the greatest way to build a relationship. #Mentalhealth #relationships #Friends #grace #Grateful #happiness #joy</t>
  </si>
  <si>
    <t>Dave Harford</t>
  </si>
  <si>
    <t>I’m just going to leave this here for you all to think about. Unfortunately, the column on the right is true - people who are suicidal need help - not criticism. #ItsOkNotToBeOk #mentalhealth #ItsGoodToTalk</t>
  </si>
  <si>
    <t>https://pbs.twimg.com/media/EOkeGkhX4AE6RIh.jpg</t>
  </si>
  <si>
    <t>Worcester, England</t>
  </si>
  <si>
    <t>On a motorway. CFR for @officialwmas. Mental Health First Aider. Rescue3 SRT3. #RoadSafety advocate. @RCSLT award winner 2018 #SpeechTherapy Advocate #999Family</t>
  </si>
  <si>
    <t>http://daveharford.wordpress.com/</t>
  </si>
  <si>
    <t>Salud Laboral</t>
  </si>
  <si>
    <t>Equipo de Profesionales de la Salud y Seguridad Ocupacional Ucevistas 100%.En Democracia y Libertad. En proceso de emigración 🇦🇷🇻🇪.</t>
  </si>
  <si>
    <t>Darryl Freeman</t>
  </si>
  <si>
    <t>How would you convince someone not to commit suicide?  #SuicidePrevention #mentalhealth</t>
  </si>
  <si>
    <t>https://www.uprooted.info/how-would-you-convince-someone-not-to-commit-suicide/</t>
  </si>
  <si>
    <t>Exeter, England</t>
  </si>
  <si>
    <t>Deputy Chief Officer (Children's Services) @Devoncc Sarcastic workaholic. Own views. RT isn't an endorsement. #StandUpforSocialWork #FRSA #LGBT 🏳️‍🌈</t>
  </si>
  <si>
    <t>[We love that some chose to create this inspiring work of art...] "Hope is being able to see that there is light despite all of the darkness." - Desmond Tutu #hope #peace #meditation #mindfulness #mentalhealth #lookup #faith #wisdom #LifeLessons #itgetsbetter</t>
  </si>
  <si>
    <t>https://pbs.twimg.com/media/EOkdx-WWAAADw6B.jpg</t>
  </si>
  <si>
    <t>Dr. Michael Lemieux</t>
  </si>
  <si>
    <t>Thanks @BeyondProf for a great webinar about stress and mental health in academia! I'll be tweeting about several key points raised during that discussion over the next few days for anyone interested @AcademicChatter #phdchat #mentalhealth #AcademicTwitter</t>
  </si>
  <si>
    <t>#Scientist, avid writer, grad student advocate, #scicomm enthusiast, and proud dad. Passionate about leaving places and things better than I found them</t>
  </si>
  <si>
    <t>John McGuirk - Mental Health</t>
  </si>
  <si>
    <t>TL; DR: It's nice to give simple, day to day events a little extra time and care sometimes. Longer Post Version: (Instagram):  (Facebook):  #MentalHealth #breakfast</t>
  </si>
  <si>
    <t>https://www.instagram.com/p/B7dsJJ6B8mk/?igshid=1f9pgdjn8fgth
https://m.facebook.com/story.php?story_fbid=133864074752178&amp;substory_index=0&amp;id=103679511103968</t>
  </si>
  <si>
    <t>https://pbs.twimg.com/media/EOkdfIdXkAEcrEP.jpg</t>
  </si>
  <si>
    <t>Consultant • Psychotherapist • Supervisor • Trainer Previous Manager of Therapeutic Services @OTRBristol Creating Community &amp; Content on #MentalHealth</t>
  </si>
  <si>
    <t>https://www.johninbristol.co.uk</t>
  </si>
  <si>
    <t>Durel Allen</t>
  </si>
  <si>
    <t>#BellLetsTalk day is on January 29. Let’s continue to open up about #mentalhealth and #removethestigma. RT @HeartspringCA: “Silence creates the illusion that those suffering from mental illness are alone, furthering their sense of social exclusion within their communities.” #SaturdayShare Stigma Surrounding Mental Illness | Psychology Today</t>
  </si>
  <si>
    <t>https://twitter.com/heartspringca/status/1218535805284691969
https://www.psychologytoday.com/blog/the-first-impression/201906/stigma-surrounding-mental-illness</t>
  </si>
  <si>
    <t>Therapist focusing on trauma, abuse, shame, relationships, emotion regulation, self-identity; Verified on @PsychToday; Manager/Blogger - @HeartspringCA</t>
  </si>
  <si>
    <t>https://heartspringtherapy.ca</t>
  </si>
  <si>
    <t>Frank King</t>
  </si>
  <si>
    <t>Photo: TEDxDurango, my 5th TEDx talk, "Mental Health and the Orgasm; Treat Your Depression Single Handedly." I love my iPhone, but it's my second favorite handheld device. Talk posts in February. @sspencerthomas @SarahGaer #garyveechallenge #mentalhealth #mentalhealthawareness</t>
  </si>
  <si>
    <t>https://pbs.twimg.com/media/EOkdi_VVUAEx2AE.jpg</t>
  </si>
  <si>
    <t>Writer for the Tonight Show with Jay Leno, Mental Health Comedian and Suicide Prevention Speaker and Trainer 858.405.5653 http://www.FrankTEDTalk.com</t>
  </si>
  <si>
    <t>http://www.theMHcomedian.com</t>
  </si>
  <si>
    <t>1/5 of the way to my word goal for the first draft of my ebook. 🤣 Still a ways to go but my goal is to have the draft done by the end of February, and then begin the editing phase. Any tips for making this as easy as possible? #ebook #writers #help #mentalhealth #bloggers</t>
  </si>
  <si>
    <t>James Donaldson</t>
  </si>
  <si>
    <t>#JamesDonaldson on #MentalHealth – Editorial: Dealing With ‘#Suicide By #Cop’</t>
  </si>
  <si>
    <t>https://standingabovethecrowd.wordpress.com/2020/01/18/jamesdonaldson-on-mentalhealth-editorial-dealing-with-suicide-by-cop/</t>
  </si>
  <si>
    <t>James is the author of “Standing Above the Crowd” http://www.StandingAboveTheCrowd.com He is also a professional speaker, business owner and former NBA All-Star!</t>
  </si>
  <si>
    <t>http://www.teamdonaldson.posterous.com</t>
  </si>
  <si>
    <t>What do you want? Do you even know? 🤔 #garyveechallenge #Happiness #mentalhealth #workinghard #grind #KindnessDay #Kindness #dontforgettosmile #smile #blessed #LiveYourLife #MotivationalQuotes #SaturdayFeeling #SaturdayMotivation #SaturdayThoughts #SaturdayVibes</t>
  </si>
  <si>
    <t>Virginia Bailey</t>
  </si>
  <si>
    <t>Orgullosa de ser Venezolana y Demócrata!</t>
  </si>
  <si>
    <t>// liar’s grin // #haiku #poetry — about people who gleefully hurt with deceit and dishonesty posted on .@Medium  #writing #poem #poet #writingcommunity #poetrycommunity #life #health #love #wellbeing #psychology #mindhealth #mentalhealth #relationships</t>
  </si>
  <si>
    <t>https://link.medium.com/azu0sS0Nl3</t>
  </si>
  <si>
    <t>Homme Fatale (Twink Fatale)</t>
  </si>
  <si>
    <t>I'm not going to hide my feelings because hiding them only causes emotions to fester. You are free to unfollow me but let me know so I can block you #Resist #SickNotWeak #SaturdayThoughts #MentalHealth #Resistance #BlueWave2020 #BlueWave #Warren2020 #Warren #Bernie #BernieSanders RT @HommeFatale3141: Here's honesty. I don't like society. I don't like people. Despite all this tech that is suppose to make our lives better we are still inconsiderate, inhumane and cruel to one another. We don't listen or care. I want to live in an isolated cabin with just myself and a big dog</t>
  </si>
  <si>
    <t>https://twitter.com/HommeFatale3141/status/1218536437701926912</t>
  </si>
  <si>
    <t>The Seedy Streets of PGH</t>
  </si>
  <si>
    <t>Your average homme fatale. I am in love with #twinkdames and #chubbydetectives. Lover of #filmnoir and #hardboileddetectivefiction 🏳️‍🌈🕵🏿🕵🏻‍♂️🚬 #LGBTQ</t>
  </si>
  <si>
    <t>https://en.wikipedia.org/wiki/Film_noir</t>
  </si>
  <si>
    <t>so perfectly #lovepoem #mentalhealth #poetryofinstagram #writingcommunity #poetrycommunity #notecardsandscrolls #wscott #creativewritingcommunity #thoughts #sayings #quotes #qotd #thinker #books #author #poet…</t>
  </si>
  <si>
    <t>https://www.instagram.com/p/B7dsXLtA8o_/?igshid=1s7kvjw1dnz21</t>
  </si>
  <si>
    <t>RobinWindy</t>
  </si>
  <si>
    <t>Check @duckplague  he streams 4 #autismawareness #mentalhealth #positivity and #charity #SupportAllStreamers #twitchstreamer #verified #twitch #stream #Monstrosities #TwitchRetweetsU #TwitchReTweets #WolfPackHype #TheGrizzlyNation #TeamB42 #TeamSH</t>
  </si>
  <si>
    <t>https://ctt.ec/fJHwT+</t>
  </si>
  <si>
    <t>http://www.facebook.com/rv.drumwright</t>
  </si>
  <si>
    <t>http://twitch.tv/cheredrea</t>
  </si>
  <si>
    <t>Jon</t>
  </si>
  <si>
    <t>We had a nice walk Cefn to #MerthyrTydfil town. Great to be outside. I'm cooped in office all day on 📞 A guy passed &amp; 🗣️ about local history. Didn't have the ♥️ to tell him I'm keen on researching local Merthyr heritage 😆, so we let him talk. #SaturdayMood #mentalhealth</t>
  </si>
  <si>
    <t>https://pbs.twimg.com/media/EOkctk4WoAYOIK5.jpg</t>
  </si>
  <si>
    <t>Merthyr - Barry</t>
  </si>
  <si>
    <t>Works for a charity • Welsh speaker • indycurious • ASD awareness • local heritage • learning BSL • [my views, not employer etc.]</t>
  </si>
  <si>
    <t>TRAVIS✖️</t>
  </si>
  <si>
    <t>Miami Beach, FL</t>
  </si>
  <si>
    <t>🧢🚦💰</t>
  </si>
  <si>
    <t>Claudio Cammarano</t>
  </si>
  <si>
    <t>Milan</t>
  </si>
  <si>
    <t>Head of marketing &amp; comms @DeAPlanetaLibri. +10yrs managing complexity &amp; change. MBA @Hult_Biz in London, Dubai &amp; Shanghai. Semiotics, hard facts, innovation.</t>
  </si>
  <si>
    <t>http://claudiocammarano.com</t>
  </si>
  <si>
    <t>Check Please</t>
  </si>
  <si>
    <t>Hope you all have an amazing weekend. #MentalHealthAwareness #mentalhealth #Hospitality</t>
  </si>
  <si>
    <t>An awareness of mental health in hospitality</t>
  </si>
  <si>
    <t>The corporate handjob &amp; #mentalhealth = loss in profits  #work #employees #nhs</t>
  </si>
  <si>
    <t>http://www.georgebarnes.co.uk/career/the-corporate-hand-job-loss-profit-mental-health/</t>
  </si>
  <si>
    <t>https://pbs.twimg.com/media/EOkcrULW4AEE73i.jpg</t>
  </si>
  <si>
    <t>A way to get your true feelings back.  #SaturdayMorning #SaturdayMotivation #SaturdayThoughts #weekend #Satchat #celebrityrehab #opiates #resistance #stigma #change #selfcare #resist #homeless #abuse #trauma #anxiety #pain #disability #PTSD #mentalhealth</t>
  </si>
  <si>
    <t>Après LIVE</t>
  </si>
  <si>
    <t>#ICYMI In a booming economy politicians brag about we have record numbers of #homeless, #depression, #suicide #poverty &amp; #mentalhealth issues! #ApresLIVE #Aspen #Breck #Vail #SuicidePrevention #NewYearNewHope #InclusionWorks #SaturdayVibes 3 MIN READ at:</t>
  </si>
  <si>
    <t>http://apreslive.com/feature-bottom-rail.html</t>
  </si>
  <si>
    <t>https://pbs.twimg.com/media/ENxVe0UXsAEs-IE.jpg</t>
  </si>
  <si>
    <t>Owned &amp; operated by locals with different abilities mixing original &amp; visitor content since 2014... SHARE w/ #ApresLIVE for your chance to be featured!</t>
  </si>
  <si>
    <t>http://www.ApresLIVE.com</t>
  </si>
  <si>
    <t>Muro Walter</t>
  </si>
  <si>
    <t>Dar es Salaam</t>
  </si>
  <si>
    <t>/ liar’s grin / #haiku #poetry — about people who gleefully hurt with deceit and dishonesty posted on .@medium  #writing #poem #poet #writingcommunity #poetrycommunity #life #health #love #wellbeing #psychology #mindhealth #mentalhealth #relationships</t>
  </si>
  <si>
    <t>frazc90</t>
  </si>
  <si>
    <t>I feel terrible I really do, I’m not allowed to express any emotion on any other of my social media accounts so since I have no followers I can say what I like aye? #mentalhealth</t>
  </si>
  <si>
    <t>Telford, England</t>
  </si>
  <si>
    <t>Label owner, alt fashion enthusiast, vegan, Man City, Steelers supporters &amp; a PS4 player</t>
  </si>
  <si>
    <t>https://sandcrowrecords.bandcamp.com</t>
  </si>
  <si>
    <t>KylieHolmes</t>
  </si>
  <si>
    <t>Dear @Barclaycard when are staff going to be properly trained in #FinancialAbuse - I’ll be writing to @SEAresource &amp; @UKFtweets about my concern as your not following the #FinancialAbuse code of Practice - who else have you let down? #mentalhealth</t>
  </si>
  <si>
    <t>Abbotsley, England</t>
  </si>
  <si>
    <t>Author/Writer/. SCWBI Member. @SCWBI_BI MG/YA Margaret Carey Scholarship 2018 Winner. #goldeneggacademy #newegg #Mindfulness &amp; #Meditation Teacher. Love Tennis</t>
  </si>
  <si>
    <t>https://www.lnk.xyz/BJA6d6RxL?aduc=GuCaWGD1579356559879</t>
  </si>
  <si>
    <t>MOG 🇬🇧🏴󠁧󠁢󠁷󠁬󠁳󠁿</t>
  </si>
  <si>
    <t>Sun and ice in parts .. a top day with these fools @OPALlandegla today.. great to see loads of friends out.on the trails as always #mtb #freshair #santacruz #mentalhealth #exercise</t>
  </si>
  <si>
    <t>https://pbs.twimg.com/media/EOkbzXmWkAEZIi5.jpg</t>
  </si>
  <si>
    <t>playing in the hills of wales</t>
  </si>
  <si>
    <t>Enjoying life and having lots of 2 wheeled fun out there with great friends... pedal or throttle .. turn them and amazing things happen</t>
  </si>
  <si>
    <t>Music To Fight Evil</t>
  </si>
  <si>
    <t>FROM THE #PLAYLIST Samaritans by @idlesband Read our interview with the founder of AF Gang, the phenomenal official IDLES fan group that has changed the lives of its members:  #musicto #AlternativeRock #MentalHealth #toxicmasculinity</t>
  </si>
  <si>
    <t>https://buff.ly/2vAZMFB</t>
  </si>
  <si>
    <t>https://pbs.twimg.com/media/EOkb09wX0AAk8K9.jpg</t>
  </si>
  <si>
    <t>Reading, England</t>
  </si>
  <si>
    <t>It's time to rise up and act. Music to Fight Evil playlist. Follow this playlist on your favorite platform: http://bit.ly/2rt6xox</t>
  </si>
  <si>
    <t>https://goo.gl/xeVngs</t>
  </si>
  <si>
    <t>NHS Southport and Formby CCG</t>
  </si>
  <si>
    <t>What do you think about #MentalHealth services? Do you have an idea that could help improve our NHS? Why not tell @HWatchSefton about your experience as part of its #engagement campaign #SpeakUp2020</t>
  </si>
  <si>
    <t>http://bit.ly/35U9eDO</t>
  </si>
  <si>
    <t>https://pbs.twimg.com/media/EOQeB7hXkAIaJCV.png</t>
  </si>
  <si>
    <t>Southport, England</t>
  </si>
  <si>
    <t>NHS Southport and Formby Clinical Commissioning Group plans and buys nearly all local health services in the area. Account monitored 9-5, Monday-Friday.</t>
  </si>
  <si>
    <t>http://www.southportandformbyccg.nhs.uk/</t>
  </si>
  <si>
    <t>Sleepio</t>
  </si>
  <si>
    <t>Did you know: poor #sleep can be both a cause &amp; effect of #mentalhealth conditions, such as #depression &amp;amp; #anxiety? @Sleepio has been clinically proven to #improveyoursleep &amp;amp; support emotional #wellbeing @JAMAPsych</t>
  </si>
  <si>
    <t>https://bit.ly/2E6wHqk</t>
  </si>
  <si>
    <t>Sleepio is the digital program scientifically proven to help overcome poor sleep. Created by @wearebighealth</t>
  </si>
  <si>
    <t>http://www.sleepio.com</t>
  </si>
  <si>
    <t>Therapy Toronto</t>
  </si>
  <si>
    <t>Study looks at nature of buying-shopping disorder  #addiction #mentalhealth #psychology #shopping #technology #tech</t>
  </si>
  <si>
    <t>https://therapytoronto.ca/news/2019/12/study-looks-at-nature-of-buying-shopping-disorder/</t>
  </si>
  <si>
    <t>News about psychology, mental health and related issues from Toronto's premier directory of qualified independent psychotherapists in private practice.</t>
  </si>
  <si>
    <t>http://www.therapytoronto.ca</t>
  </si>
  <si>
    <t>God of Honeybees Podcast</t>
  </si>
  <si>
    <t>Any #developers out there that are interested in being part of a project centered around emotional health? Not a job, just partners on a project. #coding #WebsiteDevelopment #EmotionalIntelligence #mentalhealth</t>
  </si>
  <si>
    <t>This is the official twitter feed for the God of Honeybees Podcast. I am the producer and author of the book under the same title.</t>
  </si>
  <si>
    <t>Obsessive and Repetitive Behaviour (re #Autism)  #ASD #mentalhealth</t>
  </si>
  <si>
    <t>http://www.durham-autism.org/obsessive-repetitive-behaviour-autism/</t>
  </si>
  <si>
    <t>BAME in Forensic Psychology</t>
  </si>
  <si>
    <t>FREE movie screening in London next month about a Black Man’s journey and experience of Psychosis, sectioning and medication. YOU DONT WANT TO MISS THIS! With the fab @Jessica_Pons_ #mentalhealth #bame #patient RT @YvetteArthur9: Looking forward to this documentary about a Black Man’s experience of Psychosis, section and medication. 👇🏾👇🏾👇🏾</t>
  </si>
  <si>
    <t>https://twitter.com/yvettearthur9/status/1218475287190614016
https://www.eventbrite.co.uk/e/screening-of-documentary-film-whose-mind-is-it-anyway-johns-story-tickets-89229930123?ref=eios</t>
  </si>
  <si>
    <t>Peer-led support group for pre-clinicians of a BAME background in Forensic Psychology ||By @DocAiko||</t>
  </si>
  <si>
    <t>Lifting The Lid....</t>
  </si>
  <si>
    <t>What's the difference between *triggered* &amp; feeling miserable or having the blues? does it refer to a hidden trauma or distress &amp;amp; the other is just the *ordinary unhappiness* ( Papa Freud) of everyday life?? #mentalhealth it's a word I hear a lot but not sure what it means. 🤔</t>
  </si>
  <si>
    <t xml:space="preserve">Free state of Devon... </t>
  </si>
  <si>
    <t>Survival isn't some theory operating in a vacuum. It's a matter of my everyday living and making decisions. Audre Lorde</t>
  </si>
  <si>
    <t>Recovery College Online</t>
  </si>
  <si>
    <t>Have you taken a look at our new course yet? It explores what #SocialAnxiety is, the #symptoms, #causes plus #tips on what can help. It’s #free to enrol &amp; take the course:  #OnlineCourse #RCOnline #TEWV #Anxiety #MentalHealth #Wellbeing #PersonalRecovery</t>
  </si>
  <si>
    <t>https://is.gd/7wK6bl</t>
  </si>
  <si>
    <t>https://pbs.twimg.com/media/EOkbYGQXkAA15B4.jpg</t>
  </si>
  <si>
    <t>A website providing mental health and wellbeing information and resources, as well as free online courses for adults and young people.</t>
  </si>
  <si>
    <t>http://www.recoverycollegeonline.co.uk</t>
  </si>
  <si>
    <t>MD Mag</t>
  </si>
  <si>
    <t>Involving parents in their child’s therapy teaches family members how to create a more protective environment so that kids can stay well for longer. #Bipolar #MentalHealth @JAMAPsych</t>
  </si>
  <si>
    <t>https://www.mdmag.com/medical-news/bipolar-symptoms-delayed-family-psychotherapy</t>
  </si>
  <si>
    <t>Clinical News for Connected Physicians. Everything you need to enhance your clinical approach to improving patient care.</t>
  </si>
  <si>
    <t>http://www.mdmag.com</t>
  </si>
  <si>
    <t>Maria Gaian</t>
  </si>
  <si>
    <t>I love this Jim Rohn quote. Too often we feel powerless to #change our lives. We stay stuck cos we can't see any way out. Or we don't want to hurt people. But it's time to put your #mentalhealth first. If you could change anything in your life, what would it be? #depression</t>
  </si>
  <si>
    <t>https://pbs.twimg.com/media/EOkbXECU8AAd8Sg.jpg</t>
  </si>
  <si>
    <t>Alicante, Spain</t>
  </si>
  <si>
    <t>Gaian Therapist specialising in mental health. I run wild, magickal, healing retreats in Spain. 🌈🌻 Herbalism posts over @magiadehierbas</t>
  </si>
  <si>
    <t>https://www.mariagaian.com</t>
  </si>
  <si>
    <t>Claire</t>
  </si>
  <si>
    <t>Hello Art Twitter - I am looking to find some London based art therapy sessions for an art project I am working on with my course. Any help greatly appreciated! #arttherapy #mentalhealth #artastherapy #artsheal</t>
  </si>
  <si>
    <t>Art foundation student | Interested in the dialogue between mental health &amp; art as therapy | Film camera devotee &amp; donut connoisseur |</t>
  </si>
  <si>
    <t>http://instagram.com/lightleakz</t>
  </si>
  <si>
    <t>Congratulations goes to @Barclaycard for the misleading &amp; conflicting me on the info I’ve given on #EconomicAbuse - when are you going to stop this? It’s affecting my #mentalhealth &amp;amp; you’ve signed to the #FinancialAbuse code of Practice</t>
  </si>
  <si>
    <t>Simple_mortal</t>
  </si>
  <si>
    <t>Monterrey, Nuevo León</t>
  </si>
  <si>
    <t>Desde el norte de México. Deportes, música pasada de moda y otras cosas sin importancia. Anti-chairo en los ratos libres, sin goce de sueldo.</t>
  </si>
  <si>
    <t>Good Morning/ Good Afternoon/ Good Night depending on where you are. 🧡 For everyone who might need a hug right now. #mentalhealth</t>
  </si>
  <si>
    <t>pic.twitter.com/Sx960qvBMH</t>
  </si>
  <si>
    <t>Trey. 🌻 🏁</t>
  </si>
  <si>
    <t>Haven’t listened to the new episode of my podcast? How to deal with burnout, ways to address it and more! #socialwork #podsincolor #mentalhealth Check it out here</t>
  </si>
  <si>
    <t>https://podcasts.apple.com/us/podcast/a-podcast-by-trey/id1459188130?i=1000462538577</t>
  </si>
  <si>
    <t>pic.twitter.com/8AsEsi4GRd</t>
  </si>
  <si>
    <t>Author. Social Worker. Change Agent. FXBG ↔️ RVA #FeelGoodFam</t>
  </si>
  <si>
    <t>https://www.uphold318.com/quicklinks</t>
  </si>
  <si>
    <t>easyblinds</t>
  </si>
  <si>
    <t>#Royals lend voices to celebrity-backed #MentalHealth campaign in television first – as well as providing simple steps for dealing with stress, improve #sleep and mood. @ITV  #EveryMindMatters</t>
  </si>
  <si>
    <t>http://ow.ly/o7uI30pHmsp</t>
  </si>
  <si>
    <t>Awarded Gold in the Gentle Parenting Awards &amp; Silver in LovedByParents Awards, 2017. Made &amp; run by Mums, our blackout blinds block more light for better sleep!</t>
  </si>
  <si>
    <t>http://www.easyblindsonline.co.uk</t>
  </si>
  <si>
    <t>We loved hearing from the inspiring Elyn Saks @USCGouldLaw at the @MHforUS #UniteForChange forum! Have you seen her @TEDTalks asking us to see people living with #mentalhealth challenges clearly, honestly &amp; compassionately? Watch it now! #youareflawless</t>
  </si>
  <si>
    <t>http://ow.ly/BdLR30q9ZEZ</t>
  </si>
  <si>
    <t>OneBody</t>
  </si>
  <si>
    <t>This morning's run, heaven on earth. Less than 30 mins drive from the city centre and this is the first time I've ever been here #mentalhealth #exercise #happiness😊 #physicaltherapy #running #nature @ Bohernabreena…</t>
  </si>
  <si>
    <t>https://www.instagram.com/p/B7drUXGH2PS/?igshid=1ro3tgur26j4o</t>
  </si>
  <si>
    <t>Multi-disciplinary Pain Management Clinic. Getting you back to pain free movement. Physical Therapy and life quality facilitators</t>
  </si>
  <si>
    <t>DIRNSA</t>
  </si>
  <si>
    <t>Serbia</t>
  </si>
  <si>
    <t>The very first layers TCP/IP - electronics and telecommunications - supplying systems for saying something on The best hit in The world ​http://gvs.rs</t>
  </si>
  <si>
    <t>http://fb.me/dirnsa</t>
  </si>
  <si>
    <t>Danny Purnaningtyas</t>
  </si>
  <si>
    <t>Not just for him, but for every people, not just in entertainment industry, but for every industry, stop bullying n get a good mental health #stopbullying #Mentalhealth #EXOLStandWith9 SM Entertainment: Protection for EXO’s Kim Jongdae  via @ChangeOrg_ID</t>
  </si>
  <si>
    <t>http://chng.it/jYTm29ZW</t>
  </si>
  <si>
    <t>Yogyakarta</t>
  </si>
  <si>
    <t>❤ On my way ❤</t>
  </si>
  <si>
    <t>http://danningtyas.tumblr.com/</t>
  </si>
  <si>
    <t>Is life always like this? (#thesmiths #goldenlights) #alshepmcr #streetart #mentalhealth #anxiety #depression #ocd #xbox #fortnite #recovery #stigma #morrissey @ManchesterMusi4 @LettersToMoz @TrustFox @stephenclarke17 #hope @OxtonPowers @mancmade @winachitribe @WordsMorrissey</t>
  </si>
  <si>
    <t>pic.twitter.com/6mRhNH3VBE</t>
  </si>
  <si>
    <t>Depth ~N~ Weight</t>
  </si>
  <si>
    <t>“FREE yourself” #forwardradio #depthnweight #recovery #mentalhealth #health #healing #selfcare #anxiety #depression #sober #mentalhealthawareness #wellness #sobriety #selflove #addiction #love #motivation…</t>
  </si>
  <si>
    <t>https://www.instagram.com/p/B7drAeaFfgo/?igshid=1hxpeomgcrglr</t>
  </si>
  <si>
    <t>Louisville’s Only Recovery Radio! Breaking the Stigma of Addiction &amp; Talking Solution! Monday 8AM Tuesday 2PM &amp; Sunday 2PM on @forwardradio 106.5 FM</t>
  </si>
  <si>
    <t>http://DepthNWeight.com</t>
  </si>
  <si>
    <t>SpeaksOut.World</t>
  </si>
  <si>
    <t>We all hold stuff back. And, when it comes to #mentalhealth, we need to do less of it. Speaking out is a necessary part of life. #EndTheSilence #speakout</t>
  </si>
  <si>
    <t>https://pbs.twimg.com/media/EOkaLURWsAAroDy.jpg</t>
  </si>
  <si>
    <t>ProPhysiotherapy</t>
  </si>
  <si>
    <t>A little Saturday motivation... . . . . #prophysiotherapy #earlsfield #health #wellbeing #londonyoga #londonpilates #londonpt #lifecoach #mentalhealth #motivation #strength #positivevibes #love #happy #physiology #anatomy #qotd #inspire</t>
  </si>
  <si>
    <t>https://pbs.twimg.com/media/EOkaHEMWsAAouND.jpg</t>
  </si>
  <si>
    <t>Wandsworth and Wimbledon UK</t>
  </si>
  <si>
    <t>South West London Physiotherapy clinic based in Earlsfield and Wimbledon. Give us a call... We're friendly! 0208 879 1555</t>
  </si>
  <si>
    <t>http://www.prophysiotherapy.co.uk</t>
  </si>
  <si>
    <t>Priory Group</t>
  </si>
  <si>
    <t>What are the links between childhood trauma and complex PTSD?  #mentalhealth #trauma #PTSD</t>
  </si>
  <si>
    <t>http://ow.ly/16fJ50xQ2rB</t>
  </si>
  <si>
    <t>https://pbs.twimg.com/media/EOkaF0QXsAEgObD.jpg</t>
  </si>
  <si>
    <t>Enquiries line: 0800 840 3219</t>
  </si>
  <si>
    <t>Leading UK provider of behavioural care #MentalHealth | #Addiction | #Education #SEN | #ChildrensServices | #AdultCare | #PBIS Account monitored Mon-Fri 9am-6pm</t>
  </si>
  <si>
    <t>https://www.priorygroup.com/</t>
  </si>
  <si>
    <t>Top 5 Accounts to Follow on Instagram for a Daily Dose of Positivity  #Instagram #MentalHealth #SocialMedia</t>
  </si>
  <si>
    <t>https://www.mapsofindia.com/my-india/society/top-5-accounts-to-follow-on-instagram-for-a-daily-dose-of-positivity</t>
  </si>
  <si>
    <t>Acacia Counseling and Wellness</t>
  </si>
  <si>
    <t>I mean, who hasn't felt potato from time to time? #acacia #growthstartshere #hug #stress #mentalhealth #tired</t>
  </si>
  <si>
    <t>https://pbs.twimg.com/media/EOkZ9uYWAAA3w9G.jpg</t>
  </si>
  <si>
    <t>Dedicated to providing college students with quality mental health services! We're in CA near UCSB, UCD, UCLA, UCSD, UCI, and UCSC, and in Minneapolis near UofM</t>
  </si>
  <si>
    <t>http://www.acaciacw.com</t>
  </si>
  <si>
    <t>Alienated</t>
  </si>
  <si>
    <t>Lusaka, Zambia</t>
  </si>
  <si>
    <t>if you stumble, make it part of the dance🍂🍁</t>
  </si>
  <si>
    <t>Empower Counseling Center</t>
  </si>
  <si>
    <t>Learn how to meditate 🧘🏽‍♂️ from a Buddhist monk:  #mindfulness #counseling #mentalhealth #empower #suwanee #gwinnett #sugarhill #buford #depression #anxiety #stress |</t>
  </si>
  <si>
    <t>http://bit.ly/monkmindfulness
http://empowercounseling.net</t>
  </si>
  <si>
    <t>https://pbs.twimg.com/media/EOkZ7lVUEAA0XzU.jpg</t>
  </si>
  <si>
    <t>Suwanee, GA</t>
  </si>
  <si>
    <t>We help busy people trade anxiety and depression for confidence and authenticity. Specializing in anxiety &amp; depression, relationships, and trauma &amp; PTSD.</t>
  </si>
  <si>
    <t>http://empowercounseling.net</t>
  </si>
  <si>
    <t>Should we stop saying "commit suicide"?  #mentalhealth #neuroscience</t>
  </si>
  <si>
    <t>https://bit.ly/2HvP4Il</t>
  </si>
  <si>
    <t>TIDL-SSW</t>
  </si>
  <si>
    <t>Don't miss #TIDL presenters @Dr_JobGetter &amp; @AnaoZhang at @SSWRorg today! Topics of disucssion: #autism #youth #research #dataanalysis More information at  #2020SSWR #mentalhealth #sundayfunday</t>
  </si>
  <si>
    <t>http://ow.ly/fbjC50xYvpH</t>
  </si>
  <si>
    <t>https://pbs.twimg.com/media/EOkZ3uKWoAAYSAq.jpg</t>
  </si>
  <si>
    <t>Ann Arbor, Michigan</t>
  </si>
  <si>
    <t>Treating communities and improving mental health through collaborative research. Creating sustainable, affordable solutions and increasing access to treatment.</t>
  </si>
  <si>
    <t>https://tidl.ssw.umich.edu/</t>
  </si>
  <si>
    <t>IASS Network</t>
  </si>
  <si>
    <t>This case study includes an example of an information, advice and support services work in the area of mental health. Specifically, the impact of systemic difficulties. Read the case study here:  #IASS #SEND #MentalHealth #CaseStudy</t>
  </si>
  <si>
    <t>http://bit.ly/36HGLTC</t>
  </si>
  <si>
    <t>https://pbs.twimg.com/media/EOkZ1ddXUAAQAOU.png</t>
  </si>
  <si>
    <t>IAS Services provide impartial information, advice &amp; support to disabled children and young people, and those with SEN, and their parents. Part of #NCBFamily</t>
  </si>
  <si>
    <t>https://councilfordisabledchildren.org.uk/information-advice-and-support-services-network</t>
  </si>
  <si>
    <t>Maggie Smith</t>
  </si>
  <si>
    <t>Today in “things to soothe your imposter syndrome” #impostersyndrome #mentalhealth RT @joncoopertweets: New members of Trump's impeachment legal team: Ken Starr—lost his job as Baylor president amid allegations the university mishandled cases of football players accused of sexual assaults Alan Dershowitz—accused of having sex w/ an underage girl provided to him by Jeffrey Epstein</t>
  </si>
  <si>
    <t>https://twitter.com/joncoopertweets/status/1218196309015965696</t>
  </si>
  <si>
    <t>Grand Rapids, MI</t>
  </si>
  <si>
    <t>I am a “career bureaucrat” with self-destructing bile ducts &amp; 4/5 of one hip joint. Instagram: @yourfriendmags</t>
  </si>
  <si>
    <t>Mostafa Abdel Wahab</t>
  </si>
  <si>
    <t>Giza</t>
  </si>
  <si>
    <t>Jessica Rowley</t>
  </si>
  <si>
    <t>Really love this for thinking about how to care for ourselves so that we are able to care for others 🙏🏻 #selfcare #mentalhealth RT @_LisaCherry: I feel whole &amp; complete I need to stay feeling so balanced (!) I forgive myself should I go off balance I celebrate life itself I release any negativity that comes towards me I trust the universe in every way</t>
  </si>
  <si>
    <t>https://twitter.com/_lisacherry/status/1218197469965815808</t>
  </si>
  <si>
    <t>https://pbs.twimg.com/media/EOfoJGtXUAAMjgS.jpg</t>
  </si>
  <si>
    <t>Trainee Educational Psychologist @ The Tavistock and Portman NHS🌟 Love all things Psychology &amp; interested in attachment, trauma, emotional literacy &amp; wellbeing</t>
  </si>
  <si>
    <t>TASCharity</t>
  </si>
  <si>
    <t>Calling all TASC #Volunteers! Learn how you can support your colleagues’ #Wellbeing and hear from experts in #Debt management, #Bereavement and #MentalHealth at our #Training workshop on 12/03 in #Preston. Learn more and book your place at:</t>
  </si>
  <si>
    <t>http://bit.ly/TASCPeerSupport</t>
  </si>
  <si>
    <t>https://pbs.twimg.com/media/EOKasF5WoAUSzav.jpg</t>
  </si>
  <si>
    <t>Coventry</t>
  </si>
  <si>
    <t>TASC The Ambulance Staff Charity support present and past ambulance staff and their families in time of need. #ambulancefamily #PTSD #support #rehab</t>
  </si>
  <si>
    <t>http://www.theasc.org.uk</t>
  </si>
  <si>
    <t>Dare Johnson</t>
  </si>
  <si>
    <t>President; Pyramid Of Hearts Humanitarian, Educationist, Master Of Ceremonies.</t>
  </si>
  <si>
    <t>Midwestern Views</t>
  </si>
  <si>
    <t>Dear #Congress &amp; #Senate: Instead of the Trump Impeachment Circus or daily partisan bickering, how about addressing REAL LIFE concerns around #BigTech abuses!  @apple, @snapchat @instagram should be FUNDING #mentalhealth for #teenage #depression #Crisis</t>
  </si>
  <si>
    <t>http://bit.ly/2Tzaaes</t>
  </si>
  <si>
    <t>Indiana</t>
  </si>
  <si>
    <t>A Hoosier who loves family, free enterprise, travel, movies &amp; politics. Want smarter govt, flatter taxes &amp; more common sense political solutions &amp; civil debate.</t>
  </si>
  <si>
    <t>“#Benzodiazepine sedative hypnotics are not recommended for #athletes because of their substantial "hangover" effect, which lengthens reaction time. ” @TheAMSSM #MentalHealth #PositionStatement #SportsPsychiatry #SportsMedicine</t>
  </si>
  <si>
    <t>https://www.medscape.com/viewarticle/923776</t>
  </si>
  <si>
    <t>Solsalud Caribe IPS S.A.S</t>
  </si>
  <si>
    <t>cra 44 72 107 tel 3042031483</t>
  </si>
  <si>
    <t>Somos la organización de salud ocupacional que brinda atención integral y bienestar a la población trabajadora del caribe colombiano.</t>
  </si>
  <si>
    <t>Marci Geller</t>
  </si>
  <si>
    <t>Here is my definition of #mentalhealth When you receive disappointing news, you’re disappointed and then refocus towards something new. When you learn a cherished member of your community is in the end stages of terminal illness, you weep, send them lov…</t>
  </si>
  <si>
    <t>https://ift.tt/2ubtbsR</t>
  </si>
  <si>
    <t>https://pbs.twimg.com/media/EOkYs9bXkAAQhlo.jpg</t>
  </si>
  <si>
    <t>Somewhere, NY</t>
  </si>
  <si>
    <t>Songwriter-singer because the song always comes first. Proud indie! Sign-up to my mailing list for free music and deals: http://www.MarciGeller.com</t>
  </si>
  <si>
    <t>http://www.marcigeller.com</t>
  </si>
  <si>
    <t>Helen Roberts</t>
  </si>
  <si>
    <t>Week 2 &amp; run 3 ✅ #Couchto5K My goal’s not to be a runner (although I like the idea of doing a weekly 5k)! The goal is to not live afraid that my Achilles will rupture again! Even if it did (yikes did I say that?!😱) I don’t want to live fearing it! #livefearfree #mentalhealth</t>
  </si>
  <si>
    <t>Wife of @timroberts_1 &amp; mum of 3 faves. Leadership @Wellspring_ch Author. Speaker. http://helenrobertsspeaker.com/</t>
  </si>
  <si>
    <t>https://pbs.twimg.com/media/EOkYG8WWkAE6zAq.jpg</t>
  </si>
  <si>
    <t>Happy Saturday ☕ You are Enough You are Worth It You are Loved ❤ You might not think so but I Promise it's True Have a Wonderful day my Friends And #BeKind along the way #mentalhealth #YouAreNotAlone #SaturdayThoughts #SaturdayVibes #SaturdayMotivation #Caturday</t>
  </si>
  <si>
    <t>https://pbs.twimg.com/media/EOkXiOkXkAE2oI0.jpg</t>
  </si>
  <si>
    <t>Paula Piccard 🇵🇷 🇺🇸</t>
  </si>
  <si>
    <t>Social media data needed for 'harm' research, say doctors - @BBCNewNews  #socialmedia #data #mentalhealth #privacy</t>
  </si>
  <si>
    <t>http://ow.ly/1nWb30qadX7</t>
  </si>
  <si>
    <t>#NewYork-er #WomeninTech 👩🏾‍💻 #Cybersecurity Advocate ☆ #DigitalTransformation ☆ #DigitalMarketing ☆ Influencer ☆</t>
  </si>
  <si>
    <t>https://campsite.bio/paulapiccard</t>
  </si>
  <si>
    <t>Dr Gaby Parker</t>
  </si>
  <si>
    <t>I love how many of the tube quotes focus on #mentalhealth and challenging stigma.</t>
  </si>
  <si>
    <t>https://pbs.twimg.com/media/EOkXX4WWoAEdr27.jpg</t>
  </si>
  <si>
    <t>Consultant Clinical Neuropsychologist; Central London Community Healthcare &amp; Allied Neuro Therapy Ltd. All views my own.</t>
  </si>
  <si>
    <t>kay</t>
  </si>
  <si>
    <t>Feels rn🥴 #memesdaily #memes #memesRus #memequeen #mentalhealth #mentalbreakdown #mentalbreakdownmemes #mentalbreakdowngang #lisasimpson #lisaedits #thesimpsons #thesimpsonsmemes #lizardqueen #ineedhelp😂</t>
  </si>
  <si>
    <t>https://www.instagram.com/p/B7dpOo5BYnL/?igshid=1q7brskto42z3</t>
  </si>
  <si>
    <t>Make memes not war✌🏼 Blog dedicated to shitposting quality memes✨ Insta: _xXmeme_queenXx_</t>
  </si>
  <si>
    <t>FUNDACION LLINAS ®️</t>
  </si>
  <si>
    <t>Colombia</t>
  </si>
  <si>
    <t>Organización sin ánimo de lucro . Nuestro compromiso Servir . Liderazgo/Emprendimiento/Salud "LES" llinasfundacion@gmail.com</t>
  </si>
  <si>
    <t>Paul Kurdyak</t>
  </si>
  <si>
    <t>A very thought-provoking and balanced piece by @erinanderssen. Great to see @camhnews and @icesontario research synthesized into an important policy issue. There are solutions to #mentalhealth access issues. . .</t>
  </si>
  <si>
    <t>Director, Health Services Research @CAMHnews Mental Health Program Lead @ICESOntario. All views my own.</t>
  </si>
  <si>
    <t>Christina Anne Scott</t>
  </si>
  <si>
    <t>https://www.lnk.xyz/Byll3_Uqr?aduc=orrGUz71579355313857</t>
  </si>
  <si>
    <t>Josh JO 🇺🇬🌍🇺🇬🌎🇺🇬🌏</t>
  </si>
  <si>
    <t>sunflowessandcoffee</t>
  </si>
  <si>
    <t>Lets do a #MentalHealthCheckIn Reply with the colour ♥ emotion you're feeling at the moment.Your mental health matters ♥ #GirlsTalkZA #GirlTalkZA #MentalHealth #SelfCare #selflove #Putyourselffirst</t>
  </si>
  <si>
    <t>https://pbs.twimg.com/media/EOkXGIgWoAAjwig.jpg</t>
  </si>
  <si>
    <t>☀️Universe</t>
  </si>
  <si>
    <t>Positive vibes &amp; wisdom | Self Care Advocate| DM to either talk or vent | Judgement free zone | Don't suffer in silence reach out 💫|</t>
  </si>
  <si>
    <t>ADALBERTO LLINAS ®️</t>
  </si>
  <si>
    <t>COLOMBIA</t>
  </si>
  <si>
    <t>Médico Especialista en Salud Ocupacional y Auditoria en Salud. Libros: *Manual de Auditoria y Gestión de Calidad.*Máscaras Arte Símbolo Cultura. #speaker</t>
  </si>
  <si>
    <t>Abubakar Siddiq</t>
  </si>
  <si>
    <t>Hadejia, Nigeria</t>
  </si>
  <si>
    <t>Rx 💊 #GiveNorthEducation</t>
  </si>
  <si>
    <t>I just want snuggles, a warm heavy weighted blankie, a hot chocolate, my hear stroked &amp; fluffy Jim Jams. Is that really too much to ask? 🤔 #feelpoorly #mentalhealth #DepressionIsReal #fedup #emotional</t>
  </si>
  <si>
    <t>pic.twitter.com/I9qyeEMT9D</t>
  </si>
  <si>
    <t>Dr Ekene C. Agbim (@drgetaheadspace)</t>
  </si>
  <si>
    <t>242/365 vocation challenge. Tip: if you can’t be consistent, at least be persistent. Either way you take, chances are you’ll get to where you want to be. *note to self* #SaturdayThoughts #SaturdayMotivation #SaturdayMorning #mentalhealth #resilience</t>
  </si>
  <si>
    <t>https://pbs.twimg.com/media/EOkWTd2WkAA2lnn.jpg</t>
  </si>
  <si>
    <t>#doctor in 🇬🇧| #lifestylemedicine advocate. Follow my 365 journeys on IG |Creator:'the wellbeings podcast'|Blog: http://Getaheadspace.com. No medical advice.</t>
  </si>
  <si>
    <t>http://www.instagram.com/drgetaheadspace/</t>
  </si>
  <si>
    <t>Women's Brain Proj.</t>
  </si>
  <si>
    <t>How to shape the policy agenda to include #brain and #mentalhealth and the role of sex and gender differences! #policy #womensbrainpro #precisionmedicine #gendermedicine #alzheimers #stroke #migraines #womenshealth #genderequity #neurology #neuroscience #AI</t>
  </si>
  <si>
    <t>https://pbs.twimg.com/media/EOkWSItX0AETeym.jpg</t>
  </si>
  <si>
    <t>Switzerland &amp; Worldwide</t>
  </si>
  <si>
    <t>Understanding the role of sex and gender factors in Brain and Mental Diseases. #womensbrainpro #MentalHealth #precisionmedicine http://www.forum-wbp.com</t>
  </si>
  <si>
    <t>http://womensbrainproject.com/</t>
  </si>
  <si>
    <t>Charlee | SirPenguin🐧</t>
  </si>
  <si>
    <t>The first episode of my brand new podcast has now been released on @Spotify &amp; @Stitcher ! It will be available on @YouTube , @ApplePodcasts , @iheart in a near future! #Speedrun #Speedrunner #MentalHealth @CrashBandicoot @KINGDOMHEARTS RT @SpeedrunPodcast: The first episode of The Speedrunner Podcast (#TSRP) is now out! Episode 1 - Xuio007 (@Xuio_1991): Crash Bandicoot, Kingdom Hearts, Mental Health Available here Spotify:  Stitcher:  #Speedrun #MentalHealth @CrashBandicoot @kingdom</t>
  </si>
  <si>
    <t>https://twitter.com/SpeedrunPodcast/status/1218528420461793280
https://open.spotify.com/show/1s22DXSpcwlEQ86byt0A0X
https://www.stitcher.com/podcast/the-speedrun-podcast</t>
  </si>
  <si>
    <t>https://pbs.twimg.com/media/EOkVIzZW4Ag5zhf.jpg</t>
  </si>
  <si>
    <t>Host of the interactive wrestling show CCW [#CCWShow] | Twitch Affiliate | #SpeedRunning| Swedish 🇸🇪 http://sirpenguins.eu</t>
  </si>
  <si>
    <t>http://twitch.tv/SirPenguins</t>
  </si>
  <si>
    <t>Neesa Sunar</t>
  </si>
  <si>
    <t>. My new blog post! Writing about why I am sort of ashamed of my appearance, etc. #anxiety #depression #wellness #selfies #blog #mentalhealth #aphantasia</t>
  </si>
  <si>
    <t>https://neesasunar.net/blog/f/i-dont-take-photos-and-its-bad</t>
  </si>
  <si>
    <t>#mentalhealth peer specialist and #socialworker w/ #schizoaffective disorder, #mentalillness, #depression, #anxiety. I'm a writer, #songwriter &amp; #mst3k fan!!!</t>
  </si>
  <si>
    <t>http://neesasunar.net</t>
  </si>
  <si>
    <t>human-nature</t>
  </si>
  <si>
    <t>This Human-Nature thing is catching on! #Nature #wellbeing #MentalHealth #wellness RT @FarmingFutures: Does prescribing contact with nature to boost mental health actually work?  @DHSCgovuk @NHSEngland @NASPTweets @GovBusiness @WildlifeTrusts @DomCHiggins</t>
  </si>
  <si>
    <t>https://twitter.com/farmingfutures/status/1217790604597313537
http://ofi.direct/1.20010336</t>
  </si>
  <si>
    <t>https://pbs.twimg.com/media/EOZWLTmWAAEhdyE.jpg</t>
  </si>
  <si>
    <t>Staffs/Cheshire Landscapes</t>
  </si>
  <si>
    <t>Human &amp; Nature’s Wellbeing | Escapes for BUSINESS &amp; COMMUNITY supported by @TNLComFund. Fellow @SchSocEnt</t>
  </si>
  <si>
    <t>http://www.human-nature.org.uk</t>
  </si>
  <si>
    <t>Beno_In_Real_Life</t>
  </si>
  <si>
    <t>Kampala</t>
  </si>
  <si>
    <t>Normal Is Boring. Simplicity in Sophistication. Destiny is all</t>
  </si>
  <si>
    <t>😘✌️ ✨ #Repost @therapywithtalia with @get_repost via @autumn.batson ✨ #therapy #healer #therapist #mentalhealth #psychotherapy #psychotherapist #woundedhealer #healing #uniquetherapyforuniquepeole #mentalwellness #recovery #alanon #trauma #traumarecovery #addiction #addictio…</t>
  </si>
  <si>
    <t>https://pbs.twimg.com/media/EOkVt7UWkAAT8K-.jpg</t>
  </si>
  <si>
    <t>We were very #pleased to be involved with #Southampton #mentalhealth #Network : To make Southampton Mental Health Friendly 💜 #Wellbeing #StrongerTogether #Collaboration #compassion @JurysInnsHotels Southampton</t>
  </si>
  <si>
    <t>https://pbs.twimg.com/media/EOkVQYGXsAEe706.jpg</t>
  </si>
  <si>
    <t>Heads Count</t>
  </si>
  <si>
    <t>Across the country people have told @HealthwatchE that #mentalhealth support is their top health and care issue 🧠 How easy did you find it to access mental health services? Let Healthwatch know today:</t>
  </si>
  <si>
    <t>http://ow.ly/d7RT50xUOVQ</t>
  </si>
  <si>
    <t>https://pbs.twimg.com/media/EOkVNVwX4AANP-K.jpg</t>
  </si>
  <si>
    <t>Plymouth</t>
  </si>
  <si>
    <t>A voice for mental health. Heads Count is a network for those who have experienced mental health services in Plymouth.</t>
  </si>
  <si>
    <t>http://www.colebrooksw.org/heads-count/</t>
  </si>
  <si>
    <t>TheSpeedrunnerPodcast</t>
  </si>
  <si>
    <t>The first episode of The Speedrunner Podcast (#TSRP) is now out! Episode 1 - Xuio007 (@Xuio_1991): Crash Bandicoot, Kingdom Hearts, Mental Health Available here Spotify:  Stitcher:  #Speedrun #MentalHealth @CrashBandicoot @kingdom</t>
  </si>
  <si>
    <t>https://open.spotify.com/show/1s22DXSpcwlEQ86byt0A0X
https://www.stitcher.com/podcast/the-speedrun-podcast</t>
  </si>
  <si>
    <t>Spreading the word of speedrunning through the podcasting world! To be a guest: https://bit.ly/2QW46uV Business inquiries: thespeedrunpodcast@gmail.com</t>
  </si>
  <si>
    <t>https://www.youtube.com/channel/UCguBgUmYBI2oaSPcMpZN7Wg/</t>
  </si>
  <si>
    <t>L-Love</t>
  </si>
  <si>
    <t>#Share/#Retweet: L-Love "Baby Girl (the #MentalHealth song)" #PTSD #MentalHealthAdvocate #Soundtrack #RyanBowers #OdellBeckhamJr #DemiLovato #IggyAzalea @StreamAcademyRT @SSS_Retweets @DynoRTs @RexRTs @SGH_RTs @StreamUnion #Rap #Music #SelfLove #LoveWins.</t>
  </si>
  <si>
    <t>http://reverbnation.com/rapperllove/song/29982666-l-love-baby-girl-mental-health</t>
  </si>
  <si>
    <t>Oakley, California</t>
  </si>
  <si>
    <t>BAY AREA rapper, Deal Shopper and Radio Promoter. Currently completing his 36th album.</t>
  </si>
  <si>
    <t>https://store.cdbaby.com/cd/llove8</t>
  </si>
  <si>
    <t>khady</t>
  </si>
  <si>
    <t>Good mental health allows children to think clearly, make new friend, associate properly, develop socially and learn new skills #MHEI #Nigeria #speakyourmind #mentalhealth #MentalHealthAwarenes #MentalHealthMatters</t>
  </si>
  <si>
    <t>Abuja</t>
  </si>
  <si>
    <t>Co-Founder volunteer connect/Humanitarian/Advocate SDGs/Goal Target #Goal1 #UNvolunteer. Email: nadizat84@gmail.com</t>
  </si>
  <si>
    <t>Gillian Burdon 💚</t>
  </si>
  <si>
    <t>Look after yourself, your body, your mind 💚 Positive #MentalHealth 🚶🏼‍♀️ 🏊🏻‍♀️ 🍏 🥗 📚 📝 🌞 💧 RT @hashtagme_world: January weekend challenge! Sometimes it can be hard to share our thoughts &amp; feelings with others, but talking really can make all the difference.</t>
  </si>
  <si>
    <t>https://twitter.com/hashtagme_world/status/1218479390713053184</t>
  </si>
  <si>
    <t>https://pbs.twimg.com/media/EOjoi4QXkAAQMCp.jpg</t>
  </si>
  <si>
    <t>Dublin</t>
  </si>
  <si>
    <t>Lyme Disease 25+years. Solutions and Positivity freely given and received 💚</t>
  </si>
  <si>
    <t>Study shows how inhibiting norepinephrine signaling may improve cognitive deficits in Alzheimer's disease  #mentalhealth #feedly</t>
  </si>
  <si>
    <t>https://www.reddit.com/r/cogsci/comments/eqbdlt/study_shows_how_inhibiting_norepinephrine/</t>
  </si>
  <si>
    <t>Unconditionally Content</t>
  </si>
  <si>
    <t>One of the most debilitating diseases. #anxiety #panicattacks #palpitations #fear #panic #insomnia #Mentalhealth</t>
  </si>
  <si>
    <t>https://pbs.twimg.com/media/EOkUvjdU8AIgz6_.jpg</t>
  </si>
  <si>
    <t>Mental Health Coach, Learn to be happy, Get Support, Be Aware, Understand Yourself, Be at peace irrespective of the conditions in your life</t>
  </si>
  <si>
    <t>Jen Mercer</t>
  </si>
  <si>
    <t>Exciting Programs starting 2 weeks today!! #fitness #health #liftlean #pilates #liverpool #wellness #mentalhealth #onlinetraining - INVEST IN YOU in 2020!!</t>
  </si>
  <si>
    <t>https://pbs.twimg.com/media/EOkUtqHWoAEqnEO.jpg</t>
  </si>
  <si>
    <t>Liverpool</t>
  </si>
  <si>
    <t>Health, Fitness and Massage Therapy Business based in Liverpool - Sports Massage Therapist at @mossleylfc ⭐️⭐️⭐️⭐️⭐️⭐️🔴⚪️🏆 LFC...</t>
  </si>
  <si>
    <t>http://www.onebody-fitness.co.uk</t>
  </si>
  <si>
    <t>PCI College</t>
  </si>
  <si>
    <t>We hope that the parties who is running in the #GeneralElection2020 will include #mentalhealth in the agenda &amp; that they take into consideration @IACP_ie manifesto which you can read here:  #MakeMentalHealthMoreAffordable #CounsellinginSchools #GE2020</t>
  </si>
  <si>
    <t>http://ow.ly/X5rt50xYQsd</t>
  </si>
  <si>
    <t>Dub-Cork-Lim-Kil-Ath-Bel</t>
  </si>
  <si>
    <t>Excellence &amp; Innovation in Psychological Education - Counselling &amp; Psychotherapy | Psychology | Professional &amp; Personal Development</t>
  </si>
  <si>
    <t>http://www.pcicollege.ie</t>
  </si>
  <si>
    <t>Thoughtify Ltd</t>
  </si>
  <si>
    <t>Over the moon that we’ve been selected as a finalist for a Business of the Year Award! #SOA2020 #business #london #mentalhealth #mhfa #armedforces</t>
  </si>
  <si>
    <t>https://www.linkedin.com/posts/thomasfoxprofile_announcing-the-finalists-activity-6622470657517080576-NlZQ</t>
  </si>
  <si>
    <t>Create a supportive culture of openness, reduce sickness absence, and increase staff morale with our employee mental health training courses for business.</t>
  </si>
  <si>
    <t>http://www.thoughtify.co.uk</t>
  </si>
  <si>
    <t>symper</t>
  </si>
  <si>
    <t>I’d like to be in a small cottage right now, immersed in nature, far far away from here. #mentalhealth #life #living #loving</t>
  </si>
  <si>
    <t>Francisco Guillen</t>
  </si>
  <si>
    <t>Ingeniero Electricista, UC 1974. Master of Applied Science, University of Toronto 1980. Senior IEEE Member 1991.</t>
  </si>
  <si>
    <t>Mark Fowell</t>
  </si>
  <si>
    <t>Perth, WA</t>
  </si>
  <si>
    <t>Lifelong Blackburn Rovers supporter, supports Lancaster City FC, watches Rugby of both codes - and even some Aussie Rules</t>
  </si>
  <si>
    <t>NHSGGC Libraries</t>
  </si>
  <si>
    <t>Working in #PrimaryCare in Scotland? Read the latest guidance on #postnatal #depression #mentalhealth @NESKnowledge #NHSSTheRightDecision</t>
  </si>
  <si>
    <t>http://www.knowledge.scot.nhs.uk/media/14489639/postnatal%20depression%20rd%20jan.pdf</t>
  </si>
  <si>
    <t>Welcome to NHSGGC Library Network. We can help you find knowledge and navigate evidence resources. Retweets are not an endorsement by the Network</t>
  </si>
  <si>
    <t>http://www.nhsggc.org.uk/libraryservices</t>
  </si>
  <si>
    <t>Want to know more about me and my blog?  #AnInconvenientRelative #MentalHealthAwareness #mentalhealth #EndTheStigma #depression #anxiety #ADHD #SaturdayThoughts #SaturdayMorning #SaturdayMotivation #mentalhealthblogger #bloggerstribe</t>
  </si>
  <si>
    <t>http://aninconvenientrelative.blogspot.com/2018/06/inconvenient-relative.html</t>
  </si>
  <si>
    <t>Finding a psychiatrist is nearly impossible for millions of Canadians. How can we mend the #mentalhealth gap? by @ErinAnderssen  via @globeandmail</t>
  </si>
  <si>
    <t>Shirley Yanez</t>
  </si>
  <si>
    <t>I am #Giveaway Another copy of my new book The Mind Detective. #Competition Just follow @Stylishchick and retweet #SaturdayMotivation #SaturdayThoughts A self therapy guide for the reader based on the life changing experience of the writer. #mentalhealth #BookBoost</t>
  </si>
  <si>
    <t>https://pbs.twimg.com/media/EOkTVLaX4AAa4_5.jpg</t>
  </si>
  <si>
    <t>Leicester, England</t>
  </si>
  <si>
    <t>Author The Mind Detective. Talk therapist. Philanthropist TV Presenter CEO Venus Cow creator of The PBL Perfect Black Legging Owner Rescue Boutique. Stylist.</t>
  </si>
  <si>
    <t>http://www.venuscow.com</t>
  </si>
  <si>
    <t>The benefits of brain-training game apps for children with ADHD  #ADHD #mentalhealth</t>
  </si>
  <si>
    <t>http://bit.ly/1mRGotv</t>
  </si>
  <si>
    <t>Recognizing narcissism  #AnInconvenientRelative #MentalHealthAwareness #mentalhealth #EndTheStigma #Narcissist #narcissists #narcissism #narcissisticbehaviour #SaturdayThoughts #SaturdayMorning #SaturdayMotivation #checkyourselfbeforeyouwreckyourself</t>
  </si>
  <si>
    <t>Granuaile</t>
  </si>
  <si>
    <t>Employer Kindness Can Improve Performance And #MentalHealth via @mnt</t>
  </si>
  <si>
    <t>https://buff.ly/2qtUsVp</t>
  </si>
  <si>
    <t>https://pbs.twimg.com/media/EOkTIlUXkAEgF26.jpg</t>
  </si>
  <si>
    <t>Leaders that create collaborative, organisational frameworks achieve superior results.</t>
  </si>
  <si>
    <t>http://www.granuaile.co.uk</t>
  </si>
  <si>
    <t>regis healthcare</t>
  </si>
  <si>
    <t>⭐ A Typical Day at the Only Low Secure CAMHS unit in Wales ⭐  #mentalhealth #CAMHSunit #lowsecureunit #healthcare #dayinthelife #changingthenarrative</t>
  </si>
  <si>
    <t>https://www.regishealthcare.co.uk/post/a-typical-day-at-the-only-low-secure-camhs-unit-in-wales</t>
  </si>
  <si>
    <t>https://pbs.twimg.com/media/EOkS-fpXkAAuYck.jpg</t>
  </si>
  <si>
    <t>Ebbw Vale, South Wales</t>
  </si>
  <si>
    <t>Independent provider specialising in Mental Health for adolescents 13-18. We are the first independent provider of CAMHS provision in Wales. #ebbwvalecamhs</t>
  </si>
  <si>
    <t>http://www.regishealthcare.co.uk</t>
  </si>
  <si>
    <t>Justin Carpenter</t>
  </si>
  <si>
    <t>How to boost your bottom line with a mindfulness approach. We have monthly team mindfulness workshops with @RussellTreasure and the impact on us and the business has been fantastic!  #mindfulness #wellbeing #mentalhealth #team</t>
  </si>
  <si>
    <t>https://hubs.ly/H0mDfDn0</t>
  </si>
  <si>
    <t>Cheshire</t>
  </si>
  <si>
    <t>http://www.CollingwoodSearch.co.uk</t>
  </si>
  <si>
    <t>Collingwood</t>
  </si>
  <si>
    <t>How to boost your bottom line with a mindfulness approach  #mindfulness #wellbeing #mentalhealth #teamc</t>
  </si>
  <si>
    <t>https://hubs.ly/H0mDcz10</t>
  </si>
  <si>
    <t>Collingwood Search &amp; Consulting provide bespoke solutions to support our clients in making their strategy's happen. #Chester #NorthWest #UK</t>
  </si>
  <si>
    <t>http://www.collingwoodsearch.co.uk/about-us/</t>
  </si>
  <si>
    <t>Jessica Blythe</t>
  </si>
  <si>
    <t>Brave new article explores the immense challenges facing #interdisciplinary #ECRs, with a much needed focus the responsibility of institutions to support #mentalhealth Led by EvanAndrews &amp; @sjmharper  @charwhitney1 @NathanJBennett @gbepstein @julianop_a</t>
  </si>
  <si>
    <t>https://doi.org/10.1093/icesjms/fsz247</t>
  </si>
  <si>
    <t>Brock University, Canada</t>
  </si>
  <si>
    <t>Assistant Professor @brockUESRC | Devoted to sustainability from local to global #climatechange #adaptation #transformation #oceans #SDG14 🌿🐟</t>
  </si>
  <si>
    <t>https://scholar.google.ca/citations?user=CFAgvSQAAAAJ&amp;hl=en</t>
  </si>
  <si>
    <t>Finola Colgan</t>
  </si>
  <si>
    <t>#SaturdayThoughts great discussion with the #veterinary professionals #resilience #wellbeing #mentalhealth @MentalHealthIrl @AthloneIT @DrLisageraghty @nursieLT</t>
  </si>
  <si>
    <t>https://pbs.twimg.com/media/EOkSkcbXsAEeMkv.jpg</t>
  </si>
  <si>
    <t>Development Officer @MentalHealthIr interest #mentalhealthpromotion #LawLecturer #wellbeing. Vews/tweets personal.</t>
  </si>
  <si>
    <t>Put your fighting pants on and conquer it! 🧡🙏 #garyveechallenge #Happiness #mentalhealth #workinghard #grind #KindnessDay #Kindness #dontforgettosmile #smile #blessed #LiveYourLife #MotivationalQuotes #SaturdayFeeling #SaturdayMotivation #SaturdayThoughts #SaturdayVibes</t>
  </si>
  <si>
    <t>BeverlyBeuermannKing</t>
  </si>
  <si>
    <t>EP 483 Sometimes ‘balance’ lasts for a long time, other times, it's fleeting. Balance does not mean equal. Balance means satisfaction. Tips For Celebrating Life Balance Month: #stress #resiliency #mentalhealth #motivation #happiness #balance #happyatwork</t>
  </si>
  <si>
    <t>https://www.podbean.com/eu/pb-jkvb2-d002f9#.XiMHhqCD6vE.twitter</t>
  </si>
  <si>
    <t>If you feel that your team needs stress and resiliency strategies that are more than fluff, that are well-researched, and mesh well with busy lives LET'S TALK.</t>
  </si>
  <si>
    <t>https://worksmartlivesmart.com</t>
  </si>
  <si>
    <t>topher</t>
  </si>
  <si>
    <t>Not on the Priority List Part 2: Embarrassing OCD Moments. #blog #writers #lgbtq #lgbt #mentalhealth #scottishwriters</t>
  </si>
  <si>
    <t>http://tophergen.com/2020/01/18/not-on-the-priority-list-part-2-embarrassing-ocd-moments/</t>
  </si>
  <si>
    <t>Bandwagons full, please catch another / Writer / Read my blog below / private: @PrivTopher</t>
  </si>
  <si>
    <t>http://tophergen.com</t>
  </si>
  <si>
    <t>Look</t>
  </si>
  <si>
    <t>Liaoning</t>
  </si>
  <si>
    <t>Daughter of grace🖤</t>
  </si>
  <si>
    <t>Aaron Sorrels</t>
  </si>
  <si>
    <t>Have you ever seen…? Beautiful glass A little #encouragement means a lot when you’re seeking #recovery #healing #mentalhealth #joy #peace and #purpose — or battling #alcoholism #addiction #depression #anxiety #bipolardisorder #unemployment or #rejection</t>
  </si>
  <si>
    <t>https://theunemployedalcoholic.com/encouragement/2020/01/18</t>
  </si>
  <si>
    <t>I help people laugh while highlighting recovery and faith. I’m a recovery support partner, public speaker and comedian. Let’s laugh together.</t>
  </si>
  <si>
    <t>http://TheUnemployedAlcoholic.com</t>
  </si>
  <si>
    <t>CyberSmarties</t>
  </si>
  <si>
    <t>How many students in your school community have been harmed by bullying ? Be a leader by showing that you care. . Every Student Should Have a Safe Learning Environment #mentalhealth #positivity #school #learningenvironment #Children #CyberBullying #awareness #educationmatters</t>
  </si>
  <si>
    <t>https://pbs.twimg.com/media/EOkSTaTX4AEjZ8s.jpg</t>
  </si>
  <si>
    <t>Limerick, Ireland</t>
  </si>
  <si>
    <t>CyberSmarties is the first Fully Monitored Educational Social Network for Primary Schools. We believe in educating kids on how to use social network responsibly</t>
  </si>
  <si>
    <t>http://www.cybersmarties.com</t>
  </si>
  <si>
    <t>Sera Whitelaw</t>
  </si>
  <si>
    <t>"..the truth is that the system is making young people ill and they need our help. The research community needs to be protecting and empowering the next generation of researchers.." 🔬🧬📊 @AcademicChatter @PhD_Balance #AcademicTwitter #MentalHealth RT @nature: Editorial: Nature’s biennial PhD survey shows anxiety and depression in graduate students is worsening. The health of the next generation of researchers needs systemic change to research cultures.</t>
  </si>
  <si>
    <t>https://twitter.com/nature/status/1194830314423685121
https://go.nature.com/2QbGjqO</t>
  </si>
  <si>
    <t>MSc Candidate @HEI_mcmaster @PHRIresearch | Research Assistant @McMasterForum</t>
  </si>
  <si>
    <t>Dennis Santaniello</t>
  </si>
  <si>
    <t>If you’re in a good state of mind, all good things are possible. If you're in a bad state of mind, just take a nap. #mentalhealth #SaturdayThoughts #SaturdayThoughts #SaturdayMotivation #PositiveVibes #positiveenergy</t>
  </si>
  <si>
    <t xml:space="preserve">USA </t>
  </si>
  <si>
    <t>Writer. Farmer.</t>
  </si>
  <si>
    <t>http://dennissantaniello.com</t>
  </si>
  <si>
    <t>NHS Lincs West</t>
  </si>
  <si>
    <t>We're turning Blue Monday into #ZSABrewMonday by encouraging everyone to open up about #mentalhealth and to take @Zer0Suicide free online #suicideprevention training. Save a life, take the training  #SuicideAwareness #BrewMonday #MondayMotivation</t>
  </si>
  <si>
    <t>http://bit.ly/ZSAinSt</t>
  </si>
  <si>
    <t>https://pbs.twimg.com/media/EOkRxIPX4AAwAbq.jpg</t>
  </si>
  <si>
    <t>Lincoln, England</t>
  </si>
  <si>
    <t>NHS Lincolnshire West CCG commission GP, hospital, mental health and community health services for people living in Lincoln, Gainsborough and surrounding areas.</t>
  </si>
  <si>
    <t>http://www.lincolnshirewestccg.nhs.uk</t>
  </si>
  <si>
    <t>Becca</t>
  </si>
  <si>
    <t>I've had a lot to deal with recently and my stress bucket is now extremely full. It's very hard to feel positive about anything at the moment. I haven't resorted to unhealthy coping mechanisms however which I am seeing as a win! #mentalhealth #anorexia #recovery</t>
  </si>
  <si>
    <t>Student MH nurse at the University of Manchester. Lived experience of anorexia nervosa, depression, anxiety and OCD. Wounded healer! 🏳️‍🌈</t>
  </si>
  <si>
    <t>Some of the things I say won't work for you. Some of the things #mentalhealth professionals say won't work for you. I suggest a lot of unconventional approaches. If you know anything about me I have had #mentalillness bad. Yet I have got results in defiance of the medical model.</t>
  </si>
  <si>
    <t>What if? #pcos #polycystic #ovary #syndrome #patient #participation #research #maternity #miscarriage #fertility #infertility #weightloss #obesity #gestational #diabetes #mentalhealth #hormones #menopause #medtwitter #sexualhealth #wombcancer #womb #ovary</t>
  </si>
  <si>
    <t>https://pbs.twimg.com/media/EOkRIA_XkAA-FTE.jpg</t>
  </si>
  <si>
    <t>hamin khatib</t>
  </si>
  <si>
    <t>They told us that this was G'd &amp; His son n person ! Mr. Farad was said 2 be G'd n person !!! Our mind is so mess up that Mr. Farad told us that the White man is the Devil but still gives us a White G'd !!! #mentalhealth !!! Come back 2 ur natural human li…</t>
  </si>
  <si>
    <t>https://lnkd.in/gnrz4zu</t>
  </si>
  <si>
    <t>Vicegerent/Founder/ President of Intellectual Capital Corp. &amp; Inventor of the Iqraa front backpack!!!</t>
  </si>
  <si>
    <t>amymya1234</t>
  </si>
  <si>
    <t>want to highlight the depths of mental health care in the NHS. I was sectioned by police last night at 12am. I was taken to my local hospital where I was made to sit in an A&amp;E bed for 9 hours. Police officers sat with me, talking to each other, ignoring me. #nhs #mentalhealth</t>
  </si>
  <si>
    <t>Ravindra Beleyur</t>
  </si>
  <si>
    <t>Insolvency Professional &amp; Registered Valuer - Securities or Financial Assets</t>
  </si>
  <si>
    <t>Mind in Bradford</t>
  </si>
  <si>
    <t>"Collectively we need to talk more about our mental health, and as individuals we need to be prepared to ask people if they are feeling OK." Ryan shares why breaking down #stigma is so important to him:  #MentalHealth #RaisingAwareness</t>
  </si>
  <si>
    <t>https://www.time-to-change.org.uk/blog/talking-about-mental-health-not-weakness-%E2%80%94-we-need-to-break-stigma</t>
  </si>
  <si>
    <t>https://pbs.twimg.com/media/EOkQoMvWoAIITif.png</t>
  </si>
  <si>
    <t>Bradford, England</t>
  </si>
  <si>
    <t>Helping people with emotional and mental health problems across Bradford, Airedale, Wharfedale &amp; Craven. For telephone support call 01274 594594 12pm-9pm</t>
  </si>
  <si>
    <t>http://www.mindinbradford.org.uk</t>
  </si>
  <si>
    <t>RealTruthAboutHealth</t>
  </si>
  <si>
    <t>#New #2019 #Conference - Just Released, #author, #PeterBreggin; Psychiatric Drugs are Neurotoxins. Why and How to Avoid Taking Them? #MentalHealth, #Brain, Anxiety,</t>
  </si>
  <si>
    <t>http://ow.ly/Kgtk30q9vfb</t>
  </si>
  <si>
    <t>Check out free - 2020 Conference. Come in person or watch live-stream. We are about unbiased, accurate, scientifically proven information on Health &amp; living.</t>
  </si>
  <si>
    <t>http://therealtruthabouthealth.com</t>
  </si>
  <si>
    <t>** out of thin air ** #haiku #poetry - about imagination and #creativity of nature posted on .@Medium  #writing #poetry #poet #writingcommunity #poetrycommunity #life #health #love #wellbeing #psychology #mindhealth #wisdom #mentalhealth #creativity</t>
  </si>
  <si>
    <t>https://link.medium.com/llGG5hBoi3</t>
  </si>
  <si>
    <t>#MentalHealth resources for Ontario farm families. #ItStartsWithMe #DoMoreAg RT @CMHAOntario: 67% of farmers are more susceptible to chronic stress than the general population, which can lead to physical and #mentalhealth issues. Find available Ontario resources here:  #farmersMH</t>
  </si>
  <si>
    <t>https://twitter.com/CMHAOntario/status/1218265530932649990
https://buff.ly/2twy9QT</t>
  </si>
  <si>
    <t>https://pbs.twimg.com/media/EOgmCwCXkAAjIBj.jpg</t>
  </si>
  <si>
    <t>Life is beautiful. Don’t let anyone tell you anywise. It’s all very bizarre. Life might just be a mistake. But if it is, it’s a beautiful mistake. #mentalhealth #PositiveVibes #SaturdayMorning #SaturdayThoughts #SaturdayMotivation</t>
  </si>
  <si>
    <t>Never regret anything that made you smile.#manchester #houston #texas #mentalhealth #mindfulness #wellness #psychology #health #rednoseday</t>
  </si>
  <si>
    <t>Enceladus</t>
  </si>
  <si>
    <t>Wandering...</t>
  </si>
  <si>
    <t>Muslim 😊▫️Daughter ❤️▫️sister😍▫️Aunty😎 ▫️foodie😋▫️Medic⚕▫️Wanderer 🍃 https://curiouscat.me/najeybat</t>
  </si>
  <si>
    <t>minditgh</t>
  </si>
  <si>
    <t>Here at MindIT Services, we believe that we are saving lives! Our *713*66# shortcode is available for FREE for all people living in Ghana! We promise that there are no hidden fees or charges! #MindIT #mentalhealth #depression #suicide #help #Ghana</t>
  </si>
  <si>
    <t>We are a group of eclectic youth who use innovative IT interventions to help provide healthcare for those who have psychologically distress/mental illness</t>
  </si>
  <si>
    <t>WALX Coast and Country</t>
  </si>
  <si>
    <t>Saturday morning Legs, Bums and Nordic followed by Wellbeing Fix every Saturday on the beach. #walxcoastandcountry #walx #walxclub #NordicwalknigUK #Sussex #Littlehampton #Crawley #HaywardsHeath #Hassocks #outdoorfitnessandexercise #mentalhealth #wellbeing #health</t>
  </si>
  <si>
    <t>https://pbs.twimg.com/media/EOkPmDaWAAEnw1h.jpg</t>
  </si>
  <si>
    <t>West Sussex England</t>
  </si>
  <si>
    <t>WALX Coast and Country is all about being active outside. 20 weekly fun workouts. #Littlehampton #Crawley #Haywardsheath #Hassocks #walxcoastandcountry #sussex</t>
  </si>
  <si>
    <t>https://walxcoastandcountry.co.uk</t>
  </si>
  <si>
    <t>Todd Schmenk, LMHC</t>
  </si>
  <si>
    <t>Looking back on your life, what do you want it to be about now? #SaturdayMorning #Wellbeing #teampositive #mentalhealth #</t>
  </si>
  <si>
    <t>https://pbs.twimg.com/media/EOkPgm-XkAA99CG.jpg</t>
  </si>
  <si>
    <t>Providence, RI</t>
  </si>
  <si>
    <t>#MentalHealth Counselor, Educator, Author. Specialties #Chronic Illness #Anxiety, addressing and increasing #psychological flexibility.</t>
  </si>
  <si>
    <t>http://www.toddschmenk.com</t>
  </si>
  <si>
    <t>Dr Paras (MCC Coach)</t>
  </si>
  <si>
    <t>Learning Space #coaching #mentoring #Management #leadership #emotionalintelligence #Positivethinking #confidence #selfesteem #india #angermanagement #counseling #Life #Mentalhealth #selfdevelopment #culture #LearningSpace #experiencedrecipe #mindfulnesspractitioner</t>
  </si>
  <si>
    <t>https://pbs.twimg.com/media/EOkPXeUVUAAs4vZ.jpg</t>
  </si>
  <si>
    <t>pune</t>
  </si>
  <si>
    <t>Inspire Self-Empower Others -Transform Generations</t>
  </si>
  <si>
    <t>http://www.matrrix.in</t>
  </si>
  <si>
    <t>Yennifer Hatfield</t>
  </si>
  <si>
    <t>I Found the link. Hope it can help someone as it did for me 👉 #meditation #yoga #healthandwellness #mentalhealth #twitchtv</t>
  </si>
  <si>
    <t>http://bit.ly/38hqULb</t>
  </si>
  <si>
    <t>Twitch ❤ 🌹🌹🌹 Pokemon #Streamer</t>
  </si>
  <si>
    <t>https://pbs.twimg.com/media/EOkPDMmWsAIlzms.jpg</t>
  </si>
  <si>
    <t>Lauryns Law</t>
  </si>
  <si>
    <t>Be Sympathetic! Be Compassionate! Be Aware! End the Stigma! No one is immune! ••• Posted withregram •  New Blog Post, I AM Worthy! Link in bio! #anxiety #depression #endthestigma #mentalhealth…</t>
  </si>
  <si>
    <t>http://greatest.i.am.blog
https://www.instagram.com/p/B7dlXFfh_ih/?igshid=1naa43szujjtp</t>
  </si>
  <si>
    <t>Washington DC</t>
  </si>
  <si>
    <t>501c(3) I am Linda : Lauryn's Mom. Mental Health Advocate, Speaker &amp; Trainer. Need help? Text HOME to 741741 24/7 crisis support.</t>
  </si>
  <si>
    <t>http://laurynslaw.org</t>
  </si>
  <si>
    <t>NCL Wellbeing</t>
  </si>
  <si>
    <t>Back to basics for me; challenging the discourse around individualism and technologies of self. The problems that we face are systemic and structural. No young person should be forced to shoulder that burden. #mentalhealth RT @KaySocLearn: Q18, 18 January 2020 (This question might seem a bit obvious...so perhaps sit with it a while...) What do you want your social justice work to achieve?</t>
  </si>
  <si>
    <t>https://twitter.com/KaySocLearn/status/1218444389606920192</t>
  </si>
  <si>
    <t>https://pbs.twimg.com/media/EOjItoLWAAEyVZw.jpg</t>
  </si>
  <si>
    <t>Follow New College Leicester's whole systems approach to wellbeing: tackling inequalities, forging strong partnerships &amp; placing yp at the💜of decision making.</t>
  </si>
  <si>
    <t>http://www.newcollege.leicester.sch.uk</t>
  </si>
  <si>
    <t>Nick Goldsmith</t>
  </si>
  <si>
    <t>Part 2 of the recent interview with @BBCNews West . Talking about #veterans, #mentalhealth and benefits of the #outdoors. #woodlandwarriorprogramme #wellbeing #ptsdenied #SaturdayMotivation @EndeavourFund @theRMcharity @Rock2Recovery @JohnnyMercerUK @VeteransGovUK @HeadAFEmplSpt</t>
  </si>
  <si>
    <t>pic.twitter.com/BPk0fEA1x2</t>
  </si>
  <si>
    <t>Usually Outdoors 😂</t>
  </si>
  <si>
    <t>Outdoorsman, Public Speaker, Author, MH advocate, Former Royal Marine</t>
  </si>
  <si>
    <t>Curve.life</t>
  </si>
  <si>
    <t>Episode 9: The mind and cancer. If you're living with #cancer, there are small steps you can make to improve your #mentalhealth that can help you recover from treatment, reduce depression and boost your general wellbeing. Watch our FREE video series:</t>
  </si>
  <si>
    <t>http://bit.ly/2nj393Q</t>
  </si>
  <si>
    <t>https://pbs.twimg.com/media/EOkOkKJXUAA5Dle.jpg</t>
  </si>
  <si>
    <t>http://Curve.life brings together world-leading cancer experts to help patients and families after a cancer diagnosis.</t>
  </si>
  <si>
    <t>http://curve.life/</t>
  </si>
  <si>
    <t>Whenever you are faced with a problem,figure out ways to find a solution ASAP.Don’t let problems and worries linger on and consume you. Your Problems are not stronger than you.There is no problems that you can’t solve and discard in the trash.#SaturdayMotivation #mentalhealth</t>
  </si>
  <si>
    <t>https://pbs.twimg.com/media/EOkOVIsW4AUmIHa.jpg</t>
  </si>
  <si>
    <t>Saturday Blog post - The Fear of never fitting in. Link below, please check it out &amp; let me know what you think! Lots of love, K x #SaturdayThoughts #SaturdayMorning #SaturdayMotivation #mentalhealth #mentalhealthawareness #letstalkaboutit #Glos</t>
  </si>
  <si>
    <t>https://themighty.com/content/5e2302ac8e319a00d6e4ba67/</t>
  </si>
  <si>
    <t>Karlos International</t>
  </si>
  <si>
    <t>#BlueMonday is an exceptional day for ignoring calls and text (unless they be urgent)....in fact - turn your phone off if you need to. #mentalhealth #mentalhealthawareness</t>
  </si>
  <si>
    <t>#TravelBlogger | Eurovision Fanatic | Mental Health Advocate</t>
  </si>
  <si>
    <t>https://karlosinternational.com</t>
  </si>
  <si>
    <t>Could a Switch to Skim Milk Add Years to Your Life?  #mentalhealth #feedly</t>
  </si>
  <si>
    <t>https://www.medicinenet.com/script/main/art.asp?articlekey=227478</t>
  </si>
  <si>
    <t>Anastasia Satriyo</t>
  </si>
  <si>
    <t>This is why I become a Child Psychologist and processed my own emotions and #mentalhealth before become a parent. . . Because #MentalHealth is Real. And we will REPEAT what we don’t REPAIR. “Your wound is not your…</t>
  </si>
  <si>
    <t>https://www.instagram.com/p/B7dkpJEASpn/?igshid=1cvhupgfltja4</t>
  </si>
  <si>
    <t>driven by curiosity and meaning of life. A Clinical Child Psychologist in +62</t>
  </si>
  <si>
    <t>http://ningshouse.blogspot.com/,www.ningsplace.com</t>
  </si>
  <si>
    <t>How Palliative Care Remade End-of-Life Care at New York Hospitals  #mentalhealth #feedly</t>
  </si>
  <si>
    <t>https://www.medicinenet.com/script/main/art.asp?articlekey=227466</t>
  </si>
  <si>
    <t>Vidya Viswanathan</t>
  </si>
  <si>
    <t>Sparlin Mental Health</t>
  </si>
  <si>
    <t>Sign up for our e-guide to mindfulness “Pause” to get mental well-being exercises, quotes, articles, mantras, meditations and other inspirational content right in your inbox! Subscribe here:  #mindfulness #mentalhealth #StLouis #Missouri</t>
  </si>
  <si>
    <t>https://stlcfd.us3.list-manage.com/subscribe?u=2f97b253a0238dc47d99c9251&amp;id=ca1fd409b4</t>
  </si>
  <si>
    <t>https://pbs.twimg.com/media/EOkM3XAXkAA0Buy.png</t>
  </si>
  <si>
    <t>Sparlin Mental Health provides mental health services to individuals and families in the St. Louis community.</t>
  </si>
  <si>
    <t>https://sparlinmentalhealth.com/</t>
  </si>
  <si>
    <t>Dancing Atoms</t>
  </si>
  <si>
    <t>I'm totally in love with Jog On already. It's like reading the words of my long lost twin. This! ❤ #JogOn @bellamackie #ukrunchat #running #anxiety #BPD #bpdchat #mentalhealth</t>
  </si>
  <si>
    <t>https://pbs.twimg.com/media/EOkM06_WsAE2nGc.jpg</t>
  </si>
  <si>
    <t>the secret of letting go is forgetting to hold on</t>
  </si>
  <si>
    <t>Coalesce Research Group</t>
  </si>
  <si>
    <t>Avail Early Bird Registration @ Addiction Congress 2020 at Addiction Congress September 24-25, 2020 #Paris, # France #Addiction, #psychiatry, #mentalhealth, #Depression, #Schizophrenia, #Psychiatric_Disorder, #Autism, #Neuropsychopharmacology, #Cognition, #Coma, #cannabinoids</t>
  </si>
  <si>
    <t>https://pbs.twimg.com/media/EOkMh0ZUcAIBx-Q.jpg</t>
  </si>
  <si>
    <t>Enhance your Research</t>
  </si>
  <si>
    <t>https://www.coalesceresearchgroup.com/</t>
  </si>
  <si>
    <t>Rehana Sidat</t>
  </si>
  <si>
    <t>“ What mental health needs is more sunlight, more candor and more unashamed conversation” Glenn Close. Our first event for 2020 is next Saturday, hope to see you there. #mentalhealth #MentalHealthAwareness #SaturdayMorning</t>
  </si>
  <si>
    <t>https://pbs.twimg.com/media/EOkMZwNXUAAEl0_.jpg</t>
  </si>
  <si>
    <t>Leicester</t>
  </si>
  <si>
    <t>Motivational Speaker/Trainer/Mental Health Advocate/Jamila’s Legacy/After School Care Manager.Mission in life:spreading peace,love &amp; joy by sharing my learning</t>
  </si>
  <si>
    <t>https://m.facebook.com/Jamilasegacy/</t>
  </si>
  <si>
    <t>Pamela D. Wilson</t>
  </si>
  <si>
    <t>What to Do With Stubborn Elderly Parents  *** #caregivingexpert #keynotespeaker #caregiving #Elderly #health #geriatrics #mentalhealth #Medical #familyrelationships #HumanResources #agingparents #radio #podcasts</t>
  </si>
  <si>
    <t>http://ow.ly/CVbn50xVqCu</t>
  </si>
  <si>
    <t>https://pbs.twimg.com/media/EOkMTbgWoAAOaKf.png</t>
  </si>
  <si>
    <t>Colorado</t>
  </si>
  <si>
    <t>National Caregiving Expert, Advocate, Keynote Speaker. Caregiver support online. Host of The Caring Generation radio program author of The Caregiving Trap.</t>
  </si>
  <si>
    <t>https://www.pameladwilson.com</t>
  </si>
  <si>
    <t>Chasing Jade Horizons</t>
  </si>
  <si>
    <t>3.2 percent of children ages 3-17 have diagnosed depression. Many more suffer undiagnosed. As. Talk. Check-in. #mentalillnessawareness #mentalhealth #depression #endstigma #nh #helpstartsathome</t>
  </si>
  <si>
    <t>https://pbs.twimg.com/media/EOkMFkaX4AAgKlB.jpg</t>
  </si>
  <si>
    <t>Merrimack, NH</t>
  </si>
  <si>
    <t>A NH-based nonprofit organization dedicated to helping young people gain increased access to mental health education and assistance. @RobHuckins @allisonalixnh</t>
  </si>
  <si>
    <t>http://chasingjadehorizons.org</t>
  </si>
  <si>
    <t>MH Stories</t>
  </si>
  <si>
    <t>'I don’t feel like the weirdo anymore. I have learnt to accept it and embrace it for what it is. It has taught me how to be brave, kind and attentive. If anything I cherish my anxiety.”  #MentalHealth #Anxiety #SickNotWeak #TimeToTalk</t>
  </si>
  <si>
    <t>http://ow.ly/q9Pm30q14ai</t>
  </si>
  <si>
    <t>Raising awareness and educating people on mental health. 🎉Multi-Award Winning Mental Health Blog ✨Founder @kay_ska | ✉MentalIllnessStories@yahoo.co.uk</t>
  </si>
  <si>
    <t>https://mhstories.com/</t>
  </si>
  <si>
    <t>Edy Nathan, MA, LCSW</t>
  </si>
  <si>
    <t>Our days are filled with Little Griefs as well... This is how you deal&gt;  #grief #Stress #Loss #GriefSupport #GriefandLoss #GriefQuotes #grieving #Burnout #TedTalk #11PhasesOfGrief #Depression #MentalHealth #Love #SelfCare #GriefAwareness #5stagesofgrief</t>
  </si>
  <si>
    <t>https://medium.com/@edy1nathan/dealing-with-grief-daily-e2a5ddec010a</t>
  </si>
  <si>
    <t>https://pbs.twimg.com/media/EOkMOw9WsAENF_s.jpg</t>
  </si>
  <si>
    <t>Psychotherapist, Grief Expert, Hypnotherapist and author, "It’s Grief -The Dance of Self-Discovery Through Trauma and Loss" https://amzn.to/2OUQfRZ</t>
  </si>
  <si>
    <t>http://www.edynathan.com</t>
  </si>
  <si>
    <t>Zwilharm 🦍</t>
  </si>
  <si>
    <t>Do shit your afraid of, force your brain to think differently may help you over come some shit #Randomthoughts #foodforthought #fear #psychology #overcomefear #facefears #mentalhealth #growth</t>
  </si>
  <si>
    <t>😆Comedy 💪Fitness 🎮Video Games 🤔Random thoughts</t>
  </si>
  <si>
    <t>Reginald Williams</t>
  </si>
  <si>
    <t>Acknowledging someone shows that you see them. #amarginalizedvoice #iseeme #usalso #itsusalso #beheard #mentalhealth #Blackyouthmentalhealth #blackboysspeak #blackboyzspeak #stigmatization RT @PhilEchols: Today, I called a waitress by her name and she paused for about 7 sec before responding. I said “What’s wrong?” She replied “No one ever listens when I say my name.” We both looked like we were about to cry. Calling someone by their name can be a powerful thing. Happy Friday.</t>
  </si>
  <si>
    <t>https://twitter.com/PhilEchols/status/1218307579509690368</t>
  </si>
  <si>
    <t>Surburbs of D.C.</t>
  </si>
  <si>
    <t>Behavioral Health Specialist I Thought Provoker I Speaker I Author of A Marginalized Voice: Devalued, Dismissed, Disenfranchised &amp; Demonized-Release March 2020</t>
  </si>
  <si>
    <t>http://reginaldwilliams.org</t>
  </si>
  <si>
    <t>Education Technology</t>
  </si>
  <si>
    <t>.@Chrispetrie6, head of global research at education non-profit @HundrEDorg explains why scalable edtech solutions can support digital wellbeing among young people today #edtech #schools #mentalhealth 👓💡Read his insight here:</t>
  </si>
  <si>
    <t>http://ow.ly/W0eQ50xY1ZV</t>
  </si>
  <si>
    <t>https://pbs.twimg.com/media/EOkMKBIX4AAHSNG.jpg</t>
  </si>
  <si>
    <t>Market leading #edtech print and digital magazine covering #edtech for #learning and #teaching for the entire #school, #college, #HE &amp; #education sector.</t>
  </si>
  <si>
    <t>http://edtechnology.co.uk</t>
  </si>
  <si>
    <t>https://www.lnk.xyz/SJkSmMPir?aduc=7h1KVDE1579352433953</t>
  </si>
  <si>
    <t>Katja Jaqueline</t>
  </si>
  <si>
    <t>ASK YOURSELF - Click to play video. #mentalhealth #recovery #selfhelp</t>
  </si>
  <si>
    <t>pic.twitter.com/LBgKycIlEV</t>
  </si>
  <si>
    <t>CEO and founder of Mindazine. Mental health, mental illness and everything in between. Psychological wellbeing is your most powerful personal asset. Nurture it.</t>
  </si>
  <si>
    <t>http://www.katjajaqueline.com</t>
  </si>
  <si>
    <t>Association for Child &amp; Adolescent Mental Health</t>
  </si>
  <si>
    <t>Join ACAMH and be part of the advancement of child and adolescent mental health. Discounts on events, access to world-class research in @TheJCPP &amp; @TheCAMH, plus The Bridge, exclusive member content, 20% off @WileyPsychology books  #mentalhealth</t>
  </si>
  <si>
    <t>https://buff.ly/2Gjut9x</t>
  </si>
  <si>
    <t>https://pbs.twimg.com/media/EOkMECYX4AAeMnd.jpg</t>
  </si>
  <si>
    <t>Sharing best evidence, improving practice. #mentalhealth #HelpingYouHelpOthers Publisher of @TheJCPP &amp; @TheCAMH w/@WileyPsychology RTs not endorsements</t>
  </si>
  <si>
    <t>http://www.acamh.org</t>
  </si>
  <si>
    <t>Liverpool County FA ⚽</t>
  </si>
  <si>
    <t>HEADS UP | Even the biggest stars in #football can encounter problems with their #mentalhealth. ⚽️ Watch the below video featuring the likes of @Everton stopper @JPickford1 to learn about The @FA's new #HeadsUp campaign. ⬇️</t>
  </si>
  <si>
    <t>https://youtu.be/g6Nt3FYEf5k</t>
  </si>
  <si>
    <t>We are the home of grassroots football in Merseyside</t>
  </si>
  <si>
    <t>http://www.liverpoolfa.com</t>
  </si>
  <si>
    <t>The Good Stuff App</t>
  </si>
  <si>
    <t>“You are responsible for everything you post and everything you post will be a reflection of you. [Social Media]” ― 𝐆𝐞𝐫𝐦𝐚𝐧𝐲 𝐊𝐞𝐧𝐭 . . 𝐋𝐞𝐚𝐫𝐧 𝐦𝐨𝐫𝐞 @  . . #thegoodstuffapp #postyourvictories #potential #confidence #motivation #mentalhealth</t>
  </si>
  <si>
    <t>http://thegoodstuffapp.com</t>
  </si>
  <si>
    <t>https://pbs.twimg.com/media/EOju2h7XUAExZWd.jpg</t>
  </si>
  <si>
    <t>Leesburg, Virginia</t>
  </si>
  <si>
    <t>The Good Stuff App is a family and community centered social media mobile application.</t>
  </si>
  <si>
    <t>http://www.thegoodstuffapp.com</t>
  </si>
  <si>
    <t>Charlie Munger's 18 Cognitive Biases that Cause You To Fool Yourself #psychology #mentalhealth</t>
  </si>
  <si>
    <t>http://bit.ly/1Uf1qRC</t>
  </si>
  <si>
    <t>24hr shift done, bathroom makeover and heading to the airport! Gonna be a day! #saturdayvibes #mentallyfit #askmeanything #youcantaskthat @cbc #mentalhealth #anxiety #depression #suicide #suicideprevention #love #firefighter</t>
  </si>
  <si>
    <t>https://pbs.twimg.com/media/EOkLwkLWsAA1cqk.jpg</t>
  </si>
  <si>
    <t>everything is going to work out, trust me #mentalhealth</t>
  </si>
  <si>
    <t>OfficialMentalSnapback</t>
  </si>
  <si>
    <t>Good morning, lovelies! Enjoy your Saturday and remember... Take care of you. And if you HAVE to go out, glow up, show up, and kick ass. #SaturdayMotivation #mentalhealth</t>
  </si>
  <si>
    <t>Official Twitter for @MentalSnapback podcast Let's talk about our jerk brains &amp; #mentalillness. Let's talk about recovery &amp; #mentalhealth. Share your stories!</t>
  </si>
  <si>
    <t>Kerry Rush - Positive Change Arts Projects</t>
  </si>
  <si>
    <t>Thank you so much to everyone involved. As of this morning, those of you out there donating &amp;/or sharing have raised £575 on &amp;amp; offline. That's 19.16% of the £3000! There's 5 days left. Please keep sharing if you can. #LGBTQIA #MentalHealth #Counselling</t>
  </si>
  <si>
    <t>https://tinyurl.com/yj62yxwh</t>
  </si>
  <si>
    <t>Edinburgh, Scotland</t>
  </si>
  <si>
    <t>Under my PCAP umbrella, I create, collaborate &amp; facilitate empowerment projects around self-expression, mental health &amp; wellbeing, &amp; LGBTQIA+ representation.</t>
  </si>
  <si>
    <t>http://www.patreon.com/PCAPonline</t>
  </si>
  <si>
    <t>I wanted to see whether Phosphatidylserine (PS) helps with anxiety. This article uncovers my findings and whether you should use PS for anxiety.  #MentalHealth #Nutrition</t>
  </si>
  <si>
    <t>By watching @inkmaster i want to get a fresh #tattoo !🤔 #garyveechallenge #Happiness #mentalhealth #workinghard #grind #KindnessDay #Kindness #dontforgettosmile #blessed #LiveYourLife #MotivationalQuotes #SaturdayFeeling #SaturdayMotivation #SaturdayThoughts #SaturdayVibes</t>
  </si>
  <si>
    <t>Nasir</t>
  </si>
  <si>
    <t>Pharmacist| Humanitarian| Public Health Advocate</t>
  </si>
  <si>
    <t>Jeremy White CIHM</t>
  </si>
  <si>
    <t>Some things my wife and I will do to improve our well being in 2020: 1. Get a pet rabbit 🐇 2. Spend less time doing and more time reflecting 💭 3. Stop activities that drain us and continue activities that give us life 🌿 #wellbeing #mentalhealth #MentalHealthAwareness</t>
  </si>
  <si>
    <t>Bristol, England</t>
  </si>
  <si>
    <t>Homelessness Pathway Contract Lead @wearesecondstep | Member @CIHhousing Views are my own.</t>
  </si>
  <si>
    <t>keithmartin-property</t>
  </si>
  <si>
    <t>My thoughts on the factors influencing the current challenges in the UK property market right now 👇🏻 #mentalhealth #property #Finance #mortgages</t>
  </si>
  <si>
    <t>https://pbs.twimg.com/media/EOkLJbmXkAIs6V3.jpg</t>
  </si>
  <si>
    <t>Property investor: Liverpool, Blackpool, Warrington. Providing family homes. Creating a pension. Investment opportunities.</t>
  </si>
  <si>
    <t>If someone breaks your heart,don’t blame them for how you feel.Dont give them the power. You choose how you want to respond.Reclaim your power and take them off the pedestal because you belong on there.😎#inspiration #SaturdayMotivation #SaturdayMorning #mentalhealth</t>
  </si>
  <si>
    <t>https://pbs.twimg.com/media/EOkLCkvXsAIyH6l.jpg</t>
  </si>
  <si>
    <t>Sarah Sharp</t>
  </si>
  <si>
    <t>Yes, i can’t draw, but that doesn’t stop me creating art to help me chill out and be mindful. #mentalhealth #MentalHealthAwareness #art #chill</t>
  </si>
  <si>
    <t>https://pbs.twimg.com/media/EOkKfGvW4AAr5Rd.jpg</t>
  </si>
  <si>
    <t>Sevenoaks, South East</t>
  </si>
  <si>
    <t>Musician. Studying for a PhD @uniofeastanglia on mental health in the popular music industry. Disability studies. Cleft lip and palate survivor. LOVE cats.</t>
  </si>
  <si>
    <t>#dudeamandafitness</t>
  </si>
  <si>
    <t>Day One was a success. Still very anxious about the whole thing, but I’m proud of myself for taking this step at working in a field I love❤️ . #thepixietracker #mentalhealth #DAFBingeControl #anxiety…</t>
  </si>
  <si>
    <t>https://www.instagram.com/p/B7djGTeB7r4/?igshid=pvga6xl4pedb</t>
  </si>
  <si>
    <t>in the gym</t>
  </si>
  <si>
    <t>if you act like you're amazing, you begin to believe it🖤 fitness. weight watchers. anxiety.</t>
  </si>
  <si>
    <t>https://www.instagram.com/dudeamandafitness/</t>
  </si>
  <si>
    <t>NI Mental Health</t>
  </si>
  <si>
    <t>If your out and about, call in to see @InspireWBGroup at B&amp;M Forestside #MentalHealth #Charity #Giving #BreakingStigma #NIMHF RT @InspireWBGroup: Today our staff from Greenvale are bag packing in B&amp;amp;M Stores at Forestside. If you are in B&amp;amp;M today give them a wave 👋 and say hello. #TeamInspire</t>
  </si>
  <si>
    <t>https://twitter.com/inspirewbgroup/status/1218443071106572288</t>
  </si>
  <si>
    <t>https://pbs.twimg.com/media/EOjHg37WAAIw5N_.jpg</t>
  </si>
  <si>
    <t>Northern Ireland</t>
  </si>
  <si>
    <t>The NI Mental Health feed is setup to promote mental health information across NI. Tag @NIMentalHealth or #NIMHF. Likes, RT’s &amp; Follows are not endorsements.</t>
  </si>
  <si>
    <t>Jo Moseley</t>
  </si>
  <si>
    <t>Just listened to this @BritishCanoeing podcast with @EtienneStott &amp; @PaddleVsPlastic 🏄‍♀️ Such an inspiring &amp;amp; interesting discussion about paddleboarding, #plasticpollution &amp;amp; the joy of the sea &amp;amp; canals for our #mentalhealth! Do treat yourself! #shepaddles #lifesbetterbywater 🌿 RT @BritishCanoeing: 😢THE LAST PODCAST EPISODE IN THE SERIES 😢 Saving the best til last? @PaddleVsPlastic chats to @EtienneStott about why she's so passionate about connecting people to their local waterways and more! Apple ➡️  Spotify ➡️</t>
  </si>
  <si>
    <t>https://twitter.com/britishcanoeing/status/1207605174199627776
https://podcasts.apple.com/us/podcast/clear-access-clear-waters-the-paddlers-podcast/id1483741692?ign-mpt=uo%3D4
https://open.spotify.com/show/0z8xKjxeyv9joZjeVACqO7</t>
  </si>
  <si>
    <t>pic.twitter.com/Uh9jtFSJjM</t>
  </si>
  <si>
    <t>On a paddleboard ~ Yorkshire</t>
  </si>
  <si>
    <t>🏄‍♀️1st woman to SUP coast to coast 🚴‍♀️Ambassador @FINDRAclothing @britishcanoeing @bluefinsups ☀️Fundraising #2minutebeachclean @waveproject 🐳 Speaker</t>
  </si>
  <si>
    <t>http://healthyhappy50.com</t>
  </si>
  <si>
    <t>Pingu</t>
  </si>
  <si>
    <t>All over</t>
  </si>
  <si>
    <t>Gender neutral social influencing penguin</t>
  </si>
  <si>
    <t>JeezLouiseBurke</t>
  </si>
  <si>
    <t>Day 18 😱! CHIL-LEE this morning 🥶! Gorgeous clear air up in these here hills &amp; barely a sound. Well, apart from a ripper of a fart from Molly. Totally disturbed the peace she did 💨 🤢 @ciarakellydoc @NewstalkFM #100daysofwalking #mentalhealth #dogsoftwitter</t>
  </si>
  <si>
    <t>pic.twitter.com/nQrPE6GGd2</t>
  </si>
  <si>
    <t>Former child. 💛 a read 💛my dogs. work with kids, I’m just as mature so might as well get paid for it! into laughing &amp; history esp. medieval &amp; ancient stuff</t>
  </si>
  <si>
    <t>https://pbs.twimg.com/media/EOkJxOJWkAIAgNZ.jpg</t>
  </si>
  <si>
    <t>The WMHI</t>
  </si>
  <si>
    <t>Does stigma really exist? At the WMHI we don’t think stigma is a large problem. But media keeps telling us it is. What is your experience? #stigma #mentalhealth #MentalWealth</t>
  </si>
  <si>
    <t>https://pbs.twimg.com/media/EOkJxBDWoAET_fz.jpg</t>
  </si>
  <si>
    <t>Australia</t>
  </si>
  <si>
    <t>Specialist provider educating people about mental health, wellbeing, mental health first aid and recovery from mental illness.</t>
  </si>
  <si>
    <t>https://www.wmhi.com.au</t>
  </si>
  <si>
    <t>Batman's Mom</t>
  </si>
  <si>
    <t>I'm under a blanket knitting (a blanket...) and I have hot fresh coffee and a cozy chair to myself! #mentalhealth For 10 whole minutes now! 🎉 #parenting</t>
  </si>
  <si>
    <t>Just positivity, anxiety, &amp; sarcasm over here. My superpowers include being judgmental. Mom to the jolliest bunch of assholes this side of the nuthouse.</t>
  </si>
  <si>
    <t>Kᴏʀᴀʟ Dᴀᴡɴ</t>
  </si>
  <si>
    <t>Interested in #guestblogging with me about #mentalhealth or a #disability you have/struggle with in the new year? Visit my contact me page on my #blog to get in touch!  #bloggerswanted #bloggersrequired #wordpress #blogger #workwithme</t>
  </si>
  <si>
    <t>http://ow.ly/Kvga50x7zD9</t>
  </si>
  <si>
    <t>𝚆𝚒𝚏𝚎 | 𝙱𝚕𝚘𝚐𝚐𝚎𝚛 | 𝙲𝚊𝚝 𝙼𝚘𝚖 | #𝚖𝚎𝚗𝚝𝚊𝚕𝚑𝚎𝚊𝚕𝚝𝚑𝚠𝚊𝚛𝚛𝚒𝚘𝚛 𝙿𝚎𝚍𝚜 𝙰𝚍𝚖𝚒𝚗 📧 𝔻𝕄 𝕗𝕠𝕣 𝔾𝕦𝕖𝕤𝕥 𝔹𝕝𝕠𝕘𝕘𝕚𝕟𝕘</t>
  </si>
  <si>
    <t>http://theunsanityblog.com</t>
  </si>
  <si>
    <t>True North Psychological</t>
  </si>
  <si>
    <t>This is a GREAT list! Take a look, see which ones can easily be implemented. #selfcare #mentalhealth</t>
  </si>
  <si>
    <t>http://ow.ly/heMd50xYbAM</t>
  </si>
  <si>
    <t>Psychological Services, committed to patients, committed to results. Our counsellors are here to help with a wide range of issues. #PTSD #Anxiety #ADHD</t>
  </si>
  <si>
    <t>http://www.truenorthpsychological.com</t>
  </si>
  <si>
    <t>Elly</t>
  </si>
  <si>
    <t>Preparing the 3rd Inter Forum on Brain and Mental Health. Join us at at #ETH #Zurich in September 19-20 to discuss on #brainhealth and #mentalhealth and the role of sex and gender differences and many surprises to come! #hackathon #PrecisionMedicine #WomenInSTEM</t>
  </si>
  <si>
    <t>https://pbs.twimg.com/media/EOkJkoqWsAAOSOh.jpg</t>
  </si>
  <si>
    <t>Steezy Speaks</t>
  </si>
  <si>
    <t>Good morning! Take a moment this morning, just a few seconds and thank God for giving us another day here on earth and then go make it the best day ever 💪🏻 #mentalhealth</t>
  </si>
  <si>
    <t>Word Vomit You Can Read While Pooping. Podcast and Blog Coming Soon 🤙🏻</t>
  </si>
  <si>
    <t>https://www.instagram.com/stoddardartwork/</t>
  </si>
  <si>
    <t>Bill Marshall</t>
  </si>
  <si>
    <t>I really enjoy MajorLeagueSoccer, And love God, Grandson of first black player in NFL 😎</t>
  </si>
  <si>
    <t>Beth Tyson</t>
  </si>
  <si>
    <t>One #counselor per 500 #students isn’t going to cut it anymore. Lets value mental health care and wake up to the neglect of our children’s #mentalhealth needs.  @DrP_Principal #edutwitter @WKUChildWelfare #educate</t>
  </si>
  <si>
    <t>https://n.pr/2sBLNlj</t>
  </si>
  <si>
    <t>Psychotherapist, Children’s Book Author, Kinship Care Advocate, Mom, CASA Volunteer https://www.bethtyson.com. To purchase my book: https://amzn.to/2q5JCoJ</t>
  </si>
  <si>
    <t>https://linktr.ee/Thekinshipcoach</t>
  </si>
  <si>
    <t>The state services are only as good as the people who deliver them. That is why the State of Vermont values a diverse, competent and committed workforce. Click here to apply for this Nurse Supervisor in this #Berlin, VT.  #mentalhealth</t>
  </si>
  <si>
    <t>http://bit.ly/375bQQF</t>
  </si>
  <si>
    <t>Jacek Debiec</t>
  </si>
  <si>
    <t>What are the implications of American #debt for #mentalhealth? Household debt hit record $13 trillion in 2018 Minorities (esp. Blacks) have more debt than Whites Women have more debt than men The more educated you are, the more debt you have Sources:  RT @DrvanTilburg: Debt creates mental overload and anxiety which focuses people on present rather than future. Study finds reducing debt improves cognition and anxiety. This has implications for health prevention (a future focus) as well.</t>
  </si>
  <si>
    <t>https://www.debt.org/faqs/americans-in-debt/demographics/
https://twitter.com/DrvanTilburg/status/1218507402808569856
https://www.pnas.org/content/116/15/7244?fbclid=IwAR2sXio-X5EvxMutvW8C52vQWiOxUuq4PSGd_6fDYDK66Pzvzr-RGJ932nI</t>
  </si>
  <si>
    <t>Ann Arbor, MI</t>
  </si>
  <si>
    <t>Child, Adolescent &amp; Adult Psychiatrist. Neuroscientist. Philosopher. Dad. Husband. Immigrant. Views my own. Tweet≠medical advice. Follow/RT/like≠endorsement.</t>
  </si>
  <si>
    <t>http://www.debieclab.com/home/</t>
  </si>
  <si>
    <t>chlo</t>
  </si>
  <si>
    <t>hi hello all, my latest blog post covers my experience at University and why I came to the decision to drop out!!! It would mean a lot if people could read/share😌♥️🎓  #University #MentalWellbeing #Mentalhealth</t>
  </si>
  <si>
    <t>https://www.thisjapanesecrane.com/post/why-i-dropped-out-of-university</t>
  </si>
  <si>
    <t>smugdensmitchell on ao3&amp;tumblr</t>
  </si>
  <si>
    <t>i will be anywhere that you are</t>
  </si>
  <si>
    <t>https://archiveofourown.org/works/21258431/chapters/50615846</t>
  </si>
  <si>
    <t>louisa/cheese</t>
  </si>
  <si>
    <t>Happy Saturday #loveyourself #mentalhealth</t>
  </si>
  <si>
    <t>https://www.instagram.com/p/B7diX45jhgr/?igshid=1si5btcmh85de</t>
  </si>
  <si>
    <t>manchster</t>
  </si>
  <si>
    <t>I have just started to do #Iyengaryoga 🧘‍♀️earper 🌈🇬🇧like people watching and reading sometime going to gym #costa🏳️‍🌈 #Win4Wynonnaearp very very shy ☺️</t>
  </si>
  <si>
    <t>Hauwa Abbas</t>
  </si>
  <si>
    <t>▪Founder @SLNIng ▪Community Development Specialist ▪SDG/UHC Adovcate ▪Certified Performance Coach ▪Mentor ▪Trainer▪Rotarian</t>
  </si>
  <si>
    <t>http://www.hauwaabbas.com</t>
  </si>
  <si>
    <t>𝐈𝐫ï𝐚</t>
  </si>
  <si>
    <t>Science catching up! #Art therapy is finally being taken seriously as a tool for boosting health  #health #wellbeing #therapy #mentalhealth #research #science</t>
  </si>
  <si>
    <t>https://www.inverse.com/article/60833-art-therapy-world-health-organization</t>
  </si>
  <si>
    <t>Heartspace</t>
  </si>
  <si>
    <t>Artist • Photographer • #Nature Lover • Stargazer • Multidimensional Dreamer • #Reality Surfer • #Consciousness Explorer • #Science Nerd • IG: lilsoulscapist</t>
  </si>
  <si>
    <t>craig keary</t>
  </si>
  <si>
    <t>A great article on shifting to plant based from the times. It is early days for me . I made the shift 6 weeks ago and benefits have been amazing and a significant improvement in wellbeing #vegan #wellbeing #mentalhealth #happiness</t>
  </si>
  <si>
    <t>https://pbs.twimg.com/media/EOkI1WFU0AEiUAp.jpg</t>
  </si>
  <si>
    <t>Chiyoda-ku, Tokyo</t>
  </si>
  <si>
    <t>Financial Services professional looking to make a difference to people’s lives, Husband and Father , PhD student , Runner, Studying science of well-being</t>
  </si>
  <si>
    <t>http://www.linkedin.com/in/craigkeary</t>
  </si>
  <si>
    <t>Manoj Pandey, MS, MNAMS, PhD</t>
  </si>
  <si>
    <t>#Dissociation is the best way to avoid #trouble. #Motorism #Life #Quote #Philosophy #Quotes #Wise #Wisdom #Motivation #Inspiration #victory #triumph #Defeat #Frustration #Stress #MentalHealth #Anxiety #Fiasco #Debacle #Flop #Blunder #destiny #Spirituality #success #successquotes</t>
  </si>
  <si>
    <t>https://pbs.twimg.com/media/EOkIq1rUwAAr-wA.jpg</t>
  </si>
  <si>
    <t>Varanasi, India</t>
  </si>
  <si>
    <t>Professor Surgical Oncology, BHU, #Editor #WJSO, #writer #OA #scholarlypublishing #photography #मोटरशास्त्र #motorism #philosophy #humor, Feel free to retweet</t>
  </si>
  <si>
    <t>http://www.wjso.com</t>
  </si>
  <si>
    <t>David Klemitz</t>
  </si>
  <si>
    <t>My CWA</t>
  </si>
  <si>
    <t>We are a community of survivors and we care about YOU. Download our safety plan here:  #MyCWA #depression #domesticabuse #charity #mentalhealth #mentalhealthawareness #Christmas #JanuaryBlues #selfhelp #selfhelptools #safetyplan #safetyplanning #staysafe</t>
  </si>
  <si>
    <t>https://www.mycwa.org.uk/safety-planning</t>
  </si>
  <si>
    <t>https://pbs.twimg.com/media/EOkInFOX4AE5XD4.jpg</t>
  </si>
  <si>
    <t>Cheshire East</t>
  </si>
  <si>
    <t>Empowering those affected by domestic abuse through our dedicated, passionate and responsive team #changinglives</t>
  </si>
  <si>
    <t>http://www.cheshirewithoutabuse.org.uk</t>
  </si>
  <si>
    <t>Doug Mackay - Collingwood</t>
  </si>
  <si>
    <t>https://hubs.ly/H0mDczm0</t>
  </si>
  <si>
    <t>Lead a team of Headhunters &amp; Executive Coaches to help companies outperform their competitors. Proudly Dundonian, family centric, amateur golfer and LFC regular</t>
  </si>
  <si>
    <t>http://www.collingwoodsearch.co.uk</t>
  </si>
  <si>
    <t>hazel</t>
  </si>
  <si>
    <t>My blog schedule is now full until early March, but if you are interested in submitting a guest post for March/April, please feel free to get in touch via DM or thepatchworkfox@gmail.com. Topics: #MentalHealth, #MentalIllness, #SelfCare, #Recovery, etc.</t>
  </si>
  <si>
    <t>http://thepatchworkfox.com</t>
  </si>
  <si>
    <t>mental health blogger. cat mum. witch. isfj. 🖤</t>
  </si>
  <si>
    <t>YIHAD KHALEK</t>
  </si>
  <si>
    <t>ÜT: 10.476848,-66.916606</t>
  </si>
  <si>
    <t>YangBanking</t>
  </si>
  <si>
    <t>🚨Comment &amp; upvote frontpage article!🚨 Topic: #MentalHealth Talking points: • Encourage health care to incl. mental health • Use of AI &amp;amp; TeleCounseling • Postpartum depression coverage Policy:  Video:</t>
  </si>
  <si>
    <t>https://www.yang2020.com/policies/mental-health/
https://youtu.be/kjiHwx6bpkg?t=54m27s
https://www.washingtonpost.com/magazine/2020/01/13/what-schizophrenia-does-families-why-mental-health-system-cant-keep-up/</t>
  </si>
  <si>
    <t>Alerts fresh front page articles that aligns with Yang's policies, checks hourly. Comment &amp; upvote with #FactsNotAttacks #YangGang</t>
  </si>
  <si>
    <t>http://YangBanking.com</t>
  </si>
  <si>
    <t>_thesunshineseries</t>
  </si>
  <si>
    <t>It is very okay to ask for help. You don't have to go through your challenges alone. Sending love and positivity your way and we hope you find the strength to seek help. #psychotherapy #fridayselfcare #mentalhealth #positivepsychology #thesunshineseries</t>
  </si>
  <si>
    <t>https://pbs.twimg.com/media/EOkIPytWsAM_3DO.jpg</t>
  </si>
  <si>
    <t>Psychological services and Consultancy ▪︎Psychotherapy ▪︎Mental health workshops ▪︎Addiction counselling ▪︎School psychological services ▪︎Corporate trainings</t>
  </si>
  <si>
    <t>Martin Leslie Bell</t>
  </si>
  <si>
    <t>Day 18 @REDJanuaryUK #redjanuary #redjanuary2020 Lots of walking🚶‍♂️around #Aldborough &amp; #Boroughbridge 😀👍 A lovely day in #NorthYorkshire 🌞🌞 Go REDders 👍👍 @LynnMoffatEng @CorinaJDeBotte @nlaycock @PaulG_Elemental @LittleLisaJ78 &amp;amp; all 👍👍 #DigitalHealth #MentalHealth</t>
  </si>
  <si>
    <t>pic.twitter.com/euaARLfHpd</t>
  </si>
  <si>
    <t>Aldborough, England</t>
  </si>
  <si>
    <t>Strategic and practical consultancy for business &amp; NHS - focused on healthcare and digital, but much more. Private sector, established, start up, NHS...</t>
  </si>
  <si>
    <t>Mindful Technology ™</t>
  </si>
  <si>
    <t>It's Easy to Be a Jerk on Twitter. And Twitter Wants to Fix That. "Twitter's head of product, admits the platform can still incentivize toxic behavior. In a WIRED Q&amp;A, he explains how he wants to fix it."  via @WIRED #socialmedia #mentalhealth</t>
  </si>
  <si>
    <t>http://bit.ly/2RnezhJ</t>
  </si>
  <si>
    <t>✨ We teach how to build tech for a better world.✨ workshops | keynotes | strategy | partnerships | NYC | founded by @LizaK</t>
  </si>
  <si>
    <t>http://mindfultechnology.com</t>
  </si>
  <si>
    <t>Chris Bowstead</t>
  </si>
  <si>
    <t>Schools that rely on isolation booths or similar have someone high up in the hierarchy who doesn't understand behaviour and probably shouldn't be in a position to make important decisions. #losethebooths #autism #SEMH #mentalhealth</t>
  </si>
  <si>
    <t>North East, England</t>
  </si>
  <si>
    <t>AHT &amp; #Science lead in a school for #autism #ADHD #SEMH. #positivethinking #wellbeing Warning: May contain dad jokes and/or Simpsons memes #followfollowback</t>
  </si>
  <si>
    <t>Pete Moring</t>
  </si>
  <si>
    <t>The #EnvironmentalHealth industry - (AKA; Environ - #MentalHealth Industry) - incompetence being taught is Astounding ...........  .................... #Building #Property #RisingDamp via #PeterWard @YouTube</t>
  </si>
  <si>
    <t>https://youtu.be/O0Q5zZuzgLU</t>
  </si>
  <si>
    <t>Berks. UK</t>
  </si>
  <si>
    <t>#CheckFred @ #YouTube - https://tinyurl.com/y7alojl5 The CheckFred Community Membership http://fred67.com/ 👍Addicted to #Hashtags - Don't Moan😎</t>
  </si>
  <si>
    <t>https://checkfred.com</t>
  </si>
  <si>
    <t>Sarinah2020</t>
  </si>
  <si>
    <t>2 anyone who has a friend with #mentalillness and wants to help him or her..Thanks a mill 2 @AnnaAkana 🙏, I tried to explain this to many of my dearest friends, certainly this clip will help...  #mentalhealth #depressionfeelslike #CPTSD #ADD #anxiety</t>
  </si>
  <si>
    <t>https://youtu.be/eK1luxZbuyU</t>
  </si>
  <si>
    <t>https://pbs.twimg.com/media/EOkHpN4WkAALN4_.jpg</t>
  </si>
  <si>
    <t>A go - gether hands on wonder woman, working in the Film Industry &amp; TV shows, based in Malta . #locationassistant #setPA #filmindustry</t>
  </si>
  <si>
    <t>henk</t>
  </si>
  <si>
    <t>Holland</t>
  </si>
  <si>
    <t>Upbeat Impulse by Sonja</t>
  </si>
  <si>
    <t>Anyone thinks that there's no such thing as too much self-control?  #mentalillness #mentalhealth #selfcontrol #organization</t>
  </si>
  <si>
    <t>https://hbr.org/2020/01/the-dark-side-of-self-control</t>
  </si>
  <si>
    <t>Planet Earth</t>
  </si>
  <si>
    <t>Workable advice on mindfulness, personal growth and mental health | Free Mindfulness Daily Exercises E-book | Printable worksheets | Working with coaches</t>
  </si>
  <si>
    <t>http://www.upbeatimpulse.com</t>
  </si>
  <si>
    <t>Hannah Durham</t>
  </si>
  <si>
    <t>I've just posted up a new blog that I'm really proud and honoured to have worked on with my brother. He talks about how his experience with #mentalhealth led him to sell all his belongings, go travelling and become a #Buddhist and #Shaolin Disciple.</t>
  </si>
  <si>
    <t>http://bit.ly/2G0itbb</t>
  </si>
  <si>
    <t>https://pbs.twimg.com/media/EOkFVMSXUAE9ICl.jpg</t>
  </si>
  <si>
    <t>International Marketing @SUEngineering | Travel, Lifestyle &amp; Wellbeing @ How to Breathe Deep | Welsh | Vegetarian</t>
  </si>
  <si>
    <t>https://howtobreathedeep.com/</t>
  </si>
  <si>
    <t>Glory 💪🏻💫 🦋</t>
  </si>
  <si>
    <t>No matter how hard today is, #dontgiveup. You’ve got this! #SuicideAwareness #mentalhealth #Scapegoatcommunity</t>
  </si>
  <si>
    <t>https://pbs.twimg.com/media/EOkHcj0XkAE-vCT.jpg</t>
  </si>
  <si>
    <t xml:space="preserve">The Beach. Any Beach. </t>
  </si>
  <si>
    <t>From Scapegoat to Truth Teller. No more hiding. #LymeDisease, #cPTSD &amp; #NPD survivor, #Vegan &amp; #SoberAF. #Scapegoatcommunity No DMs (unless we are friends)</t>
  </si>
  <si>
    <t>https://www.eyeem.com/u/26505650</t>
  </si>
  <si>
    <t>katie</t>
  </si>
  <si>
    <t>I'm quite proud of this little space online that I've made. I was worried people might think I'm copying other accounts but my content comes from a place of love and hope that less people feel that self loathing that I did. #loveeverypiece #mentalhealth #mhbloggers</t>
  </si>
  <si>
    <t>https://pbs.twimg.com/media/EOkHVT2X0AEcosJ.jpg</t>
  </si>
  <si>
    <t>25. Feminist activist. mental health advocate. UoS Journalism and film grad. The creative type.</t>
  </si>
  <si>
    <t>https://www.bbc.co.uk/sounds/play/p07qtm7c</t>
  </si>
  <si>
    <t>Will Jones</t>
  </si>
  <si>
    <t>This is why @Thompsoncff has invested into growing #trauma focused cognitive behavioral therapy in our community and schools. #charlotte #MentalHealthAwareness #mentalhealth RT @JenRobertsNC: Sharing this from my FB page for help, understanding, support for suicide prevention and outreach. We can all play a role - to watch out for each other, love without judging, and listen. #Peace #YouAreNotAlone #MentalHealthAwareness</t>
  </si>
  <si>
    <t>https://twitter.com/jenrobertsnc/status/1218223878155251713</t>
  </si>
  <si>
    <t>https://pbs.twimg.com/media/EOgAJuWX0AAIoXR.jpg</t>
  </si>
  <si>
    <t>Child Welfare &amp; Juvenile Justice Leader</t>
  </si>
  <si>
    <t>Have a good weekend everybody! Remember: •You matter •You are valuable to the people around you •Your mental health issues are valid •Set boundaries •Go for a walk •Take your meds •Drink some damn water •You got this! #mentalhealth #MentalHealthAwareness</t>
  </si>
  <si>
    <t>The Creative Dragonfly</t>
  </si>
  <si>
    <t>Escaping the Prison of Your Mind: About the human struggle to find peace and happiness. #mentalhealth</t>
  </si>
  <si>
    <t>http://thecreativedragonfly.com/2020/01/18/escaping-the-prison-of-your-mind/</t>
  </si>
  <si>
    <t>https://pbs.twimg.com/media/EOkHQJ9X0AEqHTY.jpg</t>
  </si>
  <si>
    <t>Nova Scotia, Canada</t>
  </si>
  <si>
    <t>The Creative Dragonfly blog engages readers in reflection and learning about personal + planetary healing through creative writing. Author: May Hart (pen-name).</t>
  </si>
  <si>
    <t>http://Www.thecreativedragonfly.com</t>
  </si>
  <si>
    <t>How can Schizophrenia be treated?  #mentalhealth #mentalillness</t>
  </si>
  <si>
    <t>http://psy.pub/1kbPgXO</t>
  </si>
  <si>
    <t>https://pbs.twimg.com/media/EOkHA5fX0AICB_u.jpg</t>
  </si>
  <si>
    <t>alegria guzman</t>
  </si>
  <si>
    <t>Venezuela</t>
  </si>
  <si>
    <t>Bioanalista Epidemiologo UCVista e hija de Gonzalo y María🇻🇪</t>
  </si>
  <si>
    <t>Juliette Burton</t>
  </si>
  <si>
    <t>Heavy lifting (of mood) last night before a lovely gig My armour: irreverent grin &amp; slogan tee reminding me I’m a “strong female lead” Depression can do one: withdrawing‘s no longer an option. I’ll put the effort in to push that boulder off #dontgiveup #mentalhealth #depression</t>
  </si>
  <si>
    <t>https://pbs.twimg.com/media/EOkGfv0WsAE17LS.jpg</t>
  </si>
  <si>
    <t>comedian, writer, actor, presenter, speaker, mad harpy * SOLD OUT Edinburgh Fringe 2015/16/17/18 * for upcoming gigs/news see website * AGENT @andrewrtalent</t>
  </si>
  <si>
    <t>http://www.julietteburton.com</t>
  </si>
  <si>
    <t>https://pbs.twimg.com/media/EOkGb86WkAAVWRe.jpg</t>
  </si>
  <si>
    <t>Community Music Wales</t>
  </si>
  <si>
    <t>Finally, on day 7 of the #CommunityMusic #MentalHealth #training we’ll equip participants with techniques for dealing with challenging situations and what to do once the course has ended.</t>
  </si>
  <si>
    <t>https://pbs.twimg.com/media/EOPE9aZWoAAwGZd.jpg</t>
  </si>
  <si>
    <t>Cardiff/Caernarfon</t>
  </si>
  <si>
    <t>Charity empowering and inspiring through music. Over 25 years experience spreading joy and teaching new skills throughout Wales.</t>
  </si>
  <si>
    <t>http://www.communitymusicwales.co.uk</t>
  </si>
  <si>
    <t>Jennifer Fox</t>
  </si>
  <si>
    <t>❤️ This 🙌🏻 Sometimes just being there is enough ❤️ #MentalHealth #WinnieThePoohDay</t>
  </si>
  <si>
    <t>https://pbs.twimg.com/media/EOkGBQOWoAAr5Oi.jpg</t>
  </si>
  <si>
    <t xml:space="preserve">Leeds/Ireland </t>
  </si>
  <si>
    <t>Script Editor on Emmerdale. Fast talker, champion hugger and hot beverage enthusiast.</t>
  </si>
  <si>
    <t>http://www.instagram.com/jenisthatyou</t>
  </si>
  <si>
    <t>WellExpo</t>
  </si>
  <si>
    <t>A very calm beautiful morning #Donegal #wellexpo2020 #yourhealthmatters #mentalhealth</t>
  </si>
  <si>
    <t>https://pbs.twimg.com/media/EOkGAFRXUAA0viL.jpg</t>
  </si>
  <si>
    <t>WellExpo the wellness event to kickstart 2020. 23rd Jan Abbey Hotel, Co Donegal</t>
  </si>
  <si>
    <t>http://www.wellexpo.ie</t>
  </si>
  <si>
    <t>Howard Liu, MD MBA</t>
  </si>
  <si>
    <t>We need to foster global collaboration in child #mentalhealth. Looking forward to presenting with colleagues from Pakistan and Paris on #MedEd curricula in child psychiatry at @IACAPAP 2020 in Singapore. Thanks @ayesha_mian1 &amp; @AishaSChachar for your vision! @AACAP @MHCC_ RT @OffordCentre: “Mental disorders are now the leading cause of childhood disability globally.” Read about how Dr. Kathy Georgiades is aiming to improve the outcomes of children and youth in Canada who are struggling with challenges related to mental health.</t>
  </si>
  <si>
    <t>https://twitter.com/offordcentre/status/1218184712537112578
https://hamiltonhealth.ca/improving-mental-health/</t>
  </si>
  <si>
    <t>Psychiatrist | Dad | Chair @unmcpsychiatry | President-Elect @admsep | Active @RWJF @APAPsychiatric @AACAP | Passionate #HeForShe #MentalHealth #Leadership</t>
  </si>
  <si>
    <t>https://www.unmc.edu/psychiatry/about/faculty/liu.html</t>
  </si>
  <si>
    <t>An overview of brain-training game apps for children  #ADHD #mentalhealth</t>
  </si>
  <si>
    <t>My sister died after taking a line of cocaine' #health #mentalhealth #healthcare #wellness #healthissues #care #goodhealth</t>
  </si>
  <si>
    <t>https://bhive.nectar.social/drPQ2V</t>
  </si>
  <si>
    <t>Join us as we speak about what to do if you think your child may be a bully at school here:  #Parenting #MentalHealth</t>
  </si>
  <si>
    <t>https://pbs.twimg.com/media/EOkFQmPWsAAdMoK.jpg</t>
  </si>
  <si>
    <t>Having a resilient brain is about how well your brain handles stress. Developing resilience is a neuroplastic process your brain can learn.  #mentalhealth #resilience #success #mentalstrength #SaturdayMorning</t>
  </si>
  <si>
    <t>https://buff.ly/2LAksqn</t>
  </si>
  <si>
    <t>https://pbs.twimg.com/media/EOkFQQ0X4AAxVYJ.jpg</t>
  </si>
  <si>
    <t>Carolyn Spring</t>
  </si>
  <si>
    <t>"Recovery is not so much a dream as it is a plan." Read Carolyn Spring's blog post:  #trauma #dissociation #dissociativeidentitydisorder #counselling #psychotherapy #mentalhealth #carolynspring #reversingadversity</t>
  </si>
  <si>
    <t>http://ow.ly/Mmbh50xVS0u</t>
  </si>
  <si>
    <t>https://pbs.twimg.com/media/EOkFPvwWkAIWOVl.jpg</t>
  </si>
  <si>
    <t>Huntingdon, UK</t>
  </si>
  <si>
    <t>Reversing adversity - helping people recover from the bad stuff in life. My new book 'Unshame': http://www.carolynspring.com/shop/unshame-paperback</t>
  </si>
  <si>
    <t>http://www.carolynspring.com</t>
  </si>
  <si>
    <t>Unlock the key inside of the mental prison that has you stuck.Break down the walls that keep you confined. Stare down the fears ..Fearlessly,that are trying to stop you. Let your struggles know that they F’d with the wrong person.#inspirational #SaturdayMotivation #mentalhealth</t>
  </si>
  <si>
    <t>https://pbs.twimg.com/media/EOkFMiqXUAIrq1j.jpg</t>
  </si>
  <si>
    <t>*New Release!* #Free on #Amazon #Kindle! A new take on the #Zombie genre with an immunity and cause like no other! A #mentalhealth driven #apocalyptic #thriller.. Enjoy! #freebook #freebie #scifi #romance #horror #ebook #novel #awareness #apocalypse</t>
  </si>
  <si>
    <t>https://www.amazon.co.uk/dp/B083Z4XRJZ/ref=cm_sw_r_tw_apa_i_uJViEbWVXRKSK</t>
  </si>
  <si>
    <t>Glenn</t>
  </si>
  <si>
    <t>Furthest distance ran, 2 very different faces, 1 straight back in the house as requested by @marathontalk &amp; one all showered and clean &amp;amp; relatively normal looking. Please see link in bio for why I’m raising awareness 4 #mentalhealth #marathontraining #manchestermarathon #farming</t>
  </si>
  <si>
    <t>https://pbs.twimg.com/media/EOkExjlX4AAW-Ij.jpg</t>
  </si>
  <si>
    <t>Northerner🗼in the South ✈️🔥💦🚒 Trying to Run - 2️⃣0️⃣1️⃣9️⃣ - 3 x Half Marathons, 1 x 10 miler, 1 x 10k 2️⃣0️⃣2️⃣0️⃣- @Marathon_Mcr</t>
  </si>
  <si>
    <t>http://justgiving.com/crowdfunding/glenn-priestley</t>
  </si>
  <si>
    <t>Susan Hamilton, Host</t>
  </si>
  <si>
    <t>#NowPlaying on OBBM  @JeffBickerstaff @Seated2Serve @GarlandRotary - Create a positive playlist for #mentalhealth #recovery w @ivorchester3</t>
  </si>
  <si>
    <t>http://bit.ly/2p5hcsH</t>
  </si>
  <si>
    <t>The Offbeat Business Media Network, Sound advice - NEVER boring! http://OffbeatBusiness.com</t>
  </si>
  <si>
    <t>http://offbeatbusiness.com</t>
  </si>
  <si>
    <t>Elliott Bunker 🏃‍♂️🏳️‍🌈 👨‍👨‍👦‍👦 🎭 🦅</t>
  </si>
  <si>
    <t>Just signed up to two weeks worth of unlimited #Yoga for £25 at @TheYogaShed #Hitchin #WellBeing #MentalHealth</t>
  </si>
  <si>
    <t>pic.twitter.com/nRm83wpGa9</t>
  </si>
  <si>
    <t>Weston, England</t>
  </si>
  <si>
    <t>Husband to @jamesbunker and super-proud gay dad to Daniel &amp; Callum. RSPB Digital Strategist. Writer, Director &amp; Actor. Keen runner 🏃‍♂️ All views are my own...</t>
  </si>
  <si>
    <t>http://www.rspb.org.uk</t>
  </si>
  <si>
    <t>Don't miss our #podcast this morning at 11am EST! We're featuring @HayleyMcGregor1 Give us a call with questions! 347-989-0126 Here's the direct link:  #KeepTalkingMH #CSA #mentalhealth #depression #mentalillness #anxiety</t>
  </si>
  <si>
    <t>https://pbs.twimg.com/media/EOkEIOqXUAISdFy.jpg</t>
  </si>
  <si>
    <t>eSchool News</t>
  </si>
  <si>
    <t>Can data help schools address student mental health issues?  #mentalhealth #education #k12 #students</t>
  </si>
  <si>
    <t>https://buff.ly/35ZPEGc</t>
  </si>
  <si>
    <t>https://pbs.twimg.com/media/EOkEBZEWAAE1u99.jpg</t>
  </si>
  <si>
    <t>We connect you to the latest news &amp; info on how #K12 educators are using #EdTech in the classroom. 💻 Write for us: http://www.eschoolnews.com/submissions/</t>
  </si>
  <si>
    <t>http://www.eschoolnews.com</t>
  </si>
  <si>
    <t>About CBD Plus Health  #CBDPlusHealth #CBD #CBDlife #CBDstore #CBDshop #CBDHealth #CBDworld #cannabidiol #Hemp #Health #Anxiety #MentalHealthAwareness #MentalHealthMatters #MentalHealth #Lenexa #KansasCity @CBDPlusHealth</t>
  </si>
  <si>
    <t>https://buff.ly/300pNvJ</t>
  </si>
  <si>
    <t>Scripts &amp; Sketches</t>
  </si>
  <si>
    <t>The Doctor And Mrs Pumpkin - Duologue The DOCTOR has an uphill task today talking to a lady called MRS PUMPKIN who thinks she’s a carrot! #mentalhealth #livingontheveg</t>
  </si>
  <si>
    <t>https://pbs.twimg.com/media/EOkD_JgWAAA5Qo2.png</t>
  </si>
  <si>
    <t>Drama Teacher 100's of Group Scripts and Poems #easylearn #writingcommunity #drama #writers</t>
  </si>
  <si>
    <t>http://www.scriptsandsketches.com</t>
  </si>
  <si>
    <t>Antonis A. Kousoulis</t>
  </si>
  <si>
    <t>A few weeks ago at the launch of our new strategy. Talking about how to make #prevention happen in mental health. Here caught moments before I make a... mean trick with a glass of water to demonstrate how #mentalhealth problems develop and how they can be prevented...</t>
  </si>
  <si>
    <t>https://pbs.twimg.com/media/EOkD4yrXUAAtMOp.jpg</t>
  </si>
  <si>
    <t>MD, MSc, DrPH. Director for England and Wales @mentalhealth. Leading to impact in #PublicHealth one day at a time.</t>
  </si>
  <si>
    <t>Garry Jones Coaching</t>
  </si>
  <si>
    <t>⭐️⭐️⭐️⭐️⭐️ feedback #author #gratitude #anxiety #depression #help #coach #mentalhealth</t>
  </si>
  <si>
    <t>https://pbs.twimg.com/media/EOkDzBHWsAE3EV4.jpg</t>
  </si>
  <si>
    <t>Wormbridge, Hereford, UK</t>
  </si>
  <si>
    <t>Helping you be the very best you can be... Master Practitioner of NLP &amp; Hypnotism, Elite Performance Coaching #1 best selling author.</t>
  </si>
  <si>
    <t>http://garryjonescoaching.com</t>
  </si>
  <si>
    <t>JJ Fahy 💔🌹💛💚🇪🇺</t>
  </si>
  <si>
    <t>Out walking under a blue sky. This beautiful find caught my eye. A love heart leaf landed in sympathy with road paint each with their own unique textures, cracks, dancing. #z5 #6MusicFamily #mentalhealth #recovery progress through process not #Rothko yet #rothkoeverywhere 💙 x</t>
  </si>
  <si>
    <t>https://pbs.twimg.com/media/EOkDxgXWAAAqtHp.jpg</t>
  </si>
  <si>
    <t>Kensington, Liverpool x</t>
  </si>
  <si>
    <t>a líomóid making noises + images. mental health issues, safe as houses. refugees welcome. https://instagram.com/rothkoeverywhe…</t>
  </si>
  <si>
    <t>http://ambienteer.bandcamp.com</t>
  </si>
  <si>
    <t>Understanding How Person with #ADHD Feels:  #mentalhealth #psychology</t>
  </si>
  <si>
    <t>http://bit.ly/1DaEBuv</t>
  </si>
  <si>
    <t>Ider J</t>
  </si>
  <si>
    <t>Cacolina Cacolain</t>
  </si>
  <si>
    <t>Catadora mermeladas mosqueta</t>
  </si>
  <si>
    <t>Politiquera, católica, casada, contradictoria, ignorante, flexible, hedonista, antinatalista, shippeadora compulsiva y colocolina. No en ese orden.</t>
  </si>
  <si>
    <t>http://historiasdedrucilvania.blogspot.cl/</t>
  </si>
  <si>
    <t>NHS Salford CCG</t>
  </si>
  <si>
    <t>Are you worried that a friend or family member is acting different? They may be struggling with stress, anxiety or depression. Always #asktwice. Visit  for more information. #SuicidePrevention #MentalHealth @SalfordCouncil @HWSalford</t>
  </si>
  <si>
    <t>http://socsi.in/3wXRI</t>
  </si>
  <si>
    <t>pic.twitter.com/zPj1UDtcKg</t>
  </si>
  <si>
    <t>Salford</t>
  </si>
  <si>
    <t>Every GP practice in Salford is part of Salford Clinical Commissioning Group. Salford CCG is in charge of buying most health services for the people of Salford.</t>
  </si>
  <si>
    <t>http://www.salfordccg.nhs.uk</t>
  </si>
  <si>
    <t>#lifehack You say "i don't have time" ? Watch one episode less today, that's extra 20minutes!😉 #garyveechallenge #Happiness #mentalhealth #workinghard #KindnessDay #Kindness #dontforgettosmile #smile #LiveYourLife #MotivationalQuotes #SaturdayMotivation #SaturdayThoughts</t>
  </si>
  <si>
    <t>Kaus and the percycutes</t>
  </si>
  <si>
    <t>I wrote a book about my mate inside my head ! Disturbing with brutal honesty it’s probably the best therapy I’ve ever had writing this .... need a publishing agent with some conviction to get on board ? #mentalhealth #book #novel #publishingagent</t>
  </si>
  <si>
    <t>https://pbs.twimg.com/media/EOkCl5HX4AABphv.jpg</t>
  </si>
  <si>
    <t>karl unwin biographical novel about the voices in my head and the insane things they make me do,mentalhealth,crime,drugs and sex -should of been a politician</t>
  </si>
  <si>
    <t>TimeToTalk 💗</t>
  </si>
  <si>
    <t>Discussing talking about mental health in a more accepting society 💓  #blogger #bloggers #mentalhealth #blog #BloggerLoveShare</t>
  </si>
  <si>
    <t>https://realtimetotalk.wordpress.com/2019/04/12/why-dont-people-talk-about-there-mental-health/</t>
  </si>
  <si>
    <t>https://pbs.twimg.com/media/EOkCl54XsAAZURl.jpg</t>
  </si>
  <si>
    <t>General blogger tweeting and blogging about life | 💻 PR/ collaborative enquires email timetotalk19@outlook.com | my DMs are always open for you lovelies 💗</t>
  </si>
  <si>
    <t>https://realtimetotalk.wordpress.com/</t>
  </si>
  <si>
    <t>Ardscoil Mhuire</t>
  </si>
  <si>
    <t>Congrats to the winners of our Self-care Hamper Raffle for #ASM's #MentalHealth Week! Enjoy! 💙 Our Mental Health Committee has raised €400 for @haven_hub! Thanks to the TYs for selling tickets, especially Chloe &amp; Katie for donating the proceeds from the sale of TY hoodies!</t>
  </si>
  <si>
    <t>https://pbs.twimg.com/media/EOkCcv9XsAEbeGn.jpg</t>
  </si>
  <si>
    <t>Ardscoil Mhuire is an all-girls Catholic Secondary School serving the community in Limerick City. Retweets are not endorsements.</t>
  </si>
  <si>
    <t>http://www.asmlimerick.ie/</t>
  </si>
  <si>
    <t>Samaria 💋</t>
  </si>
  <si>
    <t>Its totally ok. Stop being so prideful. #mentalhealth #mentalhealthawarness</t>
  </si>
  <si>
    <t>https://www.instagram.com/p/B7dfFSLg_EZ/?igshid=1u5kbdhzbh4o8</t>
  </si>
  <si>
    <t>Houston, TX</t>
  </si>
  <si>
    <t>I 💜being me and if u dont like it oh well. IG:@Mizz_QueenDiva_ YT:MizzQueenDiva ✉️:sthompsondiva@gmail.com 👻:mizzdivathang FB:@1Mizzqueendiva</t>
  </si>
  <si>
    <t>https://www.mizzqueendivadesigns.com</t>
  </si>
  <si>
    <t>It's not about having time, it's about making time😉💙#garyveechallenge #Happiness #mentalhealth #workinghard #grind #KindnessDay #Kindness #dontforgettosmile #smile #blessed #LiveYourLife #MotivationalQuotes #SaturdayFeeling #SaturdayMotivation #SaturdayThoughts #SaturdayVibes</t>
  </si>
  <si>
    <t>Zimri ROSAS</t>
  </si>
  <si>
    <t>Ciudad Guayana,Venezuela.</t>
  </si>
  <si>
    <t>Lcdo. en Gcia. de Recursos Humanos - UDO/ Gobernabilidad y Gerencia Politica UCAB-GWU-CAF/ Planificacion y Finanzas Publicas - EVP/ Locutor UCV. Maestrando.</t>
  </si>
  <si>
    <t>Peter Zaidan</t>
  </si>
  <si>
    <t>Chief Meatologist/Biohacker/Memerist/Guitaraholic/9th of 11 children). Tweets and thoughts are my own</t>
  </si>
  <si>
    <t>http://www.macelleria.com.au</t>
  </si>
  <si>
    <t>Barry Stalker</t>
  </si>
  <si>
    <t>You are given ONE body. Once it becomes sick. It can be VERY hard to rectify it so take time out to look after it. #health #wellness #healthylifestyle #exercise #lifestyle #mentalhealth #fitness #food #diet</t>
  </si>
  <si>
    <t>https://pbs.twimg.com/media/EOkB4rRWoAUIiyX.jpg</t>
  </si>
  <si>
    <t>PT 💪🏻 Online Trainer 🏋🏻‍♀️ Lifestyle Coach 👍🏻</t>
  </si>
  <si>
    <t>http://www.pro-trainer.co.uk</t>
  </si>
  <si>
    <t>Originate Lifestyle Solutions</t>
  </si>
  <si>
    <t>Never forget, there is ALWAYS light at the end of the tunnel. You just have to go and find it. #mentalhealth #workout #adventure #SaturdayMotivation</t>
  </si>
  <si>
    <t>https://pbs.twimg.com/media/EOkB00iWAAEVTTY.jpg</t>
  </si>
  <si>
    <t>South Wales</t>
  </si>
  <si>
    <t>Personal Wellbeing Active Communities Sustainable Environment</t>
  </si>
  <si>
    <t>http://www.originatelifestylesolutions.com</t>
  </si>
  <si>
    <t>Everyday Heroes Kids</t>
  </si>
  <si>
    <t>Nutrition and Mental Health in Teens. #mentalhealth #teens RT @AboutKidsHealth: Share this guide with your teen to help them learn about the basics of a healthy diet and the role of nutrition in boosting their mood and general wellbeing:  #healthyeating #mentalhealth #teens</t>
  </si>
  <si>
    <t>https://twitter.com/aboutkidshealth/status/1218322408463093760
http://ow.ly/qSWS30q7aDc</t>
  </si>
  <si>
    <t>https://pbs.twimg.com/media/EOhZxi0XsAAg7lU.jpg</t>
  </si>
  <si>
    <t>Everyday Heroes provides a centralized destination for pediatric support that is easy to access and navigate. 🚀 soon. North America</t>
  </si>
  <si>
    <t>http://www.ehkidshealth.com</t>
  </si>
  <si>
    <t>The Mental Health &amp; Wellbeing Show</t>
  </si>
  <si>
    <t>Are you looking for something to do this weekend to improve your #wellbeing and refresh your #mindset? This blog takes a look at some great activities you can try to improve #mentalhealth, general #fitness and really make the most of your #weekend</t>
  </si>
  <si>
    <t>https://thriveglobal.com/stories/8-awesome-weekend-activities-to-improve-your-well-being/</t>
  </si>
  <si>
    <t>The #MentalHealth &amp; #Wellbeing Show, Cardiff City Stadium, 21st May 2020 - promoting positive mental health through open conversation.</t>
  </si>
  <si>
    <t>http://www.mhwshow.co.uk</t>
  </si>
  <si>
    <t>Hollywood Movies about Asperger's:  #autism #ASD #Aspergers #mentalhealth</t>
  </si>
  <si>
    <t>#WashingUp ✔️ #washingmachine on✔️#cleanfloor✔️ #oilburners on✔️#mentalhealth improved✔️ #Today it’s time for #otherparts of the #house ..... #housework #cleaning #hoovering #dusting #keepingbusy helps my…</t>
  </si>
  <si>
    <t>https://www.instagram.com/p/B7derndJ-nz/?igshid=1bpoup2zssz5v</t>
  </si>
  <si>
    <t>Look in the mirror for a sec. That's your Only competition! Prove yourself first! 😉❤ #garyveechallenge #Happiness #mentalhealth #workinghard #grind #KindnessDay #Kindness #dontforgettosmile #smile #blessed #LiveYourLife #MotivationalQuotes #SaturdayFeeling #SaturdayMotivation</t>
  </si>
  <si>
    <t>S.Y</t>
  </si>
  <si>
    <t>When someone says they're having a horrible day, hate their job/life, are struggling with everything, I always worry about liking that tweet. Do people appreciate the likes or prefer a reply? #edutwitter #mentalhealth</t>
  </si>
  <si>
    <t>Mum...Primary Teacher...KS1 Maths Leader...BLP Lead... Coffee snob... Book worm</t>
  </si>
  <si>
    <t>Steve Hope</t>
  </si>
  <si>
    <t>Thanks to those asking about my mental health wellbeing, I know there's a fair few that couldn't give a shit so I do appreciate it 👍 #mentalhealth</t>
  </si>
  <si>
    <t>fighting depression,anxiety, self harm and suicidal thoughts. support @SUFCofficial @lfc, engaged to Sharon #uti #mentalhealthawareness #dontbuythesun</t>
  </si>
  <si>
    <t>Mark Brown</t>
  </si>
  <si>
    <t>Wrote this before Christmas about the effect of poor and insecure rental housing on the lives of people who experience #mentalhealth difficulties. It's something very close to my heart. Having a home matters</t>
  </si>
  <si>
    <t>https://www.centreformentalhealth.org.uk/blog/writer-residence/theres-no-place-home-housing-and-mental-health</t>
  </si>
  <si>
    <t>Edited magazine One in Four 07-14. Does mental health/tech stuff. Writer in residence @centreforMH. Writes things sometimes for money. Loves speaking. DMs open.</t>
  </si>
  <si>
    <t>http://thenewmentalhealth.org</t>
  </si>
  <si>
    <t>a</t>
  </si>
  <si>
    <t>. @ArianaGrande I used to be so delusional that I would interpret these as they are meant to be specifically for me. But not from you. From @taylorswift13 and @katyperry and I used to think they were feuding over me lol! #MentalHealth RT @ArianaGrande: love u</t>
  </si>
  <si>
    <t>https://twitter.com/ArianaGrande/status/1218430803182374913</t>
  </si>
  <si>
    <t>Shaunna 👻🖤✌🏻</t>
  </si>
  <si>
    <t>Just a reminder in case your mind is playing tricks on you today. You matter. You’re important. You’re loved. And this presence on earth makes a difference whether you see it or not. ❤️ #selfcare #mentalhealth #staystrong</t>
  </si>
  <si>
    <t>Insert pretentious stuff about myself here.</t>
  </si>
  <si>
    <t>Primer on Autism Assessments for Children:  #autism #asd #asperger #mentalhealth #parenting</t>
  </si>
  <si>
    <t>http://psy.pub/autism-test</t>
  </si>
  <si>
    <t>The mind is the limit. As long as the mind can envision the fact that you can do something, you can do it. As long you really believe💯!💙#garyveechallenge #Happiness #mentalhealth #workinghard #KindnessDay #Kindness #dontforgettosmile #blessed #LiveYourLife #MotivationalQuotes</t>
  </si>
  <si>
    <t>Sophie Rivett</t>
  </si>
  <si>
    <t>The accountability cats have got my back #selfcare #motivation #mentalhealth #bfrb #dermatillomania</t>
  </si>
  <si>
    <t>https://pbs.twimg.com/media/EOkAqFHX4AUTl1x.jpg</t>
  </si>
  <si>
    <t>The Ford</t>
  </si>
  <si>
    <t>Trying to adult good. Sometimes succeeding. Artistically frustrated medic. Remainer. Views my own. RTs not endorsements. Occasional tact fail. Not a real ginger</t>
  </si>
  <si>
    <t>http://amidoingliferight.com</t>
  </si>
  <si>
    <t>shoppinghacks4u</t>
  </si>
  <si>
    <t>There is always time to do something missing in your life.Take the time to do it.Other things will still be there. Do a jigsaw, read a book, go walking, play a game. Work is not everything. Stress less, live more. Be with those you cherish. #Advice #life #lifequotes #mentalhealth</t>
  </si>
  <si>
    <t>Here to help you save money and time and know where and when to shop. HACKS! Also do food.</t>
  </si>
  <si>
    <t>Northumberland CCG</t>
  </si>
  <si>
    <t>Have you signed up to our Trailblazer launch events yet? Come and find out about how we are transforming #mentalhealth services for children and young people. Hexham 👉  Blyth 👉  @HeadwayArts @N_landCouncil @NorthumbriaNHS</t>
  </si>
  <si>
    <t>https://beyouhexham.eventbrite.co.uk
https://beyoublyth.eventbrite.co.uk</t>
  </si>
  <si>
    <t>https://pbs.twimg.com/media/EOkAW56W4AAG1hQ.jpg</t>
  </si>
  <si>
    <t>Northumberland</t>
  </si>
  <si>
    <t>NHS Northumberland CCG are responsible for the planning and buying of local NHS healthcare and health services for local people.</t>
  </si>
  <si>
    <t>https://www.northumberlandccg.nhs.uk/</t>
  </si>
  <si>
    <t>You never know how big impact you might have on someone's life by being a support when they need it. #mentalhealth #mentalhealthawareness #anxiety #depression #selfcare #love #selflove #health #mentalillness #therapy #recovery #motivation #wellness #mindfulness #healing #ptsd</t>
  </si>
  <si>
    <t>https://pbs.twimg.com/media/EOkAKhYUYAA8_jT.jpg</t>
  </si>
  <si>
    <t>Walter Bilas</t>
  </si>
  <si>
    <t>Katie has #mentalhealth issues. The #TransPet nonsense I can take, but not the #Corbyn is my PM #LabourLeadershipElection RT @TgirlKatie: Pleased to share Pixie with the world; a #TransPet from Tower Hamlets. Pixie came out as Trans last year &amp; regulary experiments with nail varnish &amp;amp; blusher! A beautiful girl don’t you think? Is your Guinea Pig Trans? Don’t assume gender! #TuesdayThoughts #TransIsBeautiful #LGBTQ</t>
  </si>
  <si>
    <t>https://twitter.com/tgirlkatie/status/1217170067403759617</t>
  </si>
  <si>
    <t>https://pbs.twimg.com/media/EORBuMRXkAEiGRc.jpg</t>
  </si>
  <si>
    <t>London &amp; East Sussex</t>
  </si>
  <si>
    <t>Trying to stay grounded in a world spinning out of control. Facts matter, not feelings.</t>
  </si>
  <si>
    <t>Jill Woodworth</t>
  </si>
  <si>
    <t>Here's an audio clip from TSC Talks podcast with Daniel N Price  For the full episode:  #tuberoussclerosis #podcast #autism #epilepsy #tand #mentalhealth #hope #ProTip @talks_tsc @tsalliance @GardensNicky 🎈🎙🎧</t>
  </si>
  <si>
    <t>https://youtu.be/H4H5vyEXK7I
https://tsctalks.com/tsc-talks-guest-daniel-price/</t>
  </si>
  <si>
    <t>pic.twitter.com/3rt97mtoEv</t>
  </si>
  <si>
    <t>Rutland, MA</t>
  </si>
  <si>
    <t>Human being. Experiential learner. Neurodivergent. Writer. Podcaster. Interested in finding common ground, risking vulnerability &amp; validating lived expertise</t>
  </si>
  <si>
    <t>https://tsctalks.com/</t>
  </si>
  <si>
    <t>ABrainOutofBalance🌈💚</t>
  </si>
  <si>
    <t>Hi everyone! Just a heads up that my first book will be coming out in the next 45-60 days. It's been a long, long time coming but it's almost here! The book covers my mental health journey and what I've learned from it. #Writer #mentalhealth</t>
  </si>
  <si>
    <t>Sylvania, OH</t>
  </si>
  <si>
    <t>I am a mental health consumer sharing my experiences via podcast and YouTube content.</t>
  </si>
  <si>
    <t>https://abrainoutofbalance.org</t>
  </si>
  <si>
    <t>I work out because... Finish the thought 🤔 #gym #workout #garyveechallenge #Happiness #mentalhealth #workinghard #grind #KindnessDay #Kindness #dontforgettosmile #blessed #LiveYourLife #MotivationalQuotes #SaturdayFeeling #SaturdayMotivation #SaturdayThoughts #SaturdayVibes</t>
  </si>
  <si>
    <t>One does not simply quit after one "NO". You keep going till you get enough YeS! 😉❤ #garyveechallenge #Happiness #mentalhealth #workinghard #grind #KindnessDay #Kindness #dontforgettosmile #smile #blessed #LiveYourLife #MotivationalQuotes #SaturdayFeeling #SaturdayMotivation</t>
  </si>
  <si>
    <t>Backup Buddy UK</t>
  </si>
  <si>
    <t>You are ENOUGH! 👊 You do not need to perfect, no one is ... a little #selfacceptance however tough can be a game-changer for your #wellbeing &amp; #mentalhealth... #selfcarechallenge #1in4 #recovery #mentalhealthwarrior #thinbluelineUK #policeofficer #policefamily</t>
  </si>
  <si>
    <t>https://pbs.twimg.com/media/EOj_csxXsAAx4bW.jpg</t>
  </si>
  <si>
    <t>The #mentalhealth App for #ukpolice &amp; staff - support &amp; advice when you need it! Get in touch &amp; download: http://backupbuddy.uk #policefamily #thinblueline 🚓</t>
  </si>
  <si>
    <t>http://backupbuddy.uk</t>
  </si>
  <si>
    <t>K_FoxFortune</t>
  </si>
  <si>
    <t>The nightmares of you are so vivid that they kill me inside. Eating away at me like maggots on flesh. Leaving me empty and hollow, begging for the echos of you to fade. #PTSD #trauma #mentalhealth</t>
  </si>
  <si>
    <t>Just a little fortune cookie filled with random sometimes useless advice.</t>
  </si>
  <si>
    <t>United Nations World Happiness Report - via @smedian_network .@Medium #medium #blog #essay #UnitedNations #UN #Happiness #Government #World #USPolitics #politics #news #mentalhealth #health #HealthcareForAll #europe #eu #usa #america #Finland</t>
  </si>
  <si>
    <t>https://medium.com/dialogue-and-discourse/united-nations-world-happiness-report-46b0710ac73b</t>
  </si>
  <si>
    <t>Fortunatus Housing</t>
  </si>
  <si>
    <t>The time to focus on #mentalhealth at the workplace is now — an open letter to bosses everywhere - Firstpost</t>
  </si>
  <si>
    <t>https://twitter.com/share?url=https://www.firstpost.com/health/the-time-to-focus-on-mental-health-at-the-workplace-is-now-an-open-letter-to-bosses-everywhere-2-7818161.html</t>
  </si>
  <si>
    <t>Warrington - United Kingdom</t>
  </si>
  <si>
    <t>Mental health charity providing housing solutions 4 adults with mental illness. We love mindfulness, well being &amp; positivity. Tweets by Sian</t>
  </si>
  <si>
    <t>http://www.fortunatushousing.co.uk</t>
  </si>
  <si>
    <t>"Temperament doesn’t have to define you. Overcoming your basic instincts is entirely possible, as long as you’re willing to reach out for help."  #Mentalhealth</t>
  </si>
  <si>
    <t>http://bit.ly/2BD1Vnu</t>
  </si>
  <si>
    <t>COMING JUNE2020 Check out Toronto's REAL housemusic festival. FREE EVENT  #THMF2020 #housemusic #deephouse #soulfulhouse #chicagohouse #jackinhouse #afrohouse #discohouse #music #festival #djs #vibes #mentalhealth #awareness #Toronto</t>
  </si>
  <si>
    <t>blackbynature</t>
  </si>
  <si>
    <t>I don’t care what anyone says.... one unhappy can make a home miserable 😖. #mentalhealth</t>
  </si>
  <si>
    <t>Gunners Mate U.S Navy (VLS) ⚓️ Freelance political commentator 😊 PhD in Certified Political Shit Talking.. 88’ ITS TWITTER DNT TAKE IT SERIOUS</t>
  </si>
  <si>
    <t>Sadie Sharp</t>
  </si>
  <si>
    <t>"It's OK to be strong. But when being strong becomes too big a part of how you see yourself, it can get in the way of letting yourself struggle." Read how I turned my self-image around to thrive. #GreatBook #InspirationalQuote #MentalHealth #SelfHelp</t>
  </si>
  <si>
    <t>http://bit.ly/SadieSharpBreakthrough</t>
  </si>
  <si>
    <t>https://pbs.twimg.com/media/EOj-kmIWkAAkoAt.png</t>
  </si>
  <si>
    <t>Swindon, England</t>
  </si>
  <si>
    <t>Transformational Developer, consultant, speaker &amp; author. Director at Sharp Transformations, and founder of @swindonplatform &amp; @iDare_Blog youth projects.</t>
  </si>
  <si>
    <t>http://www.sharptransformations.co.uk</t>
  </si>
  <si>
    <t>https://pbs.twimg.com/media/EOj-kg3X4AAs83a.jpg</t>
  </si>
  <si>
    <t>Grant Moreton</t>
  </si>
  <si>
    <t>They said this about bird flu , SARS , Aids , I will tell you this the biggest killer we should fear is phones and social media . To the weak minded and vulnerable it is killing more dreams and causing mental illness , bullying and suicide #SaturdayThoughts #mentalhealth RT @DailyMirror: Scientists think killer China virus has affected 1,700 despite only 50 cases</t>
  </si>
  <si>
    <t>https://twitter.com/dailymirror/status/1218501207712567296
https://www.mirror.co.uk/news/world-news/china-killer-virus-scientists-think-21305514</t>
  </si>
  <si>
    <t>https://pbs.twimg.com/media/EOj8YRDXkAIhOQn.png</t>
  </si>
  <si>
    <t xml:space="preserve">U.K. </t>
  </si>
  <si>
    <t>Actor</t>
  </si>
  <si>
    <t>Highfield Healthcare</t>
  </si>
  <si>
    <t>WE'RE HIRING! Full time permanent post for a professionally qualified Social Worker – Basic Grade. Visit our website to apply:  #DublinJobs #IrishJobFairy #MentalHealth #CommunityOfCare</t>
  </si>
  <si>
    <t>https://bit.ly/35Qebh1</t>
  </si>
  <si>
    <t>https://pbs.twimg.com/media/EOj-fD2XsAErETk.jpg</t>
  </si>
  <si>
    <t>A Family Run, Community of Care. Highfield Healthcare has been providing acute and specialist mental health and nursing home services in Dublin since 1825.</t>
  </si>
  <si>
    <t>http://www.highfieldhealthcare.ie</t>
  </si>
  <si>
    <t>Stamp Out Stigma</t>
  </si>
  <si>
    <t>You can help someone’s #mentalhealth by looking out for them: 👉 Ask how they are 👉 Send a text to say hello or arrange to meet up Sometimes it's just about talking 🗣️ #stampoutstigma</t>
  </si>
  <si>
    <t>Our campaign will focus on real-life stories from people who have first hand experience of mental health stigma we are @NWBoroughsNHS this is a social page only</t>
  </si>
  <si>
    <t>http://www.stampoutstigma.co.uk</t>
  </si>
  <si>
    <t>Three Cs World</t>
  </si>
  <si>
    <t>Ian enjoyed spending Christmas with his family #ordinarylife #learningdisabilities #autism #mentalhealth</t>
  </si>
  <si>
    <t>https://pbs.twimg.com/media/EOj-emxWsAEUYbr.jpg</t>
  </si>
  <si>
    <t>Three Cs stands for 'Control and Choice in the Community' for people with learning disabilities, autism and/or mental health challenges.</t>
  </si>
  <si>
    <t>http://www.threecs.co.uk</t>
  </si>
  <si>
    <t>When you realise that you love spending time by yourself because you are complete &amp; Interesting person on your own! 😉🧡 #garyveechallenge #Happiness #mentalhealth #workinghard #KindnessDay #Kindness #dontforgettosmile #blessed #LiveYourLife #MotivationalQuotes #SaturdayFeeling</t>
  </si>
  <si>
    <t>We are all in this together. Let's be kind to one another. #LifeLessons #lifelesson #positivethinking #positivevibes #positivity #changes #belief #selflove #selfbelief #selfcare #mentalhealth #metimetherapy</t>
  </si>
  <si>
    <t>https://pbs.twimg.com/media/EOj-cW5WkAEYmXY.png</t>
  </si>
  <si>
    <t>Back in August, I started exercising after a very long period of #depression. Back then the heaviest dumbbell I could lift was a single 2.3kg dumbbell for less than 30 secs. Now, I lift two 7.5kg dumbbells for 2 minutes at a time, and am very proud of myself. #MentalHealth</t>
  </si>
  <si>
    <t>https://pbs.twimg.com/media/EOj-a4IWAAI9R1D.jpg</t>
  </si>
  <si>
    <t>If I’m not happy then everyone around me will eventually feel it. It’s not going to be on purpose but signs will start to show. KAREN did say “it’s no longer about me it all about the baby” 😕 #mentalhealth</t>
  </si>
  <si>
    <t>The LightHouse</t>
  </si>
  <si>
    <t>As we enter the new decade, each one of us deserves to let go of the old ways we've shown up to our lives that deplete us and take a big step into the way we want to experience and show up in our lives.  #TheLightHouse #lighthousearabia #TLH #mentalhealth</t>
  </si>
  <si>
    <t>https://buff.ly/2rCnHWY</t>
  </si>
  <si>
    <t>Dubai</t>
  </si>
  <si>
    <t>Leading the way for mental health &amp; wellness in the Middle East. A specialist team of psychologists &amp; psychiatrists with community at our core.</t>
  </si>
  <si>
    <t>http://www.lighthousearabia.com</t>
  </si>
  <si>
    <t>AlchemyOfJo</t>
  </si>
  <si>
    <t>I've noticed that this is the first time in my life that I don't have a creative outlet to enjoy, and it is also the worst my #mentalhealth has been. I can't break the cycle because I can't focus not start anything :(.</t>
  </si>
  <si>
    <t>Brighton, England</t>
  </si>
  <si>
    <t>・Gamer・Weeb・Streamer wannabe・ ・。・゜☆・。☆・Hi, I'm a human 🌸 七転び八起き</t>
  </si>
  <si>
    <t>Children at risk of suicide in Wales are still "falling through the gaps", the children's commissioner has warned - @BBCNews  #children #mentalhealth #suicide</t>
  </si>
  <si>
    <t>https://www.bbc.co.uk/news/uk-wales-51156066?intlink_from_url=&amp;link_location=live-reporting-story</t>
  </si>
  <si>
    <t>Happy Saturday my awesome #mentalhealth family &amp; #friends. Whether you be at home or work, may y'all have a blessed weekend. Plus, always remember to take some #selfcare time for yourself. If you should find yourself struggling, please reach out. You don't have to struggle alone.</t>
  </si>
  <si>
    <t>https://pbs.twimg.com/media/EOiP80GXsAEJLzm.png</t>
  </si>
  <si>
    <t>Collymore wants to see 'commitment' to #mentalhealth support</t>
  </si>
  <si>
    <t>https://www.leicestermercury.co.uk/sport/football/football-news/former-leicester-city-striker-wants-3707347?utm_source=twitter.com&amp;utm_medium=social&amp;utm_campaign=sharebar</t>
  </si>
  <si>
    <t>https://pbs.twimg.com/media/EN1jOFzWoAAFQYW.jpg</t>
  </si>
  <si>
    <t>M.O</t>
  </si>
  <si>
    <t>But on a real, there is no reason why i should be tweeting and on a phone right now considering the year i have had, and yesterday morning. Why nobody is knocking on my door to try and help is amusing. But okay, send me texts, and call from wherever. #MentalHealth</t>
  </si>
  <si>
    <t>pic.twitter.com/JyGM26UwAT</t>
  </si>
  <si>
    <t>👾 Small Griot</t>
  </si>
  <si>
    <t>Lewis Saunders</t>
  </si>
  <si>
    <t>Why are there so many mental health issues in gay male culture currently? I discuss why I think this is the case in my new video. #gay #gayculture #mentalhealth #youtube</t>
  </si>
  <si>
    <t>https://www.youtube.com/watch?v=35khoND6Z18&amp;feature=share</t>
  </si>
  <si>
    <t>26 | Mental Health Vlogger Let’s talk about life ☕️</t>
  </si>
  <si>
    <t>Good reason to take a break: Fuzzy, unfocused mind. Exhausted. Zero motivation. You worked hard and deserve it. Overheating is real. Take a break! 😉💙 #garyveechallenge #Happiness #mentalhealth #workinghard #grind #KindnessDay #Kindness #dontforgettosmile #blessed #LiveYourLife</t>
  </si>
  <si>
    <t>Introvert Edit</t>
  </si>
  <si>
    <t>Follow @introvertedit and visit our website  for fun content! #introvertlife #INFJ #INTJ #ISTJ #INFP #mentalhealth</t>
  </si>
  <si>
    <t>http://introvertedit.com</t>
  </si>
  <si>
    <t>pic.twitter.com/CFwIQoX4sT</t>
  </si>
  <si>
    <t>Digital platform for #introverts from all universes, do not be afraid to embrace your individuality. Be powerful, stay unique and be yourself! 💙</t>
  </si>
  <si>
    <t>http://www.introvertedit.com</t>
  </si>
  <si>
    <t>Dudes&amp;DogsCIC</t>
  </si>
  <si>
    <t>Morning (just!) We're pretty new to Twitter and would love to connect with any #mhbloggers or brands &amp; organisations helping men open up about #mentalhealth issues. Dogs not mandatory (but if you love them as much as we do then pics are always welcome!)🐶</t>
  </si>
  <si>
    <t>https://pbs.twimg.com/media/EOj9nR0WAAEa7Gh.jpg</t>
  </si>
  <si>
    <t>Bristol &amp; Beyond</t>
  </si>
  <si>
    <t>A #mentalhealth &amp; wellbeing group &amp; community interest company to encourage men to get out in the fresh air for a walk &amp; a talk. No judgement, just time. 🐶</t>
  </si>
  <si>
    <t>http://www.dudesndogs.co.uk/</t>
  </si>
  <si>
    <t>Alberto Roberti</t>
  </si>
  <si>
    <t>Federal health minister says it's too early for broad drug ... #health #mentalhealth #healthcare #goodhealth #research #healthissues #wellness #medicine</t>
  </si>
  <si>
    <t>https://bhive.nectar.social/7XWnWy</t>
  </si>
  <si>
    <t>Paul Whitehurst 🇬🇧🏊‍♂️🚴‍♂️🏃‍♂️🇬🇧</t>
  </si>
  <si>
    <t>Two week’s into the club’s Yoga sessions and everyone is getting rather bendy 😂 great for mind and body. @MorleyTriathlon #namaste #Mindfulness #mentalhealth</t>
  </si>
  <si>
    <t>https://pbs.twimg.com/media/EOj9QnRWAAIHi5r.jpg</t>
  </si>
  <si>
    <t>Leeds, UK</t>
  </si>
  <si>
    <t>British Triathlon Coach, GoTri Ambassador, Triathlon England (Yorkshire) Committee, founder Morley Run Club &amp; Triathlon Club, Anxiety Sufferer. +full time job.</t>
  </si>
  <si>
    <t>https://www.strava.com/athletes/4848745</t>
  </si>
  <si>
    <t>NHS England and NHS Improvement</t>
  </si>
  <si>
    <t>It is more fun to talk with someone who doesn’t use long, difficult words but rather short, easy words like, 'What about lunch?'' — If a friend is struggling with their #MentalHealth, the small things you do can make a real difference.🍯 #WinnieThePoohDay</t>
  </si>
  <si>
    <t>https://www.nhs.uk/oneyou/every-mind-matters/helping-others/</t>
  </si>
  <si>
    <t>NHS England and NHS Improvement work together as a single organisation to better support the NHS to deliver improved care for patients: http://ow.ly/1ZdJ50oJMIb</t>
  </si>
  <si>
    <t>http://www.england.nhs.uk</t>
  </si>
  <si>
    <t>#RecoveryPosse #mentalhealth we all see a lot of shit going wrong, but sometimes we just gotta let it ride. So just for today everything that pisses me off 👇  You all rock!! Probably be silent today, much to do. Be blessed.</t>
  </si>
  <si>
    <t>https://music.youtube.com/watch?v=94RVX7pLF_A&amp;feature=share</t>
  </si>
  <si>
    <t>So far you survived 100% of your worst days. Good job! Keep on going!!!🙏💜 #garyveechallenge #Happiness #mentalhealth #workinghard #grind #KindnessDay #Kindness #dontforgettosmile #blessed #LiveYourLife #MotivationalQuotes #SaturdayFeeling #SaturdayMotivation #SaturdayThoughts</t>
  </si>
  <si>
    <t>Dale Robertson</t>
  </si>
  <si>
    <t>Great idea! Society focuses more on post natal depression for women but having a child in your life is a massive adjustment for men too. #mentalhealth #MentalHealthMatters</t>
  </si>
  <si>
    <t>http://news.sky.com/story/call-for-all-new-fathers-to-be-routinely-checked-for-post-natal-depression-11911277</t>
  </si>
  <si>
    <t>Dumfries, Scotland</t>
  </si>
  <si>
    <t>Writer of horror. Xbox enthusiast. Master of sarcasm.</t>
  </si>
  <si>
    <t>http://www.dalerobertson.co.uk</t>
  </si>
  <si>
    <t>Dotun Jubal</t>
  </si>
  <si>
    <t>Call room</t>
  </si>
  <si>
    <t>medical doctor||book lover||almost a writer||ex-introvert||lyricist||prescribing humour... #LiverpoolFC</t>
  </si>
  <si>
    <t>https://bit.ly/2X3d49H</t>
  </si>
  <si>
    <t>Susannah Pitman</t>
  </si>
  <si>
    <t>Your brain isn't always right. Don't always listen to it. Always look for the hope. It's there waiting for you to see it. . . . . . . . . #hope #ptsd #peacewithptsd #peacewithtrees #mentalhealth</t>
  </si>
  <si>
    <t>https://pbs.twimg.com/media/EOj8BgrWkAAb7C7.jpg</t>
  </si>
  <si>
    <t>Acupuncturist and Writer, "Stillness is the greatest revelation"-Lao Tzu, My favorite word is PEACE #PTSD #WriteItOut #acupuncture</t>
  </si>
  <si>
    <t>http://www.susannahpitman.com</t>
  </si>
  <si>
    <t>We make a living by what we get. We make a life by what we give. #charityfundraising #fundraisingtip #mentalhealth #mindfulness #wellness</t>
  </si>
  <si>
    <t>Sophisticat3d_Savag3 😘</t>
  </si>
  <si>
    <t>So, I re-watched some of the #AaronHernandez documentary on #Netflix in pieces over the past few days. Just a few thoughts ... #MentalHealth is important; Never assume you know someone's story; Generational karma is real; and children need their fathers. 💯</t>
  </si>
  <si>
    <t>Raleigh, NC</t>
  </si>
  <si>
    <t>Educated. 🎓 Taurus. ♉️ Music lover. 🎧 Dog owner. 🐾 Free-spirit. 🌺 - Just doing a little rebuilding and re-branding. #WatchMeWork</t>
  </si>
  <si>
    <t>Dan Roberts</t>
  </si>
  <si>
    <t>If you are a #counsellor or #therapist, chair work techniques are v powerful &amp; effective, as I explain in my final post for @PsychExcellence #psychology #schematherapy #mentalhealth RT @PsychExcellence: Dan Roberts concludes his schema therapy series with a look at how chair work can access and enable powerful dialogue between parts of a client's personality.</t>
  </si>
  <si>
    <t>https://twitter.com/PsychExcellence/status/1218221635637063683
https://www.pesi.co.uk/Blog/2020/January/Schema-Therapy-for-Trauma-(5-5)-Chair-Work-Techniq</t>
  </si>
  <si>
    <t>Cognitive &amp; Schema Therapist. Trauma specialist. Teach &amp; write about psychology/psychotherapy. Helping create a more mindful, compassionate world.</t>
  </si>
  <si>
    <t>LUZ RESTREPO</t>
  </si>
  <si>
    <t>Tolimense, Ingeniera, MBA, trabajando en el campo con las uñas y defendiendo la democracia y la dignidad de los seres humanos.</t>
  </si>
  <si>
    <t>Be the person your dog thinks you are! 😉🧡 #garyveechallenge #Happiness #mentalhealth #workinghard #grind #KindnessDay #Kindness #dontforgettosmile #smile #blessed #LiveYourLife #MotivationalQuotes #SaturdayFeeling #SaturdayMotivation #SaturdayThoughts #SaturdayVibes</t>
  </si>
  <si>
    <t>Hi all have a lovely weekend what are u upto today? Take care lyn #mentalhealth</t>
  </si>
  <si>
    <t>https://pbs.twimg.com/media/EOj696TXUAEfAK3.jpg</t>
  </si>
  <si>
    <t>Dr. Carsten Müller</t>
  </si>
  <si>
    <t>When adolescents face both #InternetAddiction and #MoodSymptoms: Cross-sectional study of comorbidity &amp; its predictors 👉 Prevalence of IA, mood symptoms &amp;amp; their comorbidity in high school students was 7.0%, 27.0%, 13.6%, respectively. #MentalHealth</t>
  </si>
  <si>
    <t>https://www.sciencedirect.com/science/article/pii/S0165178119312065</t>
  </si>
  <si>
    <t>Germany, Münster (NRW)</t>
  </si>
  <si>
    <t>PAPHS-Blog 👉 https://bit.ly/2WKDdeD #PhysicalActivity🚶‍♂️ #Exercise 🏋️‍♂️ #MentalHealth 😎 #PublicHealth 🙂 #SportsMedicine 🏥 #HeadImpact in Soccer 🧠</t>
  </si>
  <si>
    <t>https://www.researchgate.net/profile/Carsten_Mueller2</t>
  </si>
  <si>
    <t>45 years from One Flew Over The Cuckoo's Nest &amp; nothing has changed with regards to mental institutions  #mentalhealth</t>
  </si>
  <si>
    <t>http://www.georgebarnes.co.uk/featured/45-years-on-from-one-flew-over-the-cuckoos-nest-nothing-has-changed/</t>
  </si>
  <si>
    <t>https://pbs.twimg.com/media/EOj6284WAAERT7k.jpg</t>
  </si>
  <si>
    <t>SUNDAY NIGHT PREMIER 9:30pm! Week one: Mindfulness Meditation is uploaded &amp; ready to rock tomorrow night, so be sure to click on the link below &amp;amp; set a reminder 👍 #mentalhealth #meditation #mindfulness #anxiety #CBT #depression #DID #OCD #YouTuber</t>
  </si>
  <si>
    <t>https://youtu.be/ZkPIXRDzTu8</t>
  </si>
  <si>
    <t>Thabiso Mailula</t>
  </si>
  <si>
    <t>Love the story line ya the #QueenMzanzi and the way @LadyNam_BM is acting to depict the symptoms of schizophrenia and the importance of medication in treating symptoms of Schizophrenia. #MentalHealthMatters #mentalhealth #MentalHealthAwareness</t>
  </si>
  <si>
    <t>https://pbs.twimg.com/media/EOj6eUaW4AA6viB.jpg</t>
  </si>
  <si>
    <t>Centurion, South Africa</t>
  </si>
  <si>
    <t>Life Coaching &amp; NLP Trainer, NLP Practitioner, Life Coach, Mental Health Coach, Public Speaking Coach, Peak Performance Coach, Motivational Speaker.</t>
  </si>
  <si>
    <t>http://www.perceptioninmotion.co.za</t>
  </si>
  <si>
    <t>Dr Bessam Farjo</t>
  </si>
  <si>
    <t>Celebs are opening up about health struggles, but are they reducing stigma? - ABC News -  via @ABC #hairloss #Alopecia #mentalhealth</t>
  </si>
  <si>
    <t>https://abcn.ws/3ammkxf</t>
  </si>
  <si>
    <t>Manchester &amp; London, UK</t>
  </si>
  <si>
    <t>Doctor, @FarjoHair Hair Transplant Surgeon, Hair Loss Research, Hair Restoration Surgery, Hair Loss Medicine, Football Follower, Weekend Cyclist!</t>
  </si>
  <si>
    <t>http://www.farjo.com</t>
  </si>
  <si>
    <t>Veera🇮🇳 Jai Sree Ram</t>
  </si>
  <si>
    <t>Reposting @resilientblog: :)⁣⁠ .⁣⁠ .⁣⁠ .⁣⁠ #IAmResilient, #resilient, #happy, #happiness, #happylife, #joy, #joyful, #compassion, #loving, #lovinglife, #loveyourself, #selflove, #optimistic, #optimism, #recovery, #mentalhealth, #positivity, #positive, #positivevibrations,</t>
  </si>
  <si>
    <t>https://pbs.twimg.com/media/EOj5_RqWsAAarug.jpg</t>
  </si>
  <si>
    <t>Chennai, India</t>
  </si>
  <si>
    <t>Love Thiruvannamalai, सनातन, science &amp;tech enthusiast.Sarve Janah Sukhino Bhavantu.All belong to One.Arunachala.#BharatMataKiJai. like http://www.arunachala.org</t>
  </si>
  <si>
    <t>AJMH Limited</t>
  </si>
  <si>
    <t>Nice to get out in the drier weather this morning (good for you mental health), but it's easy to see how much rain we've had this week. #mentalhealth #MiltonKeynes #LoveMK</t>
  </si>
  <si>
    <t>https://pbs.twimg.com/media/EOj5vOGX4AACCol.jpg</t>
  </si>
  <si>
    <t>Milton Keynes</t>
  </si>
  <si>
    <t>Mental Health First Aid Courses in Milton Keynes and beyond! Tweets by Dr AJ - founder and lead trainer.</t>
  </si>
  <si>
    <t>http://ajmh.co.uk</t>
  </si>
  <si>
    <t>ardianyulia</t>
  </si>
  <si>
    <t>Science matter</t>
  </si>
  <si>
    <t>Exercise can have an immediate impact on #stress reduction. In this study, #yoga &amp; #fitness #exercises ↘ stress by ↗ self-compassion &amp;amp; positive emotions and ↘ negative #emotions. Yoga outperformed fitness exercise by improving #mindfulness #MentalHealth</t>
  </si>
  <si>
    <t>https://www.tandfonline.com/doi/full/10.1080/07448481.2019.1705840</t>
  </si>
  <si>
    <t>https://pbs.twimg.com/media/EOj5pJNXsAEMh_k.png</t>
  </si>
  <si>
    <t>Young Women's Alliance</t>
  </si>
  <si>
    <t>The director is having a round table with tomorrow's leaders on their future plans and aspirations #socialworkerdiaries #mentalhealth</t>
  </si>
  <si>
    <t>https://pbs.twimg.com/media/EOj5hNfXsAA1Vnk.jpg</t>
  </si>
  <si>
    <t>Bulawayo Zimbabwe</t>
  </si>
  <si>
    <t>http://www.youngwomenalliance.com</t>
  </si>
  <si>
    <t>Nasrin</t>
  </si>
  <si>
    <t>i am an absolute mess right now, ....heavy period, still recovering from the flu .....i just want to get my strength back and stop feeling sooo out of place... #mentalhealth #PeriodProblems #dying</t>
  </si>
  <si>
    <t>I write poetry on life &amp; heartbreak I beat my face with beauty blenders I also am the saddest brown girl ever</t>
  </si>
  <si>
    <t>LynnesyPatterson</t>
  </si>
  <si>
    <t>First time I’ve gotten dressed in a week, put makeup on and had my hair down. Going to attempt to leave the house too. #mentalhealth #anxiety #ptsd and I decided to wear a pop of colour with my dress which is from @riverisland #riverisland</t>
  </si>
  <si>
    <t>https://pbs.twimg.com/media/EOj5UO5XsAA81yP.jpg</t>
  </si>
  <si>
    <t>the moon</t>
  </si>
  <si>
    <t>sun in #Scorpio♏️#libra rising,Venus &amp; pluto♎️ moon in #Pisces♓️ neither left/right #chronicillness #chronicpain #trance, common sense love #bama #ptsd #GAD</t>
  </si>
  <si>
    <t>Rebecca Quinlan</t>
  </si>
  <si>
    <t>Getting ready to watch Cirque de Soleil (with my amazing Spice Girls calendar in the background!) #SaturdayMorning #cirquedesoleil #anorexia #eatingdisorders #mentalhealth #spicegirls #SaturdayThoughts #SaturdayMotivation #edrecovery</t>
  </si>
  <si>
    <t>https://pbs.twimg.com/media/EOj5ABAWAAAMj_F.jpg</t>
  </si>
  <si>
    <t>Mental health campaigner and eating disorder recovery warrior. YouTube:Bex's anorexia recovery http://youtube.com/channel/UCwZrL… http://foodforthoughtanorexia.blogspot.com</t>
  </si>
  <si>
    <t>D&amp;C South Devon Specials</t>
  </si>
  <si>
    <t>Quick turnaround for the @SouthDevon_SC team. Many of us who were in on lates last night are back in for #mentalhealth training today with @DcpTrng. #MentalHealthMatters #Training #specialconstable @plymspecial999 @DCPolVolunteers @NationalCIP</t>
  </si>
  <si>
    <t>https://pbs.twimg.com/media/EOj4ZtbXkAAddYo.jpg</t>
  </si>
  <si>
    <t>Special Constables working across the South Devon BCU . This account is NOT monitored 24/7 so please ring 999 in an emergency or 101 for non urgent calls.</t>
  </si>
  <si>
    <t>!!! 😇 Carlos 😎🥁!!!</t>
  </si>
  <si>
    <t>This lovely little world</t>
  </si>
  <si>
    <t>Europäer (Fam. seit 1444 hier),der versucht ein freier Bürger zubleiben.Demokrat, Parteilos, Selbstständig, 0ptimist,Christ,Normalo,überzeugter Europäer .</t>
  </si>
  <si>
    <t>Dr Tara Porter</t>
  </si>
  <si>
    <t>Moving away from #camhs #diagnosis and towards #mentalhealth being part of a dimension of everyone’s feeling and behaviour. Good stuff from @acamh RT @acamh: January 2020 edition of @TheJCPP ‘People get ready’: Are mental disorder diagnostics ripe for a Kuhnian revolution? By Edmund J.S. Sonuga-Barke</t>
  </si>
  <si>
    <t>https://twitter.com/acamh/status/1214098035413786624
https://buff.ly/2S9VQZk</t>
  </si>
  <si>
    <t>https://pbs.twimg.com/media/ENlXupEXYAYslI3.png</t>
  </si>
  <si>
    <t>Clinical Psychologist at RFH CAMHS Eating Disorders; Schools Engagement Trainer at AFNCCF; Mental Health Columnist TES. Views expressed are my own.</t>
  </si>
  <si>
    <t>https://www.primrosepractice.co.uk</t>
  </si>
  <si>
    <t>Open University Press</t>
  </si>
  <si>
    <t>#University isn't just about lectures and study - @THEUniAdvice highlights 3 benefits to joining a sports team or society:  #MentalHealth #Employability</t>
  </si>
  <si>
    <t>https://bit.ly/2N6PSot</t>
  </si>
  <si>
    <t>Open University Press publishes high quality professional development and study titles for students, academics and practitioners</t>
  </si>
  <si>
    <t>https://www.mheducation.co.uk/openup-homepage</t>
  </si>
  <si>
    <t>Bryan, Beginning Anew</t>
  </si>
  <si>
    <t>The next time I make plans for a busy day of adulting while high the night before, someone QT this at me. And remind me that I was in bed when I posted it. #Neurodiversity #mentalhealth</t>
  </si>
  <si>
    <t>Interested in words. Stories. Heavy and interesting music. Neurodiversity. Kindness. Creativity. Owned by a cat. Late diagnosed autistic. He/him.</t>
  </si>
  <si>
    <t>WorryHead</t>
  </si>
  <si>
    <t>We don’t just answer! We give you directions on your next steps. Before I created this website, I and my wife were getting along in life. Until the day when my wife’s anxieties became severe and depression led her to four suicide attempts. #mentalhealth</t>
  </si>
  <si>
    <t>https://zurl.co/ipKz</t>
  </si>
  <si>
    <t>https://pbs.twimg.com/media/EOj3q5ZWkAsZmjF.jpg</t>
  </si>
  <si>
    <t>Worry Head blog is designed to show you through our experience how to stop your worries and help you not only put your life back on track but also improve it!</t>
  </si>
  <si>
    <t>https://www.worryhead.com/</t>
  </si>
  <si>
    <t>Ramsey Mathews</t>
  </si>
  <si>
    <t>“We're all strange inside. We learn how to disguise our differences as we grow up.” --Annie Proulx, The Shipping News #weekend #SaturdayVibes #FelizSabado #Coffee #Zen #goodmorning #January2020 #mentalhealth #art #sky #photographer #fiction #poetry #theater</t>
  </si>
  <si>
    <t>https://pbs.twimg.com/media/EOj3m60WsAAzx10.jpg</t>
  </si>
  <si>
    <t>Writer, editor, and photographer. Dark chocolate, power naps, and Guinness. A movie a day keeps the psychiatrist away. MA, MFA, PhD.</t>
  </si>
  <si>
    <t>Graham Howes</t>
  </si>
  <si>
    <t>Wellness and mental health - Hypnotherapy Helps 07875720623 01473 878561 Sunday sessions available  #wellness #wellbeing #mentalhealth #hypnosis #hypnotherapy @ Hypnotherapy in…</t>
  </si>
  <si>
    <t>http://hypnotherapyinsuffolk.co.uk/
https://www.instagram.com/p/B7dZqY0ndl9/?igshid=10kg7iaodtbbf</t>
  </si>
  <si>
    <t>Ipswich Suffolk IP4 2PH</t>
  </si>
  <si>
    <t>Hypnotherapist &amp; NLP - Hypnotherapy in Ipswich. Actor writer teacher director - co-wrote COME DANCE WITH ME which tours September October 2019</t>
  </si>
  <si>
    <t>http://hypnotherapyinsuffolk.co.uk/hypnotherapy-in-ipswich/</t>
  </si>
  <si>
    <t>Cohen Clinic Cape Fear Valley</t>
  </si>
  <si>
    <t>NEW support group for Military and Veteran Spouses. Interactive, engaging and free of charge. Begins February 1st. To view all current events at the Clinic, visit  #Veterans #mentalhealth #backtobetter</t>
  </si>
  <si>
    <t>http://military.capefearvalley.com/events</t>
  </si>
  <si>
    <t>https://pbs.twimg.com/media/EOj3jxyXkAIc__5.jpg</t>
  </si>
  <si>
    <t>Fayetteville, NC</t>
  </si>
  <si>
    <t>@CohenClinicCFV provides high-quality behavioral healthcare services and case management resources for Post-9/11 veterans, service members and their families.</t>
  </si>
  <si>
    <t>http://military.capefearvalley.com/</t>
  </si>
  <si>
    <t>Listening to A Star Is Born, wearing new dresses, filling the house with daffodils and visiting some ruins with the family - this is February's Finding Happiness and Chasing Rainbows.  #gratitiudelist #mentalhealth #depression</t>
  </si>
  <si>
    <t>http://dld.bz/hv8gF</t>
  </si>
  <si>
    <t>https://pbs.twimg.com/media/EOj3iClX4AIv2We.jpg</t>
  </si>
  <si>
    <t>Dr Radha</t>
  </si>
  <si>
    <t>Keep going everyone .. you can do it!! 🧘🏽🤽🏾‍♀️🏋🏽‍♀️🤸🏻‍♂️⛹🏼‍♂️🚴❤️❤️❤️❤️ @REDJanuaryUK @MindCharity #redjanuary2020 #redjanuary #mentalhealth #habits #mentalhealthawareness It’s amazing what exercise can do 🧠 along with a bit of sunshine ☀️ getting outside 🌳 &amp; a bit of @Beyonce 🎧</t>
  </si>
  <si>
    <t>pic.twitter.com/yPfTl24lxG</t>
  </si>
  <si>
    <t>Doctor 👩🏻‍⚕️ Broadcaster 🎙 Hopeful Problem Solver @BBCR1 @bbcideas @BBCSounds @CBeebiesHQ @BBCbitesize @BBCTeach 😝Views are my own. contactdrradha@gmail.com</t>
  </si>
  <si>
    <t>http://www.drradha.co.uk</t>
  </si>
  <si>
    <t>TWO sons TOO many</t>
  </si>
  <si>
    <t>Should we figure out how we #feel &amp; what way we #Think then it makes sense that we can operate in a calm clear way #selfhelp #selflove #selfcare #mentalhealth all very important indeed grab a copy</t>
  </si>
  <si>
    <t>https://allauthor.com/amazon/33694/</t>
  </si>
  <si>
    <t>https://pbs.twimg.com/media/EOj3cKaXsAAQNWn.jpg</t>
  </si>
  <si>
    <t>the WORLD over 🇮🇪🇨🇷🇺🇸</t>
  </si>
  <si>
    <t>Author, Public Speaker. #memoir TWO sons TOO many. Page turning #truth, Happy to #RT &amp; #FB To LOVE, LIVE &amp; LOSE. twosons.toomany@yahoo.com Get #Inspired</t>
  </si>
  <si>
    <t>https://amcnallyauthor.wordpress.com</t>
  </si>
  <si>
    <t>Hughes &amp; Salvidge</t>
  </si>
  <si>
    <t>1 out of 6 will experience #mentalhealth issues in the workplace. The wellbeing of our employees has always been paramount at Hughes and Salvidge Find out more:</t>
  </si>
  <si>
    <t>https://bit.ly/2PtAELS</t>
  </si>
  <si>
    <t>Hughes and Salvidge provide a UK-wide decommission and demolition service.</t>
  </si>
  <si>
    <t>http://www.hughesandsalvidge.co.uk</t>
  </si>
  <si>
    <t>louis appleby</t>
  </si>
  <si>
    <t>Access to data from socal media companies will help but it was young people themselves (&amp; youth workers) who raised concerns about images posted online. More than anything we need better ways of hearing directly from them, on this &amp;amp; many other issues affecting #mentalhealth.</t>
  </si>
  <si>
    <t>Platform 2, Stockport station</t>
  </si>
  <si>
    <t>clinician, govt adviser on suicide prevention, mental health, offenders - comments loosely connected with health &amp; science.</t>
  </si>
  <si>
    <t>Catherine Ward</t>
  </si>
  <si>
    <t>Update on my mental health group member who was suicidal, hes been to a&amp;e and is getting the help he needs :D #missionaccomplished #mentalhealth #MentalHealthAwareness</t>
  </si>
  <si>
    <t>Mental Health Blogger @ https://misscatherinewardmhd.blogspot.com/ Beauty, Lifestyle and Fashion Blogger @ https://misscatherineward.blogspot.com/</t>
  </si>
  <si>
    <t>Tamar Whyte</t>
  </si>
  <si>
    <t>I have to share this again - ‘Pet to Threat’ by @quidditch424. Erika’s work describes the phenomenon faced by many Black women at work. I was struck by how well it translates to what #LivedExperiencePractitioners face when working in #MentalHealth services</t>
  </si>
  <si>
    <t>https://zora.medium.com/when-black-women-go-from-office-pet-to-office-threat-83bde710332e</t>
  </si>
  <si>
    <t>Birmingham</t>
  </si>
  <si>
    <t>Over-educated, underpaid #LivedExperiencePractitioner. Working towards equality &amp; parity of pay for ‘Mad’ people openly working in MH. BIGSPD Exec. #madtwitter</t>
  </si>
  <si>
    <t>http://www.pinkskythinking.com</t>
  </si>
  <si>
    <t>You Have to Save Face. I Don't Have to Do that. *LOL #VeteranPeerSupport #MentalHealth #NarcissisticAbuseSurvivor #NarcissistExposer #AwakenedEmpath #PowerOfaGod #ExposeTheParasites #DontLetThemEatYou #Aliens #Monsters #Predators #Sentience #Evil #AntipsychoticComedy #Armageddon</t>
  </si>
  <si>
    <t>St Caradog - Inpatient Acute Ward in Pembrokeshire</t>
  </si>
  <si>
    <t>Roedd brecwast heddiw yn llwyddiant ysgubol! 🍽 Breakfast today was a huge success! 👩🏼‍🍳 Included vegetarian options and daily newspapers! Thank to those who donated and the 4 patients who helped to cook! 🥰#timetogether #KindnessMatters #mentalhealth #SaturdayVibes #teamcaradog</t>
  </si>
  <si>
    <t>https://pbs.twimg.com/media/EOj3AlpWAAADAuE.jpg</t>
  </si>
  <si>
    <t>Haverfordwest, Wales</t>
  </si>
  <si>
    <t>*not an access point to our service* 111 - CALL 24/7 tel: 0800 132 737/text word CALL to 60062 - DPJ foundation 24/7 - tel: 0800 587 4262, Get The Boys A Lift</t>
  </si>
  <si>
    <t>Deanne Rennie</t>
  </si>
  <si>
    <t>Super muddy ⁦@dishleyparkrun⁩ this morning!!Thanks to all the volunteers &amp; for the high five ⁦@ejpatt⁩.Not sure you could call my movement running but I was moving, smiling and out with my community. Half way through #REDJanuary2020 #mentalhealth ⁦@MindCharity⁩</t>
  </si>
  <si>
    <t>https://pbs.twimg.com/media/EOj3CSvWsAEoRLU.jpg</t>
  </si>
  <si>
    <t>Leicestershire</t>
  </si>
  <si>
    <t>Allied Health Professions Lead. Speech and Language Therapist, LCFC fan &amp; Mum/Taxi driver. Views are my own.#bevanprog #inclusion #contactteas #dementiafriend</t>
  </si>
  <si>
    <t>Charles Ngatia</t>
  </si>
  <si>
    <t>Larry Browne</t>
  </si>
  <si>
    <t>follower of Christ husband papaw to 7 retired open heart nurse now farming part time hunting fishing golf</t>
  </si>
  <si>
    <t>Olly Ryder</t>
  </si>
  <si>
    <t>Run and become 🏃‍♂️ #parkrun #familygoals #getactive #mentalhealth #devon Thanks plymvalleyparkrun 🙌🤩@parkrunuk @ Plymvalley Parkrun</t>
  </si>
  <si>
    <t>https://www.instagram.com/p/B7dZR1WHTAE/?igshid=1c58ykb66givy</t>
  </si>
  <si>
    <t>Jesus follower, husband, father, friend</t>
  </si>
  <si>
    <t>http://stmplymouth.org.uk</t>
  </si>
  <si>
    <t>Debbie Buchanan</t>
  </si>
  <si>
    <t>Since putting out this video #shanerattenbury #acthealth #mentalhealth are heavily sedating dean and ceased all outside access #freemasons #twelvetribes Canberra Adult Mental Health  via @YouTube</t>
  </si>
  <si>
    <t>https://youtu.be/oXtxNTZ51YE</t>
  </si>
  <si>
    <t>Katie Williams_Journo</t>
  </si>
  <si>
    <t>I want to share with you something I learnt in meditation...  #recovery #mentalhealth #eatingdisorderawareness</t>
  </si>
  <si>
    <t>https://www.instagram.com/p/B7dVlEdBEvY/?igshid=uycivjs5c7jp</t>
  </si>
  <si>
    <t>Stirling, Scotland</t>
  </si>
  <si>
    <t>25. Freelance Journalist who just happens to be a waitress. she/her Mental health advocate. Contributor for BBC The Social.📢 All opinions are my own</t>
  </si>
  <si>
    <t>https://www.littlekaatie.com</t>
  </si>
  <si>
    <t>Ben Stevens</t>
  </si>
  <si>
    <t>First snowboarding lesson in over 20 years. Get out. Get active. #mentalhealth</t>
  </si>
  <si>
    <t>https://pbs.twimg.com/media/EOj1gYDWAAAGQcU.jpg</t>
  </si>
  <si>
    <t>Cornwall</t>
  </si>
  <si>
    <t>Learning from failures and delivering successes. Re-building my mind, body and soul in order to exceed my own expectations. #Wellbeing #MentalHealth #PTSD</t>
  </si>
  <si>
    <t>Healthy Young Minds - LSC</t>
  </si>
  <si>
    <t>We all feel angry sometimes, often when there’s a good reason. Uncontrolled anger can be harmful, but you can learn to manage it. Learn more here:  @YoungMindsUK #MentalHealth #Anger</t>
  </si>
  <si>
    <t>https://bit.ly/38uKtR6</t>
  </si>
  <si>
    <t>https://pbs.twimg.com/media/ELf214JX0AAEwkB.jpg</t>
  </si>
  <si>
    <t>Healthy Young Minds is helping to transform mental health and emotional wellbeing for young people in Lancashire &amp; South Cumbria. Inbox monitored 9-5 weekdays.</t>
  </si>
  <si>
    <t>https://www.healthyyoungmindslsc.co.uk/home</t>
  </si>
  <si>
    <t>Madiha A</t>
  </si>
  <si>
    <t>Great to hear this! @dadsmatteruk @NELGPParents #postnatal #mentalhealth RT @KathrynGiddy: Call for all #new #fathers to be routinely checked for #postnatal #depression | UK News | Sky News</t>
  </si>
  <si>
    <t>https://twitter.com/kathryngiddy/status/1218418809356390402
https://news.sky.com/story/call-for-all-new-fathers-to-be-routinely-checked-for-post-natal-depression-11911277</t>
  </si>
  <si>
    <t>Portfolio GP| Mum| SMIoC-Coach| GP Tutor| Founder of nonprofit community organisation for #GParent| NHS Flexworkforce Enthusiast| NextGenGP| all views my own</t>
  </si>
  <si>
    <t>nothing can dim the light that shines from within 〰️maya angelou 〰️ #myphoto #photography #photographer #nature #NaturePhotography #mentalhealth #MentalHealthAwareness #hope #strength #courage</t>
  </si>
  <si>
    <t>https://pbs.twimg.com/media/EOj1J_WXUAAHfaY.jpg</t>
  </si>
  <si>
    <t>Bruce Springsteen on Mental Health, Springsteen on Broadway, His Father and His Career:  @esquire @springsteen #broadway #mentalhealth #BellLetsTalk</t>
  </si>
  <si>
    <t>https://www.esquire.com/entertainment/a25133821/bruce-springsteen-interview-netflix-broadway-2018/</t>
  </si>
  <si>
    <t>https://www.lnk.xyz/HkdcPy-eU?aduc=6kCk4zC1579346309432</t>
  </si>
  <si>
    <t>#24 in the #SLAMinutes goes #mental line up is the amazing @sherbettrotter ⠀ .⠀ 2nd February 16:45 @vaultfestival TICKETS ⠀ .⠀ #mentalhealth #mentalhealthawareness #spokenword #spokenwordartist #mentalhealthmatters</t>
  </si>
  <si>
    <t>https://pbs.twimg.com/media/EOj0vNcXUAA6JXD.jpg</t>
  </si>
  <si>
    <t>Chris Gibson MBE</t>
  </si>
  <si>
    <t>How are you supporting the resilience and well-being of your organisation. If you think it could be better, let’s have a chat. #Wellbeing #resilience #teambuilding #mentalhealth</t>
  </si>
  <si>
    <t>https://pbs.twimg.com/media/EOj0sPdXUAIqSx8.jpg</t>
  </si>
  <si>
    <t>34 yrs a soldier, Leadership, High Performance Teams, Well-being &amp; Resilience. UK Innovator oooh MBE holder. AmbassadorCitizenAID &amp; Forces Children's Trust.</t>
  </si>
  <si>
    <t>http://www.sos-medical.co.uk</t>
  </si>
  <si>
    <t>Steven burke</t>
  </si>
  <si>
    <t>Remember this sunday 10am at Oakland park. #walkandtalk #event please come along and join in. Also retweet if possible please. All in aid of #mentalhealth and #fitness @SwanShopping @birmingham_live @WhatsOnBrum @updates_brumz @SwanShopping</t>
  </si>
  <si>
    <t>https://pbs.twimg.com/media/EOj0ht8X0AI7iuS.jpg</t>
  </si>
  <si>
    <t>birmingham</t>
  </si>
  <si>
    <t>Brainstorming on 3rd Inter Forum on Brain and Mental Health. Join us at @ethzurich in Zurich in September 19-20 to discuss on #brainhealth and #mentalhealth and the role of sex and gender differences and many surprises to come! #hackathon #PrecisionMedicine #WomenInSTEM</t>
  </si>
  <si>
    <t>https://pbs.twimg.com/media/EOj0Xc5X4AEAMzN.jpg</t>
  </si>
  <si>
    <t>Tom Madejski</t>
  </si>
  <si>
    <t>Thoughtful vignette of the Maelstrom of #Mentalhealth #Addiction #SUD #poverty We can do better. Time for #MentalHealthMoonshot @mssnytweet @AmerMedicalAssn @sonodoc99 @APAPsychiatric Treating Addiction as a Terminal Disease | NEJM</t>
  </si>
  <si>
    <t>https://www.nejm.org/doi/full/10.1056/NEJMp1909298?query=TOC</t>
  </si>
  <si>
    <t>Orleans County, New York</t>
  </si>
  <si>
    <t>Geriatrician, Past President MSSNY, Healthcare Policy Rhapsodizer, All-time leading scorer Eagle Harbor Hockey League @AmerMedicalAssn for 35 years</t>
  </si>
  <si>
    <t>DiMHN</t>
  </si>
  <si>
    <t>Service users, #carers and families are those most directly affected by the #mentalhealth environment. The Network actively encourages them to become involved in improving the design of facilities. Their expert feedback is vital! Join our workstream👇</t>
  </si>
  <si>
    <t>http://bit.ly/2P7ejBn</t>
  </si>
  <si>
    <t>https://pbs.twimg.com/media/EOj0BaLWsAAUOc-.jpg</t>
  </si>
  <si>
    <t>The Design in Mental Health Network | Design In Mental Health Network Conference #DIMHN2020</t>
  </si>
  <si>
    <t>http://www.dimhn.org</t>
  </si>
  <si>
    <t>StoneyJames*HB*</t>
  </si>
  <si>
    <t>Contact us if you can support a great cause out t-shirt campaign thank you 🧠🤝🏝😁🥋🎨🌍 #mentalhealth #mentalwellness #mentalillness #MentalHealthAwareness</t>
  </si>
  <si>
    <t>https://pbs.twimg.com/media/EOjzXw1WAAALJM0.jpg</t>
  </si>
  <si>
    <t>Mind body and soul believe in you have fun. Founder of HappyBrainz™®🧠☀♥</t>
  </si>
  <si>
    <t>https://mixer.com/StoneyJames</t>
  </si>
  <si>
    <t>Apex DearBorn</t>
  </si>
  <si>
    <t>Nothing is more important than EMPATHY for another human being's suffering.Nothing- not career, not wealth, not intelligence, certainly not status.We have to feel for one another if we are going to survive with dignity. - Andrey Hepburn #emphathy #mentalhealth #mentalhealthcare</t>
  </si>
  <si>
    <t>https://pbs.twimg.com/media/EOjzR3dXkAI-AWm.jpg</t>
  </si>
  <si>
    <t>Dr. Qadir is licensed to practice Medicine in the State of Michigan. He has been practicing psychiatry for over 30 years in the Dearborn.</t>
  </si>
  <si>
    <t>http://www.apexdearborn.com</t>
  </si>
  <si>
    <t>There's a link between this &amp; the week's other big #mentalhealth story, on gambling. Both play to a public demand for social responsibility where individual freedoms have previously dominated, to regulate &amp;amp; use the law when vulnerable people are put at risk. RT @bbchealth: Social media data needed for 'harm' research, say doctors</t>
  </si>
  <si>
    <t>https://twitter.com/bbchealth/status/1217982901876412416
https://bbc.in/2R0JoKf</t>
  </si>
  <si>
    <t>AngelFromMars</t>
  </si>
  <si>
    <t>#Mentalhealth #MentalHealthAwareness #MentalHealthMatters Keep on moving 🛣💜🤙🏻</t>
  </si>
  <si>
    <t>https://pbs.twimg.com/media/EOjy52iVAAAaG3w.jpg</t>
  </si>
  <si>
    <t>😊🌷😉 Just Follow Your HearT 💙💟💜 Don't Follow Me</t>
  </si>
  <si>
    <t>Muthiani N Mutua</t>
  </si>
  <si>
    <t>Nairobi, Kenya</t>
  </si>
  <si>
    <t>Inspiring customer-centric mindsets... #CustomerExperience</t>
  </si>
  <si>
    <t>broken mom ❤</t>
  </si>
  <si>
    <t>Migraine, caused by #anxiety which is here due to Tuesdays meeting getting ever closer with the secondary #mentalhealth team.... I just wanna hide 😪, am exhausted despite sleeping well. Wish I could be with a certain someone cos I know he'd calm me xxx</t>
  </si>
  <si>
    <t>here to make daily life bearable... #mentalhealth battler (but failing) xxx</t>
  </si>
  <si>
    <t>Ian Daniells</t>
  </si>
  <si>
    <t>Cheshire, UK</t>
  </si>
  <si>
    <t>PTSD survivor saved by a lion called Big Bo in Africa. A lead volunteer and Trustee at Lower Moss Wood Wildlife Hospital, Ollerton, Knutsford, Cheshire.</t>
  </si>
  <si>
    <t>🇪🇺Alwin 🇪🇺</t>
  </si>
  <si>
    <t>Gloucester, England</t>
  </si>
  <si>
    <t>grumpy atheist physicist tennis player cyclist rugby fan novelist Dutch South African. Opinions are not those of my employer or any other.</t>
  </si>
  <si>
    <t>http://www.lulu.com/spotlight/AlwinW</t>
  </si>
  <si>
    <t>Andrew Hill</t>
  </si>
  <si>
    <t>#mentalhealth #Wellbeing #children action required to prevent the situation getting worse RT @familylawweek: Urgent action needed to ensure children and young people can access mental health services</t>
  </si>
  <si>
    <t>https://twitter.com/familylawweek/status/1218235497807581189
http://bit.ly/2sxUr48</t>
  </si>
  <si>
    <t>Kendal, England</t>
  </si>
  <si>
    <t>I am Head of Family Law at Temple Heelis in Kendal. I am an accredited family law specialist and a trained collaborative lawyer. I have 20 years + experience.</t>
  </si>
  <si>
    <t>http://www.templeheelis.co.uk</t>
  </si>
  <si>
    <t>Don't Stop!</t>
  </si>
  <si>
    <t>I believe😊</t>
  </si>
  <si>
    <t>RyanRides</t>
  </si>
  <si>
    <t>A #BIGTHANKYOU to all the organisers of @FashionFiesta_ who through their amazing handiwork &amp; dedication have contributed £1000 to @leefancourtfund meaning we can support even more #mentalhealth fundraisers in their own adventures. #charity #fashion #fundraising</t>
  </si>
  <si>
    <t>https://pbs.twimg.com/media/EOjyhriWAAMi20z.jpg</t>
  </si>
  <si>
    <t>Endurance Cyclist Raising funds &amp; awareness for #mentalhealth. Cycled LEJOG, Around Britain &amp; Across Europe after surviving suicide. Peer Supporter at Mind</t>
  </si>
  <si>
    <t>http://www.ryanrides.co.uk</t>
  </si>
  <si>
    <t>Alan Lavender</t>
  </si>
  <si>
    <t>Setting Jonny and his 25 followers straight. #mentalhealth RT @walkamileuk: Hi @JonathanWood911 how are you this bright and sunny day? I thought it would be remiss of me not to follow up our little chat last night. Please indulge me while I check out a few things. 1) Were you really mocking me for having a mental health problem? It would seem so...cont</t>
  </si>
  <si>
    <t>https://twitter.com/walkamileuk/status/1218486472233361408
https://twitter.com/jonathanwood911/status/1218240638136864770</t>
  </si>
  <si>
    <t>IE/UK</t>
  </si>
  <si>
    <t>java/web/JS/react trainer. By day. brokenWings.stillFly( ); he/him</t>
  </si>
  <si>
    <t>http://mindyourself.io</t>
  </si>
  <si>
    <t>らᕱꋊᕲꂖ 💡 #CreativityMuse</t>
  </si>
  <si>
    <t>I'm tellin' ya ... the #MindBody connection is real, real powerful! #MentalHealth RT @DiscoverMag: A Mormon missionary suddenly can’t move his legs. What can his doctors do to help him walk again?</t>
  </si>
  <si>
    <t>https://twitter.com/DiscoverMag/status/1218412817650454533
https://pst.cr/U9ESe</t>
  </si>
  <si>
    <t>London, Ontario 🇨🇦</t>
  </si>
  <si>
    <t>Determined to make the world a better place by sharing ideas with the #intention of sparking creativity &amp; self-awareness. #DoUntoOthers #KnowThyself #Create</t>
  </si>
  <si>
    <t>http://www.sandydeboice.com/</t>
  </si>
  <si>
    <t>white tree coach</t>
  </si>
  <si>
    <t>If you #judge what you despise then you still connect to it. It is not important, focus your attention on something worthwhile #innerpeace #mentalhealth</t>
  </si>
  <si>
    <t>Turn inward, there is where you find your answers. Coaching to help you regain your balance &amp; strength. #parenting #healingart #health #mom #positivity</t>
  </si>
  <si>
    <t>Ace of Spades</t>
  </si>
  <si>
    <t>Studies find many social, environmental, medical and economic benefits of green spaces. In general, greenery increases the quality of life with its positive impact on our physical and mental health #TreeCare #MentalHealth</t>
  </si>
  <si>
    <t>https://pbs.twimg.com/media/EOjyKsHX4AAh5oc.jpg</t>
  </si>
  <si>
    <t>Our world revolves around trees &amp; gardens. #Landscaping, arboriculturist, tree surgeon, consultancy, tree surveys. Based in #Norwich - #Norfolk Trusted Trader</t>
  </si>
  <si>
    <t>http://www.aceofspadesgardens.co.uk</t>
  </si>
  <si>
    <t>Lyn White</t>
  </si>
  <si>
    <t>Great to read of your successful year, keep up the good work in 2020 Sean #mentalhealth #Stigma RT @NowCounselling: A news update from  including details of training, counselling, supervision and @EdiHelpingHands Run Club and how you can support us 👉</t>
  </si>
  <si>
    <t>https://twitter.com/NowCounselling/status/1218234873288318980
http://NowCounselling.org.uk
https://www.nowcounselling.org.uk/index.php/ct-menu-item-7/happy-new-year-to-you-all-latest-news-from-nowcounselling</t>
  </si>
  <si>
    <t>https://pbs.twimg.com/media/EOgKKIRX4AE4Y_a.jpg</t>
  </si>
  <si>
    <t>Traveller, reader, dreamer and firm believer in CARPE DIEM</t>
  </si>
  <si>
    <t>NFER</t>
  </si>
  <si>
    <t>We used our Teacher Voice Omnibus Survey to ask teachers and senior leaders about spending on #mentalhealth and wellbeing in schools. Our Senior Economist Steen Videbaek delved deeper into the latest findings in this blog post:</t>
  </si>
  <si>
    <t>http://bit.ly/2PcHNA6</t>
  </si>
  <si>
    <t>https://pbs.twimg.com/media/EOjxurCWAAEyk9d.jpg</t>
  </si>
  <si>
    <t>National Foundation for Educational Research: UK’s leading independent provider of research, assessment and information services for education</t>
  </si>
  <si>
    <t>http://www.nfer.ac.uk</t>
  </si>
  <si>
    <t>آرمان علي منصوري</t>
  </si>
  <si>
    <t>Feeling is the only way to healthy healing . Allow yourself to feel . Allow your heart to heal Time will pass and you will be ready to start over , this time emotionally stronger and wiser Just don’t block your heart , embrace it , let it breathe🕊 #PositiveVibes #mentalhealth</t>
  </si>
  <si>
    <t>Doha, Qatar</t>
  </si>
  <si>
    <t>My wish is : Together , not against Each other</t>
  </si>
  <si>
    <t>http://instagram.com/arman__Mansouri</t>
  </si>
  <si>
    <t>Nathan KnightHart</t>
  </si>
  <si>
    <t>Come join beautiful people! Lets tackle mental health, daily struggles and abuse together 💜💙 #abuse #mentalhealth #LGBTQ</t>
  </si>
  <si>
    <t>Https://www.facebook.com/groups/444537813114511/</t>
  </si>
  <si>
    <t>Portsmouth UK</t>
  </si>
  <si>
    <t>CAT DADDY🐱🐈 my favourite Woman Wrestler is @Trishstratuscom, @Natbynature Followed me on Instagram 23/09/2017 TWITCH - NATTYCATZZ</t>
  </si>
  <si>
    <t>https://www.paypal.me/NATTYCATZ</t>
  </si>
  <si>
    <t>it's a day like no other let's make it count! #myphoto #photography #photographer #nature #NaturePhotography #mentalhealth #gratitude #Happiness #JOY #JoyTrain</t>
  </si>
  <si>
    <t>https://pbs.twimg.com/media/EOjxblxWkAMdRQF.jpg</t>
  </si>
  <si>
    <t>🦋ԵհҽʍվɑӀցíɑƒíҍɾօաɑɾɾíօɾմƘ🦋</t>
  </si>
  <si>
    <t>🦋Make up on, time to roll. Let's make the most of this cold, but Sunny Weather.🦋 #Fibromyalgia #ChronicPain #SickNotWeak #mentalhealth #spoonie #PurpleWarrior #anxiety #dreambigbeunique</t>
  </si>
  <si>
    <t>https://pbs.twimg.com/media/EOjxUY5XUAArMuq.jpg</t>
  </si>
  <si>
    <t>💜#Fibromyalgia #writer #anxiety #depression #torticollis #akathisia #dreambigbeunique💜🇬🇧 #yoga🧘‍♀️ Works within #SEN No DM's, if you're looking for Love 🚫</t>
  </si>
  <si>
    <t>http://www.dreambig-beunique.com</t>
  </si>
  <si>
    <t>York Mind</t>
  </si>
  <si>
    <t>Lovely to meet some of York Mind's @REDJanuaryUK folks this morning at @yorkparkrun - beautiful sunny conditions + spectacular people doing awesome things for better #mentalhealth = Total joy! #REDJanuary2020 #greatteam #parkrun</t>
  </si>
  <si>
    <t>https://pbs.twimg.com/media/EOjxFMAWkAEyoBX.jpg</t>
  </si>
  <si>
    <t>York, UK</t>
  </si>
  <si>
    <t>York Mind is an independent provider of high quality mental health services in York and its surrounding area.</t>
  </si>
  <si>
    <t>http://www.yorkmind.org.uk</t>
  </si>
  <si>
    <t>Swan Housing Association</t>
  </si>
  <si>
    <t>Did you know that certain foods can improve your mood? Packing your diet with delicious veggies, fruits and even nuts will help your mental health! Time to get creative in the kitchen👨‍🍳 #wellbeing #mentalhealth #healthy #foodie #SHA</t>
  </si>
  <si>
    <t>https://pbs.twimg.com/media/EOjxEmaXsAIR0ad.jpg</t>
  </si>
  <si>
    <t>Billericay</t>
  </si>
  <si>
    <t>Swan manages over 11,000 homes in Essex &amp; East London. Social media is monitored Mon-Fri 9am to 5.15pm. Tel: 0300 303 2500.</t>
  </si>
  <si>
    <t>http://www.swan.org.uk</t>
  </si>
  <si>
    <t>Christine McAteer</t>
  </si>
  <si>
    <t>This is not about pulling the old sockadoodles up. It’s simply about keeping a little candle of hope burning deep within when everything feels bleak 🕯#mentalhealth</t>
  </si>
  <si>
    <t>https://pbs.twimg.com/media/EOjw7NKXUAAQjfv.jpg</t>
  </si>
  <si>
    <t>Diocesan Secretary MU, Support Officer @NECNestates, Bus Chaplain http://cigb.org.uk - Prayer Guide http://www.manresalink.org.uk ordinand. Likes 🚴🏻‍♀️🐈🍛📚</t>
  </si>
  <si>
    <t>https://christinemcateer.tumblr.com</t>
  </si>
  <si>
    <t>Healthy Living</t>
  </si>
  <si>
    <t>Living with Depression? Read This ~~&gt;  and reTweet please #depression #stress #mentalhealth</t>
  </si>
  <si>
    <t>http://dld.bz/hbtz3</t>
  </si>
  <si>
    <t>https://pbs.twimg.com/media/EOjw1XoXkAE7ULQ.jpg</t>
  </si>
  <si>
    <t>Natural Health Remedies ⬎</t>
  </si>
  <si>
    <t>Want to know all about Psoriasis?.. Check this out: http://curepsoriasisholistically.com - For more FREE Healthy Living Tips Follow Us!</t>
  </si>
  <si>
    <t>https://curepsoriasisholistically.com</t>
  </si>
  <si>
    <t>8 Strategies to Help You Stop #Procrastinating ➤  | By Frank Sonnenberg | #MentalHealth</t>
  </si>
  <si>
    <t>http://ow.ly/ShWfd</t>
  </si>
  <si>
    <t>Spencer Coffman - Get FREE Stock!</t>
  </si>
  <si>
    <t>Wake up with an ounce of genius and become limitless. Boost your brain with instant results!  #limitless #mind #health #focus #mentalhealth</t>
  </si>
  <si>
    <t>https://spencercoffman.jeunesseglobal.com/en-US/m1nd</t>
  </si>
  <si>
    <t>Get FREE Stock - Apple, Ford... http://share.robinhood.com/spencec65</t>
  </si>
  <si>
    <t>http://SpencerCoffman.com</t>
  </si>
  <si>
    <t>MindMosaic will be attending the Winter Wellness community event on Monday 20th January 2020 at Port Glasgow Town Hall. We will be holding workshops on Mindfulness. Come have a chat with us at our stall. Please spread awareness by sharing this post. 😁 #mentalhealth #mindfulness</t>
  </si>
  <si>
    <t>https://pbs.twimg.com/media/EOjwvUuXUAAekWa.jpg</t>
  </si>
  <si>
    <t>Evolution Mental Health Services PLLC</t>
  </si>
  <si>
    <t>It's Saturday. Who do you want to be?  #whodoyouwanttobe #bewhoyouwanttobe #mentalhealth #motivation #positivity #hope #freedom #evolve #evolution #evolutionmhs #therapy #tulsa #saturday #father #son #family</t>
  </si>
  <si>
    <t>http://evolutionmhs.com</t>
  </si>
  <si>
    <t>https://pbs.twimg.com/media/EOjwtWmWAAESTLs.jpg</t>
  </si>
  <si>
    <t>Tulsa, OK</t>
  </si>
  <si>
    <t>Evolve into the person you want to be.</t>
  </si>
  <si>
    <t>http://www.evolutionmhs.com</t>
  </si>
  <si>
    <t>https://pbs.twimg.com/media/EOjwrPyX0AA3fy-.jpg</t>
  </si>
  <si>
    <t>Fourteen0seven</t>
  </si>
  <si>
    <t>FOOTBALL AND DADS MENTAL HEALTH PROJECT. Men can have postnatal depression. Men can feel alone after the kid is born. Men can feel emotionally disconnected. Men can cry. Men can seek help. Men can have mental health issues. #weekend #mentalhealth @MentaIHeaIthUK @CardiffCityFC</t>
  </si>
  <si>
    <t>https://pbs.twimg.com/media/EOjwqSSWsAIYCIk.jpg</t>
  </si>
  <si>
    <t>Follow us on Instagram its fourteen0seven...If you don’t have someone to reach out to, you won’t do anything about it. Visit my website to see what where about.</t>
  </si>
  <si>
    <t>http://Www.fourteen0seven.com</t>
  </si>
  <si>
    <t>Mindfulness Training For Kids With The Mindful Monsters  #charity #mindfulness #mentalhealth #parenting</t>
  </si>
  <si>
    <t>http://bit.ly/2NXT84f</t>
  </si>
  <si>
    <t>https://pbs.twimg.com/media/EOjwp4vWkAAIsvC.jpg</t>
  </si>
  <si>
    <t>A latest study shows that smoking tobacco might increase the risk of #mentalhealth problems.  via @guardian #Health #wellbeing #WEF20</t>
  </si>
  <si>
    <t>http://bit.ly/2R4Yrm3</t>
  </si>
  <si>
    <t>https://pbs.twimg.com/media/EOjwm4wX0AA8Hr8.jpg</t>
  </si>
  <si>
    <t>Everyone can overcome challenges. You might feel that external resources limit you, but there are healthy and creative means of finding solutions to problems. #affirmations #mentalhealth</t>
  </si>
  <si>
    <t>https://pbs.twimg.com/media/EOjwkHvWkAAvRGd.jpg</t>
  </si>
  <si>
    <t>Maria Leonor Cedres</t>
  </si>
  <si>
    <t>Aiding Mental Health</t>
  </si>
  <si>
    <t>We need more Mental Health First Aiders #endthestigma #mentalhealthtraining #mentalhealthcourse #mentalhealth #aidingmentalhealth #wecanhelp #SaturdayMorning</t>
  </si>
  <si>
    <t>https://pbs.twimg.com/media/EOjwMmxWsAAdFR4.jpg</t>
  </si>
  <si>
    <t>Worthing, England</t>
  </si>
  <si>
    <t>MHFA England approved instructor. Training in adult and youth mental health first aid for those in the workplace, and those working with young people...</t>
  </si>
  <si>
    <t>http://www.aidingmentalhealth.com</t>
  </si>
  <si>
    <t>Katleen Bell-Bonjean</t>
  </si>
  <si>
    <t>Great to see the finishing line at my first ever #parkrun or at @cooleparkofficial @parkrunie @burrenlowlands #parkrun #exercise #mentalhealth #getfitwithme #joinmenextweek #burrenlowlands #nature</t>
  </si>
  <si>
    <t>https://ift.tt/30DzIZl</t>
  </si>
  <si>
    <t>https://pbs.twimg.com/media/EOjwMq7WsAEUmZ9.jpg</t>
  </si>
  <si>
    <t>Galway, Ireland</t>
  </si>
  <si>
    <t>mum #technology #blogger #carpediem #languages #galway #travel #belgian #smallbusiness #cats, soft spot #Bumbleance #jobs #cycler</t>
  </si>
  <si>
    <t>http://workinglivingtravellinginireland.com</t>
  </si>
  <si>
    <t>Moey</t>
  </si>
  <si>
    <t>#mentalhealth ffs it’s now the new bad back.</t>
  </si>
  <si>
    <t>19th Hole</t>
  </si>
  <si>
    <t>To progress, you need to take over your fears! 😉💜 #garyveechallenge #Happiness #mentalhealth #workinghard #grind #KindnessDay #Kindness #dontforgettosmile #smile #blessed #LiveYourLife #MotivationalQuotes #SaturdayFeeling #SaturdayMotivation #SaturdayThoughts #SaturdayVibes</t>
  </si>
  <si>
    <t>Alan Emtage</t>
  </si>
  <si>
    <t>Recognizing Eco-Anxiety — What It is and Ways You Might be Affected  #mentalhealth #anxiety #ClimateChange</t>
  </si>
  <si>
    <t>https://buff.ly/376Mthl</t>
  </si>
  <si>
    <t>https://pbs.twimg.com/media/EOjv4fRWsAUCv_o.jpg</t>
  </si>
  <si>
    <t>New Experience Junkie, geek, traveler, photographer. In ancient history creator of Archie, the first Internet search engine.</t>
  </si>
  <si>
    <t>http://www.alanemtage.com</t>
  </si>
  <si>
    <t>Enrique Meneses</t>
  </si>
  <si>
    <t xml:space="preserve">Barquisimeto </t>
  </si>
  <si>
    <t>Trabajador consecuente, familiar 100%, deportista, y comelon</t>
  </si>
  <si>
    <t>BPP-FCD</t>
  </si>
  <si>
    <t>What is NLP Therapy? @ProfileTree sat down to learn all about NLP Techniques with @positiveparties &amp; how emotional intelligence can make a difference in your life, at work &amp;amp; at home!  #mentalhealth #businesses #selfimprovement</t>
  </si>
  <si>
    <t>https://app.quuu.co/r/gblgyao</t>
  </si>
  <si>
    <t>A not-for-profit student organization who's goal is to provide food and clothing to the vulnerable &amp; homeless and assist members in gaining employability skills</t>
  </si>
  <si>
    <t>Generation Success</t>
  </si>
  <si>
    <t>https://app.quuu.co/r/8jQQK</t>
  </si>
  <si>
    <t>#NotForProfit organisation that promotes #diversity &amp; #inclusion and tackles #underrepresentation within elite professions. Our Director is @Jamesadelekefc</t>
  </si>
  <si>
    <t>http://www.generation-success.com</t>
  </si>
  <si>
    <t>Ian Biss</t>
  </si>
  <si>
    <t>Just because you can’t see their pain, doesn’t mean it isn’t there. #addictionrecovery #AddictionTreatment #Mentalhealth</t>
  </si>
  <si>
    <t>Vlado</t>
  </si>
  <si>
    <t>Украина</t>
  </si>
  <si>
    <t>Какая разница, что я думаю. И какая разница, что думают остальные. Большинство людей вообще не думают...</t>
  </si>
  <si>
    <t>Emma ✨</t>
  </si>
  <si>
    <t>Frosty drive on the way to work this morning, shoutout to the weekend workers 🙋🏽‍♀️❄️ #supportworker #weekend #mentalhealth @autism</t>
  </si>
  <si>
    <t>https://pbs.twimg.com/media/EOjuxKuWAAEapsK.jpg</t>
  </si>
  <si>
    <t>Back living in the UK. Support Worker. @livuni Psych Grad. Student Mental Health Nurse @ljmu March 2020. Crazy cat woman 📚🧠✈️</t>
  </si>
  <si>
    <t>The Link Centre</t>
  </si>
  <si>
    <t>Want to take better care of your own mental health? Come to our FREE talk on Psychological Hygiene on Wed 22nd Jan 2020 from 7pm-9pm at The Link Centre in Plumpton. For more info go to:  #Mentalhealth #Wellbeing #Ta #Counsellingskills</t>
  </si>
  <si>
    <t>https://bit.ly/2OKWxVt</t>
  </si>
  <si>
    <t>https://pbs.twimg.com/media/EOVEeyPW4AI7aP7.jpg</t>
  </si>
  <si>
    <t>Plumpton, East Sussex</t>
  </si>
  <si>
    <t>We provide courses, workshops &amp; training in counselling, psychotherapy &amp; professional development. Email us on Info@thelinkcentre.co.uk or visit our website.</t>
  </si>
  <si>
    <t>http://www.thelinkcentre.co.uk/</t>
  </si>
  <si>
    <t>Angela Peacock</t>
  </si>
  <si>
    <t>On #akathisia from taking psychiatric drugs as prescribed. #mentalhealth #suicide #anxiety #depression #psychtwitter @MISSDFoundation @AkathisiaRx RT @lethebook: On Akathisia: Written after my first withdrawal from prescription medication resulted in intense suffering, I share these thoughts now, during my second taper. It is an attempt to describe a devastating symptom that occurs within a complex constellation of pain.</t>
  </si>
  <si>
    <t>https://twitter.com/lethebook/status/1218070266837962752</t>
  </si>
  <si>
    <t>Mil Veteran/advocate #wwp, MSW, c/s/x, board @BZInfoCoalition, subject in @medicatingnorm1 https://www.youtube.com/channel/UCiDKHkLjlQGz7Rgv0Z8kHQw</t>
  </si>
  <si>
    <t>Classic Literature and Mental Health  #Literature #Novel #Reading #mentalhealth</t>
  </si>
  <si>
    <t>http://introvertedit.com/2019/08/17/classic-literature-and-mental-health/</t>
  </si>
  <si>
    <t>Speak Your Mind</t>
  </si>
  <si>
    <t>We are proud to have the support of @GlobalShapers like Fatima from @globalshapersc to help take our call for #mentalhealth investment to leaders at @Davos. Read how young people are leading the global mental health movement:  #SpeakYourMind #TimeToInvest RT @UnitedGMH: Protecting youth #mentalhealth is one of our generation’s greatest challenges. Read how young people are leading the way with free peer counselling from @GlobalShapers &amp; @gospeakyourmind supporter Fatima:  #TimeToInvest #WEF2020 #wef20 @globalshapersc</t>
  </si>
  <si>
    <t>https://www.weforum.org/agenda/2020/01/the-gift-of-mental-health-how-to-offer-it-for-free
https://twitter.com/UnitedGMH/status/1218476743234813955
http://weforum.org/agenda/2020/01/the-gift-of-mental-health-how-to-offer-it-for-free</t>
  </si>
  <si>
    <t>pic.twitter.com/XlA1A5a2Fa</t>
  </si>
  <si>
    <t>A nationally driven, globally united #mentalhealth campaign. #SpeakYourMind for #40seconds to call for action - sign our voice petition at http://gospeakyourmind.org</t>
  </si>
  <si>
    <t>http://www.gospeakyourmind.org</t>
  </si>
  <si>
    <t>Anither M</t>
  </si>
  <si>
    <t>Abba beloved daughter. #HappySoul</t>
  </si>
  <si>
    <t>Sixto Pérez Sosa</t>
  </si>
  <si>
    <t>Caracas</t>
  </si>
  <si>
    <t>Ciudadano de La Republica Del Este</t>
  </si>
  <si>
    <t>Jonathan Joseph</t>
  </si>
  <si>
    <t>Why Life Is Worth Living. Please reshare and hopefully we can help safe some lives, by preventing #suicide #mentalhealth #SuicidePrevention #anxiety #depression #hope #choices #psychology #Wisdom #MentalHealthMatters #MentalHealthAwareness RT @OneDropPublish: Why Life Is Worth Living A Video discussion on the subject of #suicide and why choose life.  #SuicideAwareness #SuicidePrevention #MentalHealthMatters #mentalhealth #MentalHealthAwareness #depression #hope #kindness #anxiety #therapy #psychology #choices</t>
  </si>
  <si>
    <t>https://twitter.com/OneDropPublish/status/1218483666432790528
https://www.instagram.com/tv/B7dTPWyHNiU/?igshid=e1g1prd11vui</t>
  </si>
  <si>
    <t>https://pbs.twimg.com/media/EOjsb-nWoAEhyyG.jpg</t>
  </si>
  <si>
    <t>Middlewich, England</t>
  </si>
  <si>
    <t>Author Of: Little Zen Masters (Poems &amp; Rhymes #EBOOK) &amp; Web To Print Making Internet Sales (#EBOOK) Connect To Me On LinkedIn: http://uk.linkedin.com/pub/jonath</t>
  </si>
  <si>
    <t>http://www.allinrhyme.blogspot.co.uk/</t>
  </si>
  <si>
    <t>Venus Goddess of LURVE 🌈❤️🧡💛💚💙💜</t>
  </si>
  <si>
    <t>Woke up and everything aches today. Next week must be stressing me more than I think. Odd how physical symptoms usually reflect feelings. #mentalhealth</t>
  </si>
  <si>
    <t>Mum with mental health problems (#BPD) muddling through life with her awesome hubby #mentalhealth May contain *triggers* Bisexual. Model. 🌟Porn star 🌟</t>
  </si>
  <si>
    <t>TherapyRoute</t>
  </si>
  <si>
    <t>Mental health professionals. Improve accessibility to mental health services: List your practice. Visit our website:  #mentalhealth #therapy</t>
  </si>
  <si>
    <t>http://TherapyRoute.com</t>
  </si>
  <si>
    <t>https://pbs.twimg.com/media/EOjtF9kU0AEx5B_.jpg</t>
  </si>
  <si>
    <t>Mental-health related memes and articles written by real clinicians. To find a therapist near you, visit http://TherapyRoute.com.</t>
  </si>
  <si>
    <t>http://www.TherapyRoute.com</t>
  </si>
  <si>
    <t>Are you a narcissist?  #AnInconvenientRelative #mentalhealth #MentalHealthAwareness #EndTheStigma #NarcissisticBehaviour #narcissism #narcissist #SaturdayMorning #SaturdayThoughts #SaturdayMotivation #checkyourself</t>
  </si>
  <si>
    <t>Claire Bardner</t>
  </si>
  <si>
    <t>29,000 tabloid &amp; broadsheet items online about the Duchess of Sussex in 2019 - 72% (21,000) were negative. 14,000 items referring to the Duchess of Cambridge 31% (4,300) were negative. That’s a lot of negativity #mentalhealth</t>
  </si>
  <si>
    <t>https://www.theguardian.com/global/2020/jan/18/meghan-gets-more-than-twice-as-many-negative-headlines-as-positive?CMP=share_btn_tw</t>
  </si>
  <si>
    <t>Passionate about Charities and Community, esp children and young people, mental health, DA, Human Rights, Homelessness. Marcomms &amp; Fundraising at @aawignite</t>
  </si>
  <si>
    <t>https://www.linkedin.com/in/claire-bardner-22a14519/</t>
  </si>
  <si>
    <t>Andreas Gerdén</t>
  </si>
  <si>
    <t>How is your #mentalhealth lately?</t>
  </si>
  <si>
    <t>Göteborg, Sverige</t>
  </si>
  <si>
    <t>alternative indie artist . nature photographer . mental health passionate(mh blog http://writings.andreasgerden.com</t>
  </si>
  <si>
    <t>https://linktr.ee/andreasgerden</t>
  </si>
  <si>
    <t>Lemons are ripening nicely strawberries have been repotted bulbs are popping soon be able to take nets off damn squirrels garden still looks green from summer love T 💕 #lovemygarden #gyo #organic #superfoods #london #sharethelove #mytropicalparadise #mentalhealth #inspiration</t>
  </si>
  <si>
    <t>pic.twitter.com/SNkf6PzgPx</t>
  </si>
  <si>
    <t>Anna Marshall</t>
  </si>
  <si>
    <t>Gym ✅ 4 mile run ✅ 10 mile bike ride✅ I don’t care how slow I am, I don’t care what I look like, I just care about how good I feel. #keepmoving #keepsmiling #run #cycle #mentalhealth</t>
  </si>
  <si>
    <t>Loves to cycle. Lives in #Hull #UKCityofCulture2017, now working on #HullYMC. Passionate about local gov comms. My views are my own.</t>
  </si>
  <si>
    <t>One Drop Publishing</t>
  </si>
  <si>
    <t>Why Life Is Worth Living A Video discussion on the subject of #suicide and why choose life.  #SuicideAwareness #SuicidePrevention #MentalHealthMatters #mentalhealth #MentalHealthAwareness #depression #hope #kindness #anxiety #therapy #psychology #choices</t>
  </si>
  <si>
    <t>https://www.instagram.com/tv/B7dTPWyHNiU/?igshid=e1g1prd11vui</t>
  </si>
  <si>
    <t>United Kingdon</t>
  </si>
  <si>
    <t>#Author of Humans &amp; Angels - Worlds Of Divinity &amp; The Wise Choice http://mybook.to/HumansAndAngles http://mybook.to/TheWiseChoice #Angels #Empowerment #Choices</t>
  </si>
  <si>
    <t>http://onedroppublishing.com</t>
  </si>
  <si>
    <t>SheriKaneCounselling</t>
  </si>
  <si>
    <t>Good morning! It's finally stopped raining in Devon ☔ What are you all up to this weekend while the sun shines? #sunshine #mentalhealth</t>
  </si>
  <si>
    <t>Kingsteignton, Newton Abbot.</t>
  </si>
  <si>
    <t>Personal counselling services in Newton Abbot and surrounding areas. All views published are my own.</t>
  </si>
  <si>
    <t>https://sherikanecounselling.me</t>
  </si>
  <si>
    <t>Michelle Thomas</t>
  </si>
  <si>
    <t>SUFFOLK. Come on down to Woodbridge library tonight, it'll be a hoot and a half. I'll be answering your questions about #MyShitTherapist, #mentalhealth and more! x</t>
  </si>
  <si>
    <t>pic.twitter.com/ek8JLSinlj</t>
  </si>
  <si>
    <t>Bristol, me babber.</t>
  </si>
  <si>
    <t>My Shit Therapist and other mental health stories, out in June with @bonnierbooks_uk Repped by @CWAgencyUK Writer. Welsh. Bit peckish.</t>
  </si>
  <si>
    <t>https://amzn.to/2JjQveW</t>
  </si>
  <si>
    <t>Lothian Buses</t>
  </si>
  <si>
    <t>ICYMI: We are delighted to announce that our Charity of Choice for the next two years - as chosen by Lothian's 2500+ strong workforce - is @suppinmindscot! 🙌 Read more here ➡️  #LothianBuses #SupportInMindScotland #MentalHealth</t>
  </si>
  <si>
    <t>http://bit.ly/2TsfUXd</t>
  </si>
  <si>
    <t>https://pbs.twimg.com/media/EOjr_6CX4AA4qHM.jpg</t>
  </si>
  <si>
    <t>Public Transport Operator of the Year 2018. We’re here to help Mon-Fri 0800-1800, Sat &amp; Sun 0830-1430. We don’t respond to expletive laden or offensive tweets.</t>
  </si>
  <si>
    <t>http://lothianbuses.co.uk</t>
  </si>
  <si>
    <t>Tueartsboots 🇬🇧🇪🇺🇺🇸🤜💙🤛🐝🌹</t>
  </si>
  <si>
    <t>" I tried to drown my sorrows, but the bastards learned how to swim. " Frida Kahlo #recovery #RecoveryPosse #mentalhealth</t>
  </si>
  <si>
    <t>Thamesmead , SE London, FFS</t>
  </si>
  <si>
    <t>Horseshoe, Clerkenwell- TBC https://horseshoepub.wixsite.com/clerkenwell I am not MCFC OSC. Players wanted @LondonMCFC</t>
  </si>
  <si>
    <t>Juksey</t>
  </si>
  <si>
    <t>Please spread the word that there is a support group for those bereaved by military suicide. It is a closed, confidential group to eliminate the isolation that some families may feel  #Veterans #SaturdayMorning #PTSD #mentalhealth</t>
  </si>
  <si>
    <t>https://www.facebook.com/groups/334841447318652/</t>
  </si>
  <si>
    <t>Widow of Army Veteran with CPTSD. Mental health and suicide prevention advocate. Charity Ambassador.All views are my own and re-tweets are not an endorsement</t>
  </si>
  <si>
    <t>Elaine Bond counselling</t>
  </si>
  <si>
    <t>It’s called the #oxygenmaskfirst rule you need to put yourself first then and only then can you look after others. #selfcare #empathy #mentalhealth #gedlingcounsellor #nottinghamcounselling #ng4 #ng4counselling @…</t>
  </si>
  <si>
    <t>https://www.instagram.com/p/B7dTuwLlyVq/?igshid=z4sakvrielep</t>
  </si>
  <si>
    <t>UKCP registered Psychotherapeutic counsellor &amp; Safeguarding Consultant</t>
  </si>
  <si>
    <t>https://www.facebook.com/ElaineTerryCounsellingServcies</t>
  </si>
  <si>
    <t>What a beautiful day in London love T 💕 #lovemygarden #sunshine #flowers #london #birds #nature #saturdayvibes #sharethelove #mytropicalparadise #mentalhealth #inspiration</t>
  </si>
  <si>
    <t>pic.twitter.com/cUfWJ953jB</t>
  </si>
  <si>
    <t>Last night's prep for #Happyheads20! We are ready to create further #mentalhealth awareness. Join us! See you at 2pm @newlifecroydon</t>
  </si>
  <si>
    <t>https://pbs.twimg.com/media/EOjrmnQXkAAL9-D.jpg</t>
  </si>
  <si>
    <t>Prof Sophia Jowett</t>
  </si>
  <si>
    <t>A great article to read: “The quality of our close relationships matter.” (For both men and women) #mentalhealth #happiness #longevity #productivity RT @Inc: Harvard spent 79 years studying the lives of 724 men to determine what keeps people healthy and happy. They discovered it has nothing to do with fame, wealth, social class, IQ, or genes, but instead, a single trait.</t>
  </si>
  <si>
    <t>https://twitter.com/Inc/status/1218307584991559681
http://on.inc.com/h1ZMlnn</t>
  </si>
  <si>
    <t>Loughborough University</t>
  </si>
  <si>
    <t>Professor @lborouniversity Scientist and psychologist with research focus on coach-athlete relationship, communication and interaction.</t>
  </si>
  <si>
    <t>https://www.lboro.ac.uk/departments/ssehs/staff/sophia-jowett/</t>
  </si>
  <si>
    <t>Corstorphine Psychology Services (Dr Elaine Smith)</t>
  </si>
  <si>
    <t>@matthaig1 describes a poignant conversation between two men in a pub who had both been experiencing depression and did not disclose to each other for years ❤ #matthaig #depression #mentalhealth #stigma #anxiety #suicideprevention @Waterstones</t>
  </si>
  <si>
    <t>https://m.youtube.com/watch?feature=youtu.be&amp;v=9TID2bIiAOU</t>
  </si>
  <si>
    <t>I am a Clinical Psychologist working in private practice in Edinburgh. I see adults and children in my clinic.</t>
  </si>
  <si>
    <t>http://www.corstorphinepsychologyservices.co.uk</t>
  </si>
  <si>
    <t>Revolution👻</t>
  </si>
  <si>
    <t>You know you probably have #Mentalhealth issues when it’s 2:30 am and you’re doing laundry and deep cleaning your bathroom. Been sober for like 3 weeks almost and only thing I’m “#lit” on is #caffeine. Is this #adulting😅🤔</t>
  </si>
  <si>
    <t>✍️📸@thefestivalvoice🦁Cancer♋️ Gamer🎮Illenial🦅Skygazer☁️Illuminati confirmed👁Instagram: “nicktherevolution” and “cheeseburgerempire”</t>
  </si>
  <si>
    <t>https://www.etsy.com/shop/cheeseburgerempire</t>
  </si>
  <si>
    <t>Charlotte Cooper</t>
  </si>
  <si>
    <t>Really important that we hear the views of the LGBTQ+ 🏳️‍🌈 community. Link below to some important research being carried out by @AFNCCF. Worth a look @WalesSixth @WalesLGBTQplus @mentalhealthwhs and signposting. I’ll make sure it’s in briefings 👍🏻 #mentalhealth #LGBTQ RT @AFNCCF: #LGBTQ young people are 2.5 times more likely to have a #mentalhealth problem than those who identify as heterosexual. We're asking YP aged up to 25 to complete this anon survey to ensure  is supporting the whole community:  #LGBTQMH</t>
  </si>
  <si>
    <t>https://twitter.com/afnccf/status/1217750998472699904
http://onmymind.info
http://survey.constantcontact.com/survey/a07eguicohok558kza7/start</t>
  </si>
  <si>
    <t>https://pbs.twimg.com/media/EOZSE_BWoAAMAW9.jpg</t>
  </si>
  <si>
    <t>Rotherham, England</t>
  </si>
  <si>
    <t>Assistant Headteacher, Mental Health Advocate &amp; Trauma Informed Practitioner. Also teach History! Currently inspired by @TISUK_ #startwhereyouare #dowhatyoucan</t>
  </si>
  <si>
    <t>https://www.waleshigh.com/wellbeing/</t>
  </si>
  <si>
    <t>Dave Jenkins</t>
  </si>
  <si>
    <t>#mentalhealth #stress #depression #anxiety Be a Warrior, Not a Worrier: How to De-Stress and Cope with Anxiety Naturally Reviews -</t>
  </si>
  <si>
    <t>http://pachaworld.org/mentalhealth-stress-depression-anxiety-be-a-warrior-not-a-worrier-how-to-de-stress-and-cope-with-anxiety-naturally-reviews</t>
  </si>
  <si>
    <t>https://pbs.twimg.com/media/EOjrNcJWsAAlhVK.jpg</t>
  </si>
  <si>
    <t>Denver</t>
  </si>
  <si>
    <t>Your FREE blog link placed on BestMetabolismBoosters(dot)com in exchange for a link back. Contact : http://BestMetabolismBoosters.com/contact-us Am into #fitness</t>
  </si>
  <si>
    <t>https://www.pinterest.com/bestmetabooster/</t>
  </si>
  <si>
    <t>em.mccord</t>
  </si>
  <si>
    <t>What a fantastic idea to get men talking. #MentalHealth #dudesanddogs #SuicidePrevention #calms #ItsOkNotToBeOk 💚💚💚</t>
  </si>
  <si>
    <t>https://pbs.twimg.com/media/EOjqyuQXUAAxN9K.jpg</t>
  </si>
  <si>
    <t>Broadclyst, England</t>
  </si>
  <si>
    <t>Family are my 🌍 listen to your heart and believe in yourself. Don't worry about the little things plan for the big ones. Achieve you're goals and stay strong.</t>
  </si>
  <si>
    <t>#MenTalkHealthKE</t>
  </si>
  <si>
    <t>Decided this year I need a daily reminder to chose life and move forward. I still struggle with suicidal thoughts but I'm learning to cope with them every day #MentalHealth #MenTalkHealthKE</t>
  </si>
  <si>
    <t>pic.twitter.com/4g8K5M7Nmu</t>
  </si>
  <si>
    <t>A platform for men to discuss issues on physical, mental, sexual and emotional health. mthkenya@gmail.com</t>
  </si>
  <si>
    <t>http://mentalkhealth.co.ke</t>
  </si>
  <si>
    <t>G-man</t>
  </si>
  <si>
    <t>sampa.</t>
  </si>
  <si>
    <t>Mental Health Activist, Volunteer Entrepreneur, Investor, former Chief Justice UHAS-NAMSA and NAHSAG</t>
  </si>
  <si>
    <t>💕My #JOY is where #Love is there!💕 #quotes #quote #ThinkBIGSundayWithMarsha #LoveTrainFromIRAN #JoyTrain #GoldenHearts #IAMCHoosingLove #BeLove #successtrain #familytrain #love #selflove #mentalhealth #IAM #ShineOn #StarfishClub #SaturdayThoughts #SaturdayMotivation #Peace RT @KariJoys: Where is your #JOY? #JoyTrain #Gratitude RT @LeafsGirl4life @maymcc</t>
  </si>
  <si>
    <t>https://twitter.com/KariJoys/status/1218450480365547521</t>
  </si>
  <si>
    <t>https://pbs.twimg.com/media/DUuDBDQWsAA1dFq.jpg</t>
  </si>
  <si>
    <t>depressiongetrid</t>
  </si>
  <si>
    <t>Source:  Discover How To Get Rid of Depression Naturally... Click Here:  #depression #anxiety #depressionhelp #depressionsupport #mentalhealth #mentalillness #ptsd #depressive</t>
  </si>
  <si>
    <t>https://ift.tt/37gKA21
http://linktr.ee/depression.get.rid</t>
  </si>
  <si>
    <t>https://pbs.twimg.com/media/EOjqAtNX4AA_xYz.jpg</t>
  </si>
  <si>
    <t>Discover How To Get Rid of Depression Naturally Click Here: http://linktr.ee/depression.get.rid</t>
  </si>
  <si>
    <t>http://linktr.ee/depression.get.rid</t>
  </si>
  <si>
    <t>KGPETRONE</t>
  </si>
  <si>
    <t>"The Ego Anthology" a poetic journey of #healingthruwords. @KGPetrone #Amazon &amp; #Kindle The Fractured Ego (Bk I)  Mending The Ego (Bk II)  Accepting The Ego (Bk III)  #poetry #anthology #mentalhealth #ebooks</t>
  </si>
  <si>
    <t>https://tinyurl.com/y54azlde
https://tinyurl.com/shyuk4a
https://tinyurl.com/u9zpemo</t>
  </si>
  <si>
    <t>pic.twitter.com/Fy1gcBOCEn</t>
  </si>
  <si>
    <t>International Author &amp; Poetess. Cooking Enthusiast &amp; Recipe Sharer. "The regrets that nag you the most...Are the ones where you knew you had a choice!" J. Stone</t>
  </si>
  <si>
    <t>https://LiteraryArtsbyKGPetrone.com</t>
  </si>
  <si>
    <t>Worth-it Positive Education</t>
  </si>
  <si>
    <t>Today's tip is from one of our consultants @ReachHigherNow "As part of an assembly, try a walk &amp; talk in the surrounding nature, noticing nature can help us focus on the present and helps develop #wellbeing and reduce #anxiety" #mentalhealth #schools #ChildrensMentalHealthWeek</t>
  </si>
  <si>
    <t>https://pbs.twimg.com/media/EOjpxGXXUAEbby7.jpg</t>
  </si>
  <si>
    <t>East Midlands</t>
  </si>
  <si>
    <t>Training &amp; tools that improve #wellbeing #resilience &amp; #mentalhealth for children, young people &amp; schools #prevetion #positivepsychology #positiveeducation</t>
  </si>
  <si>
    <t>http://www.worthit.org.uk</t>
  </si>
  <si>
    <t>Fegans</t>
  </si>
  <si>
    <t>Listen to @BBCRadioKent at 6.30am on Sunday morning and hear Fegans CEO Ian Soars talk about our work and how it is supported by the Kent Community Foundation. #counselling #parenting #mentalhealth</t>
  </si>
  <si>
    <t>https://pbs.twimg.com/media/EOjpx7UX0AAuhWF.jpg</t>
  </si>
  <si>
    <t>Counselling Children, Supporting Parents. Founded in 1870.</t>
  </si>
  <si>
    <t>http://www.fegans.org.uk</t>
  </si>
  <si>
    <t>Is your child worried? Watch @BBC's "When I worry about things" animated films:  #mentalhealth #WorcestershireHour (WHbbc1)</t>
  </si>
  <si>
    <t>https://www.bbc.co.uk/programmes/articles/5QM6H01X6b3jTQF85GLgbFl/when-i-worry-about-things</t>
  </si>
  <si>
    <t>https://pbs.twimg.com/media/EOjpwA0XsAALRVj.jpg</t>
  </si>
  <si>
    <t>Yes, you can! But you won't know until you try 😉❤ #garyveechallenge #Happiness #mentalhealth #workinghard #grind #KindnessDay #Kindness #dontforgettosmile #smile #blessed #LiveYourLife #MotivationalQuotes #SaturdayFeeling #SaturdayMotivation #SaturdayThoughts #SaturdayVibes</t>
  </si>
  <si>
    <t>towokesouls</t>
  </si>
  <si>
    <t>I bagged myself a refurbished Vitamin L lamp this week - with 40% off, it was the bargain price of £45! Do you have a Bodyclock or SAD lamp? If so, what has your experience with it been? #SAD #MentalHealth #LightTherapy RT @Lumie_lights: Our refurbished lights at up to 50% off are selling out fast! Check out the offers before it's too late:</t>
  </si>
  <si>
    <t>https://twitter.com/Lumie_lights/status/1218473179586420736
http://ow.ly/i8yy50xYjQw</t>
  </si>
  <si>
    <t>https://pbs.twimg.com/media/EOji5kRXsAEnubB.jpg</t>
  </si>
  <si>
    <t>Cambridge, England</t>
  </si>
  <si>
    <t>☾ Well-Being ☾ Plant-Based Eats + Recipes ☾ Sustainability ☾ Conscious Living | Insta 📷 @towokesouls | 💌hello@towokesouls.com</t>
  </si>
  <si>
    <t>https://towokesouls.com/</t>
  </si>
  <si>
    <t>Ladyjax</t>
  </si>
  <si>
    <t>Guess I’m gonna have to do my makeup again #reallife #mentalhealth</t>
  </si>
  <si>
    <t>https://pbs.twimg.com/media/EOjo4JOXsAA8ikR.jpg</t>
  </si>
  <si>
    <t>Sprinting through life with my heels on hoping I don’t get stuck in a grill!</t>
  </si>
  <si>
    <t>Ola Walsh</t>
  </si>
  <si>
    <t>This morning I woke up early &amp; decided to get up &amp;amp; on with my day. Yoga🧘‍♀️cup of ☕ &amp;amp; a walk to #tootingbeccommon to catch the #sunrise. Bloody hell! What a day to wake up to! HAPPY SUNSHINE SATURDAY EVERYONE! #dailycalm #mentalhealth #getoutside #startthedayright #motivation</t>
  </si>
  <si>
    <t>https://pbs.twimg.com/media/EOjov80WsAACWf5.jpg</t>
  </si>
  <si>
    <t>Photographer, blogger, Yes Triber, passionate about adventure, travel, fundraising and conservation 🚵‍♂️📷</t>
  </si>
  <si>
    <t>http://www.theunsungworld.com</t>
  </si>
  <si>
    <t>Is•mini Chatzi•theofilou 🇿🇦🇬🇷🇬🇧</t>
  </si>
  <si>
    <t>President @vonderleyen thank you for fighting for EU citizens in the UK. Although you are fighting, the uncertainty still lingers as discrimination breeds and cannot be stopped by a law. Please consider efforts to support the mental well-being of these citizens #mentalhealth</t>
  </si>
  <si>
    <t>Nothing mini about me</t>
  </si>
  <si>
    <t>Benjamin Habib</t>
  </si>
  <si>
    <t>The modus operandi of #academia is indefensible from a #Mentalhealth perspective... RT @timeshighered: Half of researchers have sought or wanted professional help to deal with anxiety or depression, according to landmark survey</t>
  </si>
  <si>
    <t>https://twitter.com/timeshighered/status/1218460017692684288
https://bit.ly/2FQsacc</t>
  </si>
  <si>
    <t>Latrobe University, Australia</t>
  </si>
  <si>
    <t>Senior Lecturer in International Relations at Latrobe University, Melbourne, Australia. Exploring self, society and the security-economy-environment nexus.</t>
  </si>
  <si>
    <t>http://drbenjaminhabib.wordpress.com/</t>
  </si>
  <si>
    <t>Be gentle with yourself...you are doing the best you can. #stress #mentalhealth #restandrelaxation</t>
  </si>
  <si>
    <t>https://pbs.twimg.com/media/EOjokw_WoAEZaq_.jpg</t>
  </si>
  <si>
    <t>#BlueMonday is a great day to forget about calories and eat something you really enjoy! Whether that’s a salad or a @Dominos_UK #mentalhealth #MentalHealthAwareness</t>
  </si>
  <si>
    <t>Kaetlyn</t>
  </si>
  <si>
    <t>FYI telling someone with anxiety that you know people with it and it’s not that bad is just bananas.... people cope with their anxiety in different ways and some have anxiety so bad it affects most aspects of there life. It’s not a crutch, it’s real, and it sucks #mentalhealth</t>
  </si>
  <si>
    <t>Everywhere, USA</t>
  </si>
  <si>
    <t>I can be found exploring my imagination and #writing down my adventures. Home is on the road. #Anxious</t>
  </si>
  <si>
    <t>Skerries CC</t>
  </si>
  <si>
    <t>On Friday morning all Sixth Years had a @JigsawYMH Workshop. Huge thanks to both facilitators. Learning about your 5 a day mental health goals.Interactive approach which made the experience all the better for students. #mentalhealth @ddletb @SYSS4U</t>
  </si>
  <si>
    <t>https://pbs.twimg.com/media/EOjn8-KX4AI9GPW.jpg</t>
  </si>
  <si>
    <t>Balbriggan Street, Skerries, Co. Dublin</t>
  </si>
  <si>
    <t>We value our culture, our traditions, our heritage and we seek to be a caring and compassionate community, where justice and truth are central elements.</t>
  </si>
  <si>
    <t>http://www.skerriescommunitycollege.ie</t>
  </si>
  <si>
    <t>Kevin R. Foley</t>
  </si>
  <si>
    <t>Mental Health Moment: Anxiety is a response to what you fear or dread. Before spending too much time ask your brain to discover the truth. Is what you believe will happen next actually true? #mentalhealth #addictionrecovery</t>
  </si>
  <si>
    <t>created to Encourage, Empower and Guide High Performance, Mental Health, and Chemical Dependency Treatment one tweet at a time.</t>
  </si>
  <si>
    <t>http://guidedogcompany.com</t>
  </si>
  <si>
    <t>CubKit</t>
  </si>
  <si>
    <t>6 Reasons to Start Journaling  blogger amwriting #journal #mentalhealth bloggerstribe</t>
  </si>
  <si>
    <t>http://cubkit.co.uk/2018/03/30/the-health-benefits-of-keeping-a-journal/</t>
  </si>
  <si>
    <t>Family and lifestyle blog dishing out advice, product reviews and more. #pblogger #freelancewriter Tweets by @TinyWriter #prfriendly emmajemccarthy@gmail.com</t>
  </si>
  <si>
    <t>http://www.cubkit.co.uk</t>
  </si>
  <si>
    <t>Donna Brown</t>
  </si>
  <si>
    <t>Weekend getaway has started. Make the time to take the time for yourself! #getaway #weekend #timeforyourself #mentalhealth</t>
  </si>
  <si>
    <t>https://pbs.twimg.com/media/EOjnxnoWoAIo-0D.jpg</t>
  </si>
  <si>
    <t>Retired Sgt. Award winning author of Behind and Beyond the Badge series #cubs and #noles fan</t>
  </si>
  <si>
    <t>http://www.behindandbeyondthebadge.com/</t>
  </si>
  <si>
    <t>^</t>
  </si>
  <si>
    <t>Sverige</t>
  </si>
  <si>
    <t>@hkane Fanboy</t>
  </si>
  <si>
    <t>morning all a beautiful, radiating sun, set against a crisp blue sky, managed to give a little warmth to a frosty morn✨ wishing you a "sunny" day💫 be safe #myphoto #photography #photographer #nature #NaturePhotography #mentalhealth #gratitude #Happiness #winter #January #sun</t>
  </si>
  <si>
    <t>https://pbs.twimg.com/media/EOjnfhIWAAAgQa1.jpg</t>
  </si>
  <si>
    <t>Dr Andy Mayers</t>
  </si>
  <si>
    <t>So, I will be on @SkyNews this afternoon at 4pm, talking about fathers' #mentalhealth. It's so important we get more awareness about what support dads need, as it effects the entire family @bournemouthuni @Bournemouth_Psy @dor_pip @DorsetMind @MarkWilliamsFMH @megcoutts_</t>
  </si>
  <si>
    <t>https://pbs.twimg.com/media/EOjnPwxWoAAyvSf.jpg</t>
  </si>
  <si>
    <t>Bournemouth</t>
  </si>
  <si>
    <t>#mentalhealth campaigner &amp; educator @bournemouthuni. Perinatal MH. Governor @DorsetHealth. Patron @DorsetMind Trustee @Dor_pip &amp; @actsfast2014. Views my own</t>
  </si>
  <si>
    <t>http://www.andrewmayers.info</t>
  </si>
  <si>
    <t>A.J. Stinson 2020 ​🎊</t>
  </si>
  <si>
    <t>What feels absolutely wonderful, is knowing that no matter how bad my mental state is, it can always improve, freeing me further. I love my life, no matter how hard it may be at times. Hold out, there's always hope, always room for improvement. #mentalhealth #encouragement</t>
  </si>
  <si>
    <t>West Palm Beach Florida</t>
  </si>
  <si>
    <t>Writer, Artist and person in training. Enjoy my musings, and go about your biz. They/Them Bordering She/Her</t>
  </si>
  <si>
    <t>AnnemarieLewisThomas</t>
  </si>
  <si>
    <t>Kudos to Raff for implementing change not just talking about it. A brilliant proactive initiative to improve. #mentalhealth #time4change RT @ApplauseThought: It has been an absolute pleasure to have worked with Jonathan Church Productions over the past 3 months on this new Mental Health &amp; Well-being scheme. Hopefully the first of many collaborations with producers to improve mental health care on their shows. 🙌</t>
  </si>
  <si>
    <t>https://twitter.com/applausethought/status/1218131814465835008</t>
  </si>
  <si>
    <t>https://pbs.twimg.com/media/EOesbXGX4AAl2eZ.jpg</t>
  </si>
  <si>
    <t>Musical Theatre composer/lyricist. http://www.youtube.com/annemarielewisthomas Principal/CEO of @themtaonline All views in tweets &amp; vlogs are entirely my own</t>
  </si>
  <si>
    <t>http://www.annemarielewisthomas.co.uk</t>
  </si>
  <si>
    <t>Everything has its beauty but not everyone sees it. #csr #houston #texas #mentalhealth #mindfulness #wellness #psychology #health</t>
  </si>
  <si>
    <t>Bryan</t>
  </si>
  <si>
    <t>Gemma Fay is brilliant on #MentalHealth on @BBCRadioScot #Shereen this morning @JimJam1981</t>
  </si>
  <si>
    <t>West Highlands; Scotland</t>
  </si>
  <si>
    <t>Use your time wisely, look after your teeth...and try not to hurt anyone</t>
  </si>
  <si>
    <t>https://trailfestscotland.com/maps-for-trailrunners-project/</t>
  </si>
  <si>
    <t>Plan A</t>
  </si>
  <si>
    <t>Have you heard about #Ecopsychology? “#Nature is not only nice to have, but it’s a have-to-have for physical health and cognitive function.” Discover more about this concept in @YaleE360's article #psychology #ecology #mentalhealth</t>
  </si>
  <si>
    <t>http://bit.ly/2QDktw5</t>
  </si>
  <si>
    <t>Get your carbon under control. Measure how you impact. Reduce where you can. Offset what is left. #StrongerWhenGreener</t>
  </si>
  <si>
    <t>http://www.plana.earth</t>
  </si>
  <si>
    <t>Jane Clark Psychotherapy</t>
  </si>
  <si>
    <t>This Is the Guy Who’s Taking Away the Likes  #socialmedia #psychology #psychologytoday #mentalhealth #thinking #behaviour #LIKEs #n5psychotherapy #n5counselling #bloomsbury</t>
  </si>
  <si>
    <t>https://nyti.ms/2RrLXUH</t>
  </si>
  <si>
    <t>Psychodynamic Counsellor and Psychotherapist.</t>
  </si>
  <si>
    <t>http://www.janeclarkpsychotherapy.co.uk</t>
  </si>
  <si>
    <t>United for Global Mental Health</t>
  </si>
  <si>
    <t>Protecting youth #mentalhealth is one of our generation’s greatest challenges. Read how young people are leading the way with free peer counselling from @GlobalShapers &amp; @gospeakyourmind supporter Fatima:  #TimeToInvest #WEF2020 #wef20 @globalshapersc</t>
  </si>
  <si>
    <t>http://weforum.org/agenda/2020/01/the-gift-of-mental-health-how-to-offer-it-for-free</t>
  </si>
  <si>
    <t>Everyone, everywhere should have someone to turn to in support of their mental health #TimeToInvest #SpeakYourMind</t>
  </si>
  <si>
    <t>http://unitedgmh.org</t>
  </si>
  <si>
    <t>Philippa Cates</t>
  </si>
  <si>
    <t>Excited to have been selected for the @REDJanuaryUK and @UniofOxford research study with @mscwheatley on #exercise and #mentalhealth. Such an important topic and one very close to home 🙂</t>
  </si>
  <si>
    <t>Mum. Run. Write. Author: The Marathon https://philippa-cates.my-online.store Ran VLM2019 (3:14:36) and VLM2017 (3:19:28) for Diabetes UK</t>
  </si>
  <si>
    <t>http://www.philippacates.com</t>
  </si>
  <si>
    <t>1Clearhead</t>
  </si>
  <si>
    <t>A great day to #JustBe. SIT.. BREATHE.. LIVE.. #SelfCare #mentalhealth #NeverGiveUp</t>
  </si>
  <si>
    <t>https://pbs.twimg.com/media/EOjlxtOX0AAMkdu.jpg</t>
  </si>
  <si>
    <t>Cheshire, England</t>
  </si>
  <si>
    <t>What's going on in your head? Nobody needs to suffer. Take #TimetoTalk, use #Mindfulness or find something here that works for you. ..Founder 👉@HenshallM.</t>
  </si>
  <si>
    <t>Carer Support Dorset</t>
  </si>
  <si>
    <t>Some caring responsibilities aren’t always apparent to those looking in and can sometimes remain hidden because of stigma and lack of understanding. If you look after someone with a #mentalhealth problem it can be hard, but you are not alone.</t>
  </si>
  <si>
    <t>https://lght.ly/86k1c0</t>
  </si>
  <si>
    <t>https://pbs.twimg.com/media/EOjlTIlW4AAmcQJ.jpg</t>
  </si>
  <si>
    <t>Dorset, UK</t>
  </si>
  <si>
    <t>We are here to help unpaid carers with information, advice and guidance in #Dorset. Please contact us to find out how we can help you. ☎️ 0800 368 8349.</t>
  </si>
  <si>
    <t>http://www.carersupportdorset.co.uk</t>
  </si>
  <si>
    <t>Jillian Bullock</t>
  </si>
  <si>
    <t>Happy and excited to announce that my movie A Sense of Purpose: Fighting For Our Lives will be available on VOD in April for all to rent or purchase. Stay tuned for more info. #ASOPmovie #veterans #PTSD #mentalhealth #armedforces</t>
  </si>
  <si>
    <t>https://pbs.twimg.com/media/EOjlBCUWsAI4rk8.jpg</t>
  </si>
  <si>
    <t>Philadelphia</t>
  </si>
  <si>
    <t>Author, Speaker, Award Winning Filmmaker, Fitness &amp; Health Expert</t>
  </si>
  <si>
    <t>http://www.jbullockenterprises.com</t>
  </si>
  <si>
    <t>Professor Jason Byrne</t>
  </si>
  <si>
    <t>Does the loss of #suburban #backyards heighten the risk of poor #mentalhealth and ecological decline?</t>
  </si>
  <si>
    <t>https://www.theaustralian.com.au/inquirer/beyond-our-suburban-backyard/news-story/c570b8a3ec036efb221af5cd21e24948</t>
  </si>
  <si>
    <t>Hobart, Tasmania, Australia</t>
  </si>
  <si>
    <t>Professor Geography + Planning: idealist, cities + environmental/ecological justice, practising human. Views mine. RT not endorsement</t>
  </si>
  <si>
    <t>#ShamelessSelfpromoSaturday 'Lost in Life' a #truestory of #mentalhealth  #writing #WritingCommunity #BookBoost #bookblast #BookBuzzr #IARTG #indiebooks #IndieBooksBeSeen #indiebookpromo #kindle #KindleUnlimited #kindledeals #KindleBooks #ebook #ebooks</t>
  </si>
  <si>
    <t>https://amzn.to/2OhWK5J</t>
  </si>
  <si>
    <t>https://pbs.twimg.com/media/EOjkvl2W4AE3ZLf.jpg</t>
  </si>
  <si>
    <t>What Makes You Tick Podcast</t>
  </si>
  <si>
    <t>Episode 2 is now live. I’m excited to release this episode and get the chance to share this experience with @CiaranRuddockPT. Enjoy #friendship #growthmindset #learning #building #whatmakesyoutick #mentalhealth…</t>
  </si>
  <si>
    <t>https://www.instagram.com/p/B7dQPIPHWNX/?igshid=1y04guwrs5t3f</t>
  </si>
  <si>
    <t>Founder &amp; host of the What Makes You Tick podcast | Adventure seeker | sports fan | Here to listen and learn | Happy to help</t>
  </si>
  <si>
    <t>http://whatmakesyoutick.net</t>
  </si>
  <si>
    <t>Cara Finegan @Carabbelle</t>
  </si>
  <si>
    <t>Let's give Saturday a positive mental attitude. #SaturdayMotivation #weekend #positivemindset #mentalhealth</t>
  </si>
  <si>
    <t>https://pbs.twimg.com/media/EOjkvg-WsAAr8XI.jpg</t>
  </si>
  <si>
    <t>Newry, co.Down</t>
  </si>
  <si>
    <t>#Writer, #travel enthusiast, lover of all things #burlesque. Also a craic dealer &amp; #collector of weirdos. Author of #AWomansWord available on #Amazon. #IDWP</t>
  </si>
  <si>
    <t>YoungEpilepsyStaffs</t>
  </si>
  <si>
    <t>My story too.... #mentalhealth RT @youngepilepsy: “When your body is trying to control you, running is the way to take back that control.” Ellie-May turned her life around after her diagnosis, taking control in a positive way and focusing on her happy place, which is running.</t>
  </si>
  <si>
    <t>https://twitter.com/youngepilepsy/status/1218111722806022144
https://www.bbc.co.uk/news/av/newsbeat-51128399/running-stories-epilepsy-was-a-blessing-in-disguise</t>
  </si>
  <si>
    <t>I believe we can feel better simply by being in #nature. #Gaia is a great teacher &amp; healer. She reminds us of who we are underneath the stress of modern life. She shows us what's truly important. Nature is a gentle miracle. Go outside &amp;amp; breathe today. #mindfulness #mentalhealth</t>
  </si>
  <si>
    <t>https://pbs.twimg.com/media/EOjkdbpU4AAGfv5.jpg</t>
  </si>
  <si>
    <t>Jonathan Mace</t>
  </si>
  <si>
    <t>The importance of ‘letting go’ and shifting the focus away from academic results being the sole focus of education. Important and useful pointers to help build resilience and independence in young people. @thetimes #education #wellbeing #mentalhealth</t>
  </si>
  <si>
    <t>https://pbs.twimg.com/media/EOjkV-3X4AAxsfD.jpg</t>
  </si>
  <si>
    <t>Cheltenham, England</t>
  </si>
  <si>
    <t>Housemaster. Character Education. Developing character based educational leaders course with The Oxford Character Project. Reading. Golf. Views are my own</t>
  </si>
  <si>
    <t>amanda benstead</t>
  </si>
  <si>
    <t>So glad to be in a completely different place mentally than I was a year ago #gettingstronger #selfcare #mentalhealth #fertility</t>
  </si>
  <si>
    <t>pic.twitter.com/ByaExqDmFx</t>
  </si>
  <si>
    <t>i ❤️ books. i ❤️ swallows, skulls, polka dots and stars. i like music &amp; wine, tv, cooking &amp; reading and im married to the most amazing man...</t>
  </si>
  <si>
    <t>FPLTIPZ</t>
  </si>
  <si>
    <t>Hi Everyone, As someone who has personally struggled with mental health, as always my DMs are open to FPL or if you just want a chat about anything. Please do not suffer in silence ❤️ How are you feeling? #MentalHealth</t>
  </si>
  <si>
    <t>Massive FPL player! Tweet me questions! (OR last 3 years: 10k😎, 700k😡, 14k👍) Chelsea fan 💙 FB all FT - Writer for @fpl_updates 📖 - Weekly YouTube streams!</t>
  </si>
  <si>
    <t>https://www.youtube.com/channel/UCcPWnCj5AKC19HaySZjb25g</t>
  </si>
  <si>
    <t>#mentalhealth #wellbeing Please retweet?</t>
  </si>
  <si>
    <t>https://pbs.twimg.com/media/EOjkHLDWkAcNuU0.jpg</t>
  </si>
  <si>
    <t>Eamonn</t>
  </si>
  <si>
    <t>Full House last night in @roisindubhpub for the wonderful @firstfortnight Frightened Rabbit Revisited. Fantastic line up with @dylanmurphymakesmusic @midehoulihan @theyoungfolkofficial @paddyhannamusic @fields__music #FFFest20 #mentalhealth #conversation @FRabbits</t>
  </si>
  <si>
    <t>https://pbs.twimg.com/media/EOjkEYiWsAAwzb7.jpg</t>
  </si>
  <si>
    <t>Raumdeuter - JFT96 LFC for life. First Fortnight volunteer, Galway Autism Partnership, Galway 2020 and See Change. #J4G</t>
  </si>
  <si>
    <t>Gus mckechnie</t>
  </si>
  <si>
    <t>An icy but beautiful morning for another busy @Sotonparkrun @REDJanuaryUK day 18 @BBCSouthWeather #bbcsouthweather @OSleisure #getoutside #mentalhealth @ABPMarathon #cerebralpalsy</t>
  </si>
  <si>
    <t>https://pbs.twimg.com/media/EOjjpyRWsAA5RLN.jpg</t>
  </si>
  <si>
    <t>Southampton/Solent</t>
  </si>
  <si>
    <t>#cycling #rowing #trekking I have #cerebral #palsy I'm a @Ordnancesurvey #getoutside champion for 2017,2018 &amp; 2019</t>
  </si>
  <si>
    <t>http://www.virginmoneygiving.com/gusbus</t>
  </si>
  <si>
    <t>A Guide to Creating Clear-Cut #Goals - Mind Cafe - Medium #medium #lifelessons #motivation #mentalhealth #goalsetting #psychology #life #inspiration #lifegoals #wisdom #success #lifestyle #dreams #wellbeing #mindfulness #anxiety #health #happiness</t>
  </si>
  <si>
    <t>https://medium.com/mind-cafe/a-guide-to-creating-clear-cut-goals-610bfb88d83a</t>
  </si>
  <si>
    <t>Make the decision today to open up that conversation. I have mh problems relating to everything that has happened, but I sought help and am in therapy and under a psychiatrist. Things that happen are not your choice, but recovery is #mentalhealth #SaturdayMotivation #Veterans</t>
  </si>
  <si>
    <t>https://pbs.twimg.com/media/EOjjnhdXkAIrQD3.jpg</t>
  </si>
  <si>
    <t>Ahmad</t>
  </si>
  <si>
    <t>Feedback from a teaching session on discussions with patients who are offered informal admissions to mental health units @NelftMedEd based on audit project with @hughg_p at Homerton Psychological Medicine. #MedEd #Psychiatry #mentalhealth #nelft #elft</t>
  </si>
  <si>
    <t>https://pbs.twimg.com/media/EOjjgVoWoAAd6wF.jpg</t>
  </si>
  <si>
    <t>Egyptian Psychiatrist in the NHS. NELFT Fellow of Medical Education. Honorary Research Fellow at QMUL Centre for Psychiatry.</t>
  </si>
  <si>
    <t>Pete Quinn</t>
  </si>
  <si>
    <t>Great week starting with @DerwentCollege then working for Student Minds with Student Housing provider @ChapterLondon, ioda Ltd and Durham University on delivering #MentalHealth #Training #Coaching #Strategy. Made some exciting new links and looking forwar…</t>
  </si>
  <si>
    <t>https://lnkd.in/ekN8Hnc</t>
  </si>
  <si>
    <t>York, England</t>
  </si>
  <si>
    <t>Consultant to UK &amp; HK Unis/FE.Ex Ox Uni &amp; Uni of York. My views on equality / disability / well-being / transition. + running. Contact me to collaborate. 😃</t>
  </si>
  <si>
    <t>https://uk.linkedin.com/in/pete-quinn-9a11b73</t>
  </si>
  <si>
    <t>January can be a hard time, trying to recover from spending more money then usual at Christmas. If you need advice on managing money, getting out of debt or repaying loans, visit @citizensadvice  #MoneyManagement #DebtAdvice #MentalHealth</t>
  </si>
  <si>
    <t>http://socsi.in/RQaOV</t>
  </si>
  <si>
    <t>https://pbs.twimg.com/media/EOjjFmaXkAEWzPu.jpg</t>
  </si>
  <si>
    <t>Life Works Community</t>
  </si>
  <si>
    <t>We all have days when we over-indulge, however regular over-eating is a serious medical condition and is classed as an eating disorder. Find out more facts about binge eating:  #eatingdisorder #mentalhealth #overeating</t>
  </si>
  <si>
    <t>http://ow.ly/6ycb50xWQTM</t>
  </si>
  <si>
    <t>https://pbs.twimg.com/media/EOjjARYXUAIhYpV.jpg</t>
  </si>
  <si>
    <t>One of the leading private rehabilitation centres in Europe, offering treatment for drug &amp; alcohol addiction and eating disorders. Enquiries call: 01483 745066</t>
  </si>
  <si>
    <t>https://www.lifeworkscommunity.com/</t>
  </si>
  <si>
    <t>Love the quote which accompanied this image: "If we all have mental health, then shouldn't we all learn about it?" A great concept which we wholeheartedly agree with - as we continue to work hard in #Maidstone to promote #MentalHealth awareness.</t>
  </si>
  <si>
    <t>https://pbs.twimg.com/media/EOji9L4X4AAEfme.jpg</t>
  </si>
  <si>
    <t>SPORTSIDE</t>
  </si>
  <si>
    <t>Studies found teenagers who play sports are happier, feel healthier and are more fulfilled by life. This shows sport is more than about physical health - it improves your mental, social and psychological health. #beactive #health #mentalhealth #fitness</t>
  </si>
  <si>
    <t>http://ow.ly/HTEU50xXSKL</t>
  </si>
  <si>
    <t>The Global Local Sports Club Sportside app available for iOS and Android</t>
  </si>
  <si>
    <t>http://www.sportsidehq.com</t>
  </si>
  <si>
    <t>dr.jenkinsunts</t>
  </si>
  <si>
    <t>#REDJanuary2020 Day 18 done!! A very crisp but enjoyable Penistone #parkrun. Just looked at my Strava and noticed I’d done day 15 and day 16 twice so feels like a win that I noticed it’s the 18th 🤣 #selfcare #Wellbeing #mentalhealth</t>
  </si>
  <si>
    <t>https://pbs.twimg.com/media/EOji52UW4AAh0be.jpg</t>
  </si>
  <si>
    <t>Sweatshirt wearing, dice rolling geek-Mum extraordinaire.</t>
  </si>
  <si>
    <t>http://drjenkinsunts.wordpress.com</t>
  </si>
  <si>
    <t>Labmate</t>
  </si>
  <si>
    <t>In the third installment of our #science in the 2010's recap we discuss how #neuroscience made headlines 🧠. From new insights into #Alzheimers to exploring addictive behaviours 👉 . Catch our fourth installment tomorrow. #neurology #mentalhealth #dementia</t>
  </si>
  <si>
    <t>https://www.labmate-online.com/news/news-and-views/5/breaking-news/science-in-the-2010s-neuroscience/51045</t>
  </si>
  <si>
    <t>pic.twitter.com/xerUc2VAPd</t>
  </si>
  <si>
    <t>#Labmate // Latest #science news, views &amp; fun stories - inc. #chemistry, #medicine, cool laboratory #tech &amp; more! 👩‍🔬</t>
  </si>
  <si>
    <t>http://www.labmate-online.com</t>
  </si>
  <si>
    <t>Charlie Waller Memorial Trust</t>
  </si>
  <si>
    <t>Why not check in with your loved ones today to see how they are doing? #WinnieThePoohDay 🍯 “I don’t feel very much like Pooh today," said Pooh. "There there," said Piglet. "I’ll bring you tea and honey until you do.” #mentalhealth #wellbeing</t>
  </si>
  <si>
    <t>Join our #RunForWellbeing campaign! We're a #mentalhealth education charity training schools, colleges, universities and workplaces. IG: charliewalleruk</t>
  </si>
  <si>
    <t>http://www.cwmt.org.uk</t>
  </si>
  <si>
    <t>NHS B'ham &amp; Solihull CCG</t>
  </si>
  <si>
    <t>We have secured a boost for services supporting people of all ages with mental ill-health across #Birmingham and #Solihull. Learn more here:  #MentalHealth</t>
  </si>
  <si>
    <t>https://bit.ly/3aomzIj</t>
  </si>
  <si>
    <t>https://pbs.twimg.com/media/EOji2-YXsAU4r0y.jpg</t>
  </si>
  <si>
    <t>NHS Birmingham and Solihull CCG became the largest CCG in England on 1 April 2018. We commission health services for 1.3m people. Open 9-am-5pm, Mon-Fri.</t>
  </si>
  <si>
    <t>http://www.birminghamandsolihullccg.nhs.uk</t>
  </si>
  <si>
    <t>SilverCloudHealth</t>
  </si>
  <si>
    <t>"Raising awareness of mental health issues and reducing the stigma surrounding conversations about our #mentalhealth is key to improving mental health in all communities.” - Ben Krysiak, Business Director from @Trent_PTS. Read more about this campaign:</t>
  </si>
  <si>
    <t>https://hubs.ly/H0mDxh20</t>
  </si>
  <si>
    <t>https://pbs.twimg.com/media/EOji1BAW4AEtyVC.jpg</t>
  </si>
  <si>
    <t>USA, UK, IRL</t>
  </si>
  <si>
    <t>A global leader in online behavioural health #mentalhealth and #wellness solutions. #depression #anxiety #stress</t>
  </si>
  <si>
    <t>http://www.SilverCloudHealth.com</t>
  </si>
  <si>
    <t>#S.Q.U.U.A.D</t>
  </si>
  <si>
    <t>Women Empowerment: Self- Care Workshop.... Spaces are limited....Come out and support! #selfcare #Mentalhealth #womenempowerment #Communism #SanDiego #workshop #visionboard</t>
  </si>
  <si>
    <t>https://pbs.twimg.com/media/EOjiszaVAAAMw6y.jpg</t>
  </si>
  <si>
    <t>Strength-In: Quality, Uniqueness, Unity And Determination</t>
  </si>
  <si>
    <t>http://www.squuad.org</t>
  </si>
  <si>
    <t>ÓDúláinne</t>
  </si>
  <si>
    <t>#mentalhealth take care and be #PositiveVibes 😁</t>
  </si>
  <si>
    <t>https://pbs.twimg.com/media/EOjimchX0AEk2ai.jpg</t>
  </si>
  <si>
    <t>#Bucko for all Seasons - sharing views - Tunes, travel, trivia, tittys, theology, technology, trends, theatre, theories, tools, tipples &amp; the table........</t>
  </si>
  <si>
    <t>Ian Burns</t>
  </si>
  <si>
    <t>So in it's first week, the Straight Outta #Crosby podcast has reached 20 people. Doesn't sound like a huge number but to me it is as even 1 would be huge too! Thank you everyone @CrosbyOutta #podcast #wellness #lifestyle #mentalhealth #gym</t>
  </si>
  <si>
    <t>Find us on fb and Instagram if you suffer from mental illness its nothing to hide from be open and honest... Join us #mentalhealth #MentalHealthMatters #Wellbeing #help #wellbeingmatters</t>
  </si>
  <si>
    <t>https://pbs.twimg.com/media/EOjimAIX0AA_-Nz.jpg</t>
  </si>
  <si>
    <t>Ayomide Ishola</t>
  </si>
  <si>
    <t>Press play ▶️ Hey handsome, Hey beautiful. #Anticipate January 27, 2020 📌 Talks, stories, rants &amp; tips on mental health, tech, lifestyle &amp;amp; more. 📌How about a retweet 📩: helloworldpodcasts@gmail.com Follow @HWpodcasts #helloworldpodcasts #techtalk #mentalhealth #lifestyle</t>
  </si>
  <si>
    <t>pic.twitter.com/nS9B0M8cKK</t>
  </si>
  <si>
    <t>Tech person || Product person || Customer Support || Dark and Lovely Ambassador || Chop life ambassador || Hair Stylist || Food lover: Food is bae nitori Olorun</t>
  </si>
  <si>
    <t>Joanna Mason</t>
  </si>
  <si>
    <t>The time to RELAX is when you don’t have time to do it.  #lavidayogauk #yoga #yogalove #yogalife #yogainspiration #meditation #yogaquotes #meditationtime #meditationspace #fitness #yogapositions #positionoftheday #mentalhealth #mentalhealthrecovery</t>
  </si>
  <si>
    <t>http://lavidayogauk.net</t>
  </si>
  <si>
    <t>https://pbs.twimg.com/media/EOjhuTZXsAInH2L.jpg</t>
  </si>
  <si>
    <t>I'm really excited to welcome you to Ulverston's only yoga studio, right in the heart of the town.</t>
  </si>
  <si>
    <t>Sabine French</t>
  </si>
  <si>
    <t>Mental illness is real. It won’t just disappear, you can’t pray it or hope that your loved gets over it. SIP #mentalillness PS #nypd should have a #mentalhealth crisis unit.</t>
  </si>
  <si>
    <t>https://trib.al/rAE0G26</t>
  </si>
  <si>
    <t>Queens Borough Advocate @NYCPA Views and Opinions are Strictly my own #talkaboutit 👑🖤☮️💯🗳</t>
  </si>
  <si>
    <t>https://m.facebook.com/TalkAboutItSF/</t>
  </si>
  <si>
    <t>Nicole 🌌🌙</t>
  </si>
  <si>
    <t>I'm electing to return to the gym today after a hiatus from running. Boy, I actually miss regularly being on the treadmill 🏃🏻‍♀️👣 #mentalhealth #recovery #running #WeGotThis #ldnont #ontario #canada #selfcare #SaturdayVibes #weekendmood</t>
  </si>
  <si>
    <t>London, Ontario</t>
  </si>
  <si>
    <t>20/Finding my happy place 🌸 Becoming healthy again #Ldnont 🇨🇦 #mentalhealth #recovery</t>
  </si>
  <si>
    <t>Dr Simon Lewis</t>
  </si>
  <si>
    <t>Moving to my new job with @CTCpsych has reinvigorated my passion and deep interest in the field of developmental and relational trauma. I’m reconnecting to simple concepts such as ‘feeling safe IS the therapy’. Nice to be thirsty to read again #mentalhealth #psychology</t>
  </si>
  <si>
    <t>https://pbs.twimg.com/media/EOjhfnXWkAAtccI.jpg</t>
  </si>
  <si>
    <t xml:space="preserve">Liverpool </t>
  </si>
  <si>
    <t>Consultant Clinical Psychologist &amp; Expert Witness: passionate about children, young people &amp; families’ mental health (esp. complex trauma) - all views my own</t>
  </si>
  <si>
    <t>https://ctcps.co.uk/</t>
  </si>
  <si>
    <t>Hello World Podcasts</t>
  </si>
  <si>
    <t>pic.twitter.com/jtCnb0d4AD</t>
  </si>
  <si>
    <t>Talks, stories, rants &amp; tips on mental health, tech, lifestyle &amp; more || Connect and share || #helloworldpodcasts || 📩:helloworldpodcasts@gmail.com</t>
  </si>
  <si>
    <t>Lovinglife</t>
  </si>
  <si>
    <t>It's so important to look after yourself❤️ Do something everyday for you❤️ don't be hard on yourself❤️ remember mental health is just as important as physical health❤️ #selfcare #mentalhealth #lookafteryou #bekindtoyourself #SaturdayThoughts #positivethinking</t>
  </si>
  <si>
    <t>https://pbs.twimg.com/media/EOjg4hjW4AEsmUO.jpg</t>
  </si>
  <si>
    <t>Traveling❤️.. Zumba❤️..Movies❤️.. Friends/family ❤️ Food❤️..Living life to the fullest❤️</t>
  </si>
  <si>
    <t>The Brain Collective</t>
  </si>
  <si>
    <t>Look after your #MentalHealth and make it a priority if you feel overwhelmed, anxious, depressed or if you see signs in a loved one.</t>
  </si>
  <si>
    <t>https://qoo.ly/33whpj</t>
  </si>
  <si>
    <t>Harrogate, England</t>
  </si>
  <si>
    <t>The official page for The Brain Collective based in Harrogate. Neurotherapy technology which identifies correct brain dysregulation and improve flexibility.</t>
  </si>
  <si>
    <t>http://www.thebraincollective.c.uk</t>
  </si>
  <si>
    <t>Life isn't about what you have but what you have to give. #mentalhealth #mindfulness #wellness #psychology #health #houston</t>
  </si>
  <si>
    <t>Quietplace</t>
  </si>
  <si>
    <t>You can help your friends and loved ones facing one form of everyday challenges or the other by referring them to professionals. #depression #MentalHealthMatters #anxiety #psychotherapy #mentalhealth</t>
  </si>
  <si>
    <t>https://pbs.twimg.com/media/EOjf305XkAAp2ej.jpg</t>
  </si>
  <si>
    <t>Quietplace is a virtual based mental health service that provides support for mild to moderate psychological and psychiatric illnesses Contact us:+2349062230543</t>
  </si>
  <si>
    <t>https://bit.ly/2AX1TXa</t>
  </si>
  <si>
    <t>Todays stream will be a special one along with gaming we will be talking #mentalhealth. Check our upcoming post for the start time and come join the chat. #smallstreamer #twitchtv #streamer #SmallStreamersConnect #SmallStreamerCommunity #youtube #depression #MentalHealthMatters</t>
  </si>
  <si>
    <t>pic.twitter.com/KXE0J9nPb6</t>
  </si>
  <si>
    <t>Keith Kelly</t>
  </si>
  <si>
    <t>#J4G #JumpersForGoalposts #Mentalhealth If you fancy a bitta excercise, connecting with others, havin a laugh, a kick about, there's an old-school game a ball on in Fahy's Field, Eamon Moloney will give you a warm welcome. C'mon #LetsKickItTogether @dubscouse @MervueUnitedAFC</t>
  </si>
  <si>
    <t>https://pbs.twimg.com/media/EOjfcrhWkAA6ced.jpg</t>
  </si>
  <si>
    <t>Dun Laoghaire-Rathdown, Irelan</t>
  </si>
  <si>
    <t>#Ska #Rudeboy #Arsenal #J4G #JumpersForGoalposts #MentalHealthCampaigner #WrapFacilitator #80smusic #Community #Dogs #SuicidePrevention</t>
  </si>
  <si>
    <t>http://www.jumpersforgoalposts.ie</t>
  </si>
  <si>
    <t>thoughtswithN💜||motivation.fitness.self-love||</t>
  </si>
  <si>
    <t>"Every scar I saw in the reflection was screaming at me."  #mentalhealth #mentalhealthawareness @thebloggerspost</t>
  </si>
  <si>
    <t>https://thoughtswithn.com/20-years-of-hate/</t>
  </si>
  <si>
    <t>#motivation and #selflove #mentalhealth and #blogging</t>
  </si>
  <si>
    <t>http://www.thoughtswithn.com</t>
  </si>
  <si>
    <t>DADS IN MIND</t>
  </si>
  <si>
    <t>Pleased to see more awareness of the need for further support &amp; services for dads’ mental health and grateful to our funders @stjohns1174 &amp;amp; others who make @DADSINMIND possible. Much more still to do for all partners #dads #mentalhealth RT @BluebellCare: Call for all new fathers to be routinely checked for post-natal depression | UK News | Sky News ⁦@sashabarber41⁩ ⁦@DADSINMIND⁩ talking about how much needs to be done &amp;amp; the support provided by ⁦@DADSINMIND⁩ #dads #mentalhealth</t>
  </si>
  <si>
    <t>https://twitter.com/BluebellCare/status/1218467217320353792
https://news.sky.com/story/call-for-all-new-fathers-to-be-routinely-checked-for-post-natal-depression-11911277</t>
  </si>
  <si>
    <t>Bristol, Bath, Devon England</t>
  </si>
  <si>
    <t>Providing group &amp; 1-2-1 support for dads experiencing mental health concerns related to pregnancy &amp; birth or supporting their partner (part of @bluebellcare)</t>
  </si>
  <si>
    <t>https://www.facebook.com/DADSINMIND/</t>
  </si>
  <si>
    <t>Dr. Linda Berman</t>
  </si>
  <si>
    <t>“The sky is filled with stars, invisible by day.” Henry Wadsworth Longfellow #stars #shine #darkness #mentalhealth #poetrycommunity #Poetry_Planet #AcademicTwitter</t>
  </si>
  <si>
    <t>https://pbs.twimg.com/media/EOjfX3eXkAAyILm.jpg</t>
  </si>
  <si>
    <t xml:space="preserve">Manchester, UK. </t>
  </si>
  <si>
    <t>Psychotherapist,artist,writer. Author ’Beyond the Smile:the Therapeutic Use of the Photograph.’Blog: http://waysofthinking.co.uk - about therapy,relationships,life.</t>
  </si>
  <si>
    <t>http://waysofthinking.co.uk</t>
  </si>
  <si>
    <t>Performance Poet</t>
  </si>
  <si>
    <t>Catch ya later look after your #mentalhealth today x</t>
  </si>
  <si>
    <t>Artist trying to help others. Motivational Speaker #Poetry &amp; #TheTao saved my life. #Humanrights are 4 all not some. Fight for the voiceless until it changes.</t>
  </si>
  <si>
    <t>SaraJazz</t>
  </si>
  <si>
    <t>This time some real talks. Talking about the recent drama on Twitch and YouTube. Some thoughts on mental health. But also jokes. Enjoy and sub to my YouTube channel! #mentalhealth #jenna #alinity #cancelculture #whiteknight #simp #hater #drama #youtuber</t>
  </si>
  <si>
    <t>https://www.youtube.com/watch?v=-ukExpW5F9k</t>
  </si>
  <si>
    <t>Germany</t>
  </si>
  <si>
    <t>Musician and Twitch Variety Streamer. Music, Comedy, Gaming (EN/PT/DE) http://twitch.tv/sarajazz</t>
  </si>
  <si>
    <t>http://www.twitch.tv/sarajazz</t>
  </si>
  <si>
    <t>𝙎𝙠𝙚𝙩𝙘𝙝𝙗𝙤𝙤𝙠, 𝙈.𝘿. 📜🖋</t>
  </si>
  <si>
    <t>Sad Persons scale for assessing #suicide risk. #psychiatry #BehavioralScience #mentalhealth #sketchnote #quickreview #meded #cme #foam #foamed #foamcc #foamems #foam4gp #nursing #emergencymedicine #criticalcare #nursetwitter #USMLE #LITFL #medtwitter #medstudenttwitter</t>
  </si>
  <si>
    <t>https://pbs.twimg.com/media/EOjerX5WoAAloa9.jpg</t>
  </si>
  <si>
    <t>🇪🇺🇪🇸🇵🇪</t>
  </si>
  <si>
    <t>Family phys || EM phys || Illustrator, illustrations || Jazz lover || Instagram: doctorsketchbook || #FOAM #CME #FOAMed #FOAMems #FOAMcc</t>
  </si>
  <si>
    <t>http://www.sketchbookmd.com</t>
  </si>
  <si>
    <t>Horse Time</t>
  </si>
  <si>
    <t>"𝘞𝘩𝘦𝘯 𝘵𝘩𝘦 𝘥𝘢𝘳𝘬 𝘤𝘭𝘰𝘶𝘥𝘴 𝘤𝘰𝘮𝘦... ...𝘬𝘦𝘦𝘱 𝘨𝘰𝘪𝘯𝘨." Keep going. Have a fantastic weekend everybody Artist: Charlie Mackesy #horsetime #horseshelpinghumans #equinetherapy #littleswinton #mentalhealth #alternativetherapy #charliemackesy</t>
  </si>
  <si>
    <t>https://pbs.twimg.com/media/EOjenrgWsAAok3R.jpg</t>
  </si>
  <si>
    <t>Scottish Borders</t>
  </si>
  <si>
    <t>Horse Time Charity harnesses the psychological and emotional benefits of working in partnership with horses.</t>
  </si>
  <si>
    <t>http://www.horsetime.org.uk</t>
  </si>
  <si>
    <t>Mark  Logie</t>
  </si>
  <si>
    <t>One of the benefits of #magnesium is its ability to help cope with #stress, so this goes to show the importance of diet to, amongst many other things, #mentalHealth. #MentalIllness #MentalHealthMatters #nutrition #food RT @mercola: Here are foods that are rich in Magnesium!</t>
  </si>
  <si>
    <t>https://twitter.com/mercola/status/1218292219901284352</t>
  </si>
  <si>
    <t>https://pbs.twimg.com/media/EOg-UL1W4AgVh_Q.jpg</t>
  </si>
  <si>
    <t>London, United Kingdom</t>
  </si>
  <si>
    <t>Poet for adults, novelist for young adults. Obsessive, independent-minded thinker with particular interest in health, farming &amp; environmental issues.</t>
  </si>
  <si>
    <t>http://www.abctales.com/user/markihlogie</t>
  </si>
  <si>
    <t>Ryan Shorthouse</t>
  </si>
  <si>
    <t>🎧 New @WeAreBrightBlue podcast In this Heads Apart?, we ask: “Should we be worried about social media?” 🎙 Guest speakers: @ChildrensComm &amp; Professor Andy Phippen 👂 Listen here 👉🏻  #podcast #mentalhealth #socialmedia #children #conservatives</t>
  </si>
  <si>
    <t>https://brightblue.org.uk/social-media-podcast-2020/</t>
  </si>
  <si>
    <t>Founder &amp; CEO, @WeAreBrightBlue | Senior Visiting Fellow, King's College London | Former Policy Adviser, Conservatives | Trustee, Early Intervention Foundation</t>
  </si>
  <si>
    <t>http://ryanshorthouse.com</t>
  </si>
  <si>
    <t>Active Nation</t>
  </si>
  <si>
    <t>As well as the safety aspects of learning how to swim, swimming has great benefits for physical and #MentalHealth. It can improve your heart &amp; lung health, flexibility &amp;amp; strength, and balance &amp;amp; posture too.🏊‍♂️ 👉 #SwimmingLessons #SwimmingClasses #Swimming</t>
  </si>
  <si>
    <t>https://bit.ly/2Hf8gJ7</t>
  </si>
  <si>
    <t>https://pbs.twimg.com/media/EOjeQeKWAAIaL0P.jpg</t>
  </si>
  <si>
    <t>A national #charity campaigning to raise awareness of the benefits of physical activity in preventing and managing over 20 chronic diseases. #fitness #health</t>
  </si>
  <si>
    <t>http://www.activenation.org.uk</t>
  </si>
  <si>
    <t>Carts</t>
  </si>
  <si>
    <t>Hard run after being ill! Plus that was a cold one, slippery under foot &amp; a different track to normal! 5 hills instead of the usual 3 🤪🏃🏼‍♀️⁦@parkrunUK⁩ #fitness #mumsthatrun #run #health #mentalhealth</t>
  </si>
  <si>
    <t>https://pbs.twimg.com/media/EOjd-p5XUAEa0tF.jpg</t>
  </si>
  <si>
    <t>Billericay, England</t>
  </si>
  <si>
    <t>'Keep smiling because life is a beautiful thing and there's lots to smile about''</t>
  </si>
  <si>
    <t>Resilience Revolution - HeadStart Blackpool</t>
  </si>
  <si>
    <t>Come &amp; meet #Blackpool Youth Voice Network members &amp;amp; join us at the launch of the youth led #iAmCampaign focusing on #mentalhealth awareness 👇 THIS Monday (20th) 3 - 4.30pm St Johns Square RT @blackpoolyc: **REVISED TIME** Come see us for the launch of the #iAmCampaign on the Chatty Bus at St Johns Square in Blackpool! Focussing on #mentalhealth awareness!</t>
  </si>
  <si>
    <t>https://twitter.com/blackpoolyc/status/1218200877120573444</t>
  </si>
  <si>
    <t>https://pbs.twimg.com/media/EOfrPBSW4AAbtBy.jpg</t>
  </si>
  <si>
    <t>Blackpool, England</t>
  </si>
  <si>
    <t>Bpool's YP are leading a #resiliencerevolution A whole town approach to address the inequalities impacting on mental health. "beat the odds &amp; change the odds"</t>
  </si>
  <si>
    <t>http://www.rrblackpool.org.uk</t>
  </si>
  <si>
    <t>https://pbs.twimg.com/media/EOjdztjW4AEWceZ.jpg</t>
  </si>
  <si>
    <t>Bluebell Care</t>
  </si>
  <si>
    <t>Call for all new fathers to be routinely checked for post-natal depression | UK News | Sky News ⁦@sashabarber41⁩ ⁦@DADSINMIND⁩ talking about how much needs to be done &amp; the support provided by ⁦@DADSINMIND⁩ #dads #mentalhealth</t>
  </si>
  <si>
    <t>Bristol, S Devon, SGlos, B&amp;NES</t>
  </si>
  <si>
    <t>Charity providing perinatal mental health support in Bristol, S Glos, Bath &amp; NE Somerset &amp; S Devon. Bluebell Place wellbeing hub, @DadsinMind @Lbluebelldevon</t>
  </si>
  <si>
    <t>http://www.bluebellcare.org</t>
  </si>
  <si>
    <t>this is how to show a loved one you care: How can I best support you right now? #mentalhealth #depression</t>
  </si>
  <si>
    <t>Mfon Etuk</t>
  </si>
  <si>
    <t>Show some love today... . . #counseling #therapy #helpishere #wecare #counselors #empathy #youarenotalone #talktherapy #mentalhealth #emotion #gethelp #forgiven #give #love #me_counselling</t>
  </si>
  <si>
    <t>https://www.instagram.com/p/B7dMhd_A6IZ/?igshid=19aj36xjzsutl</t>
  </si>
  <si>
    <t>A Husband, Father, Professional Counselor, Real Estate Consultant and Telecommunication Professional.</t>
  </si>
  <si>
    <t>My Health Africa</t>
  </si>
  <si>
    <t>If you are struggling with extreme stress and anxiety, you may want to see a mental health specialist. Visit  to book an appointment with a qualified psychologist @Oasishealth_ #mentalhealth #healthcare</t>
  </si>
  <si>
    <t>http://www.myhealthafrica.com</t>
  </si>
  <si>
    <t>https://pbs.twimg.com/media/EOjdShBW4AAy4jW.jpg</t>
  </si>
  <si>
    <t>My Health Africa was created to help strengthen the health sector across Africa for both patients and doctors.</t>
  </si>
  <si>
    <t>Good Morning again, the Sun is shining, the birds are singing, and the fence is.... Melting! 😂. #gardening #photography #BeKind #winter #art #savethebees #love #mentalhealth #SaturdayMotivation</t>
  </si>
  <si>
    <t>pic.twitter.com/nQ1jRMM5Bn</t>
  </si>
  <si>
    <t>Aftab Ahmad PhD</t>
  </si>
  <si>
    <t>Young people with #diabetes are at a greater risk of developing #mentalhealth problems or attempting suicide than their peers, according to research.</t>
  </si>
  <si>
    <t>Lahore, Pakistan</t>
  </si>
  <si>
    <t>#Scientist #President NAYS Pakistan #StemCell #Science Leader #Chairman IYSA #Director Innovators Club #National Director #GUSP</t>
  </si>
  <si>
    <t>http://www.nays.com.pk</t>
  </si>
  <si>
    <t>Right? Right)</t>
  </si>
  <si>
    <t>ZimZamSafari</t>
  </si>
  <si>
    <t>Known as Walk4Life, our aim is to start a global conversation about the correlation between nature and mental wellness. By entering the draw, you will be helping W4L achieve its aim of shining the spotlight on global #conservation &amp; #mentalhealth issues.</t>
  </si>
  <si>
    <t>https://www.zimzamsafari.com</t>
  </si>
  <si>
    <t>https://pbs.twimg.com/media/EOjcBpLWkAEwXdD.jpg</t>
  </si>
  <si>
    <t>Diabetes.co.uk</t>
  </si>
  <si>
    <t>Young people with #diabetes are at a greater risk of developing #mentalhealth problems or attempting suicide than their peers, according to research.#</t>
  </si>
  <si>
    <t>https://www.diabetes.co.uk/news/2020/jan/Young-people-with-diabetes-at-higher-risk-of-suicide-study-finds.html</t>
  </si>
  <si>
    <t>England, UK</t>
  </si>
  <si>
    <t>Join the 🌍's #1 diabetes community with 313,908 forum members &amp; 1.8m yrs of cumulative experience. #DiabetesAwarenessMonth #EmpoweredTogether #UniteForDiabetes</t>
  </si>
  <si>
    <t>Steven B. McKinney</t>
  </si>
  <si>
    <t>In business, #personaldevelopment &amp; #mentalhealth of all employees should be a priority. Sean Connolly, creator of the ‘Tools for Life in Business’ program, about his business &amp;amp; tips on how to cope with business stress!  #selfimprovement</t>
  </si>
  <si>
    <t>https://buff.ly/2WkvUgQ</t>
  </si>
  <si>
    <t>https://pbs.twimg.com/media/EOjb_07WsAAAJQp.jpg</t>
  </si>
  <si>
    <t>Seoul, South Korea</t>
  </si>
  <si>
    <t>Founder/CEO #Entrepreneur #ExecutiveSearchConsultant #Coach #Speaker #LeadershipConsultant</t>
  </si>
  <si>
    <t>http://mckinneyconsulting.com</t>
  </si>
  <si>
    <t>Organeco Ltd</t>
  </si>
  <si>
    <t>Cheers away the Winter blues with a bit of bright yellow in the Organeco office garden . Love winter flowering Jasmine👍 #mentalhealth #winterblues #gardeningtherapy #gardening #gardeningtips</t>
  </si>
  <si>
    <t>https://pbs.twimg.com/media/EOjbhmCXUAAZnfv.jpg</t>
  </si>
  <si>
    <t>Organeco Ltd is a training and consultancy company specialising in Green Infrastructure and Sustainable Horticulture.</t>
  </si>
  <si>
    <t>http://www.organeco.ltd</t>
  </si>
  <si>
    <t>stacey Tewley</t>
  </si>
  <si>
    <t>True story! #inspirational #inspire #inspired #inspirationalquote #happy #goodthings #lifesgood #goodmentalhealth #happymind #mentalhealth #awareness #wellbeing #selflove @ Leicester, United Kingdom</t>
  </si>
  <si>
    <t>https://www.instagram.com/p/B7dLm10FHTH/?igshid=1m8dzef22ruiq</t>
  </si>
  <si>
    <t>DMU 2nd year forensic science student!</t>
  </si>
  <si>
    <t>UniMelb MDHS</t>
  </si>
  <si>
    <t>Thousands of people are processing the emotional impact of being caught up in the Australian bushfires. Here are some tips on how you can support a friend or family member who may be struggling. #bushfires #australiafires #mentalhealth</t>
  </si>
  <si>
    <t>https://bit.ly/2FqnVE3</t>
  </si>
  <si>
    <t>Latest research news and information from the Faculty of Medicine, Dentistry and Health Sciences at the University of Melbourne.</t>
  </si>
  <si>
    <t>http://mdhs.unimelb.edu.au/</t>
  </si>
  <si>
    <t>Sarah Kay</t>
  </si>
  <si>
    <t>Even cows can do it, so should we! Talking about how we feel and our mental health has massive benefits to us all...not just cows! @Hants_fire @mentalhealth @MHFAEngland #mentalhealth #LetsTalk #MentalHealthMatters #talkaboutit RT @Independent: Cows talk to each about how they feel, study finds</t>
  </si>
  <si>
    <t>https://twitter.com/Independent/status/1217809062848540673
https://www.independent.co.uk/news/science/cows-emotions-talk-pitch-university-sydney-alexandra-green-a9286516.html?utm_medium=Social&amp;utm_source=Twitter#Echobox=1579183280</t>
  </si>
  <si>
    <t>Inclusion and Diversity Partner at @hants_fire Mental Health First Aid Instructor, @lborouniversity graduate, running addict, dog obsessed - views are my own</t>
  </si>
  <si>
    <t>The SUN Network</t>
  </si>
  <si>
    <t>We accept the love we think we deserve. - #quoteoftheday #mentalhealth #selflove</t>
  </si>
  <si>
    <t>https://pbs.twimg.com/media/EOjbDHcUEAc1FJT.png</t>
  </si>
  <si>
    <t>Cambridgeshire</t>
  </si>
  <si>
    <t>We work alongside adults using mental health/drug &amp; alcohol services to get their voice heard &amp; respected, and involve them in decisions involving services.🤗</t>
  </si>
  <si>
    <t>http://www.sunnetwork.org.uk</t>
  </si>
  <si>
    <t>John Currie</t>
  </si>
  <si>
    <t>Good to see @ptsdresolution on @BBCNews this morning raising the profile and keep people talking about #mentalhealth and #PTSD</t>
  </si>
  <si>
    <t>𝐃𝐫.𝐉𝐚𝐰𝐚𝐡𝐚𝐫 𝐒𝐢𝐧𝐠𝐡💎</t>
  </si>
  <si>
    <t>Mental health is real, please take care of yourself. #Mentalhealth @ithinkthatway @coherentstates</t>
  </si>
  <si>
    <t>https://pbs.twimg.com/media/EOja-rEVAAAF1ZX.jpg</t>
  </si>
  <si>
    <t>𝓝𝓮𝔀 𝓓𝓮𝓵𝓱𝓲, 𝓘𝓷𝓭𝓲𝓪</t>
  </si>
  <si>
    <t>𝐌𝐃, 𝐀𝐈𝐈𝐌𝐒 𝐍𝐞𝐰 𝐃𝐞𝐥𝐡𝐢 (𝓜𝓮𝓷𝓽𝓪𝓵 𝓱𝓮𝓪𝓵𝓽𝓱 𝓟𝓻𝓸𝓯𝓮𝓼𝓼𝓲𝓸𝓷𝓪𝓵🎗️) 𝐕ice 𝐏𝐫𝐞𝐬𝐢𝐝𝐞𝐧𝐭-𝐑𝐃𝐀 𝐀𝐈𝐈𝐌𝐒 𝐃𝐞𝐥𝐡𝐢 &amp; 𝐅𝐎𝐑𝐃𝐀</t>
  </si>
  <si>
    <t>https://www.facebook.com/jawahar.singh2</t>
  </si>
  <si>
    <t>Siobhán O'Neill</t>
  </si>
  <si>
    <t>Shocking. Attachment is the basis of good #mentalhealth &amp; child carers are an essential piece of the puzzle. RT @suzannezeedyk: “I get paid more cleaning toilets than the govt pays me for caring for children.” You know how I keep saying we “don’t get it” when it comes to attachment &amp;amp; early years? That single sentence shows what I mean. ⁦@paulinescott222⁩</t>
  </si>
  <si>
    <t>https://twitter.com/suzannezeedyk/status/1218452667585957888
https://www.bbc.co.uk/news/av/election-2019-51124634/nurseries-face-closure-over-free-childcare-funding-gap</t>
  </si>
  <si>
    <t>Derry, Northern Ireland</t>
  </si>
  <si>
    <t>Professor of Mental Health Sciences @UlsterUni | TEDx speaker | researching mental health, trauma &amp; suicide | single mother by choice | runner</t>
  </si>
  <si>
    <t>http://www.profsiobhanoneill.com</t>
  </si>
  <si>
    <t>TheBlackDogsWife</t>
  </si>
  <si>
    <t>We’ve had a good week. He’s admitted some past/current demons I was unaware of. And, apart from some insecure days, he’s been generally well. It’s weeks like these that I long for. If every week were like this one, it would be easy. #BlackDogsWife #MentalHealth</t>
  </si>
  <si>
    <t>Living with mental health issues. Not mine, my husband’s.</t>
  </si>
  <si>
    <t>Ali</t>
  </si>
  <si>
    <t>United Arab Emirates</t>
  </si>
  <si>
    <t>30 y/o | @SorbonneAD MSc in Finance Alumnus | Cars Fanatic | Interests: investing, skiing, series and literature &amp; psychology books | Insta: Arabian.Stallion.89</t>
  </si>
  <si>
    <t>https://www.facebook.com/a.aj89</t>
  </si>
  <si>
    <t>Sacked for being mentally ill was a bullet to the head  #mentalhealth</t>
  </si>
  <si>
    <t>http://www.georgebarnes.co.uk/career/sacked-for-being-mentally-ill-was-like-a-bullet-to-the-head/</t>
  </si>
  <si>
    <t>https://pbs.twimg.com/media/EOjannzXkAAIptc.jpg</t>
  </si>
  <si>
    <t>I’m supposed to be a big strong man, so why do I want to just curl up and cry?! #mentalhealth #depression</t>
  </si>
  <si>
    <t>pic.twitter.com/lksw3hQVQG</t>
  </si>
  <si>
    <t>People in the #LGBTQ community have to face so much #Hate and #Discrimination and some of us end up believing that we are worthless and turn int #EatingDisorders this is so sad #LGBT #Anorexia #Bulimia #BingeEating #MentalHealth #Psychology</t>
  </si>
  <si>
    <t>https://www.eatingdisorderhope.com/blog/observations-eating-disorders-lgbtq-community</t>
  </si>
  <si>
    <t>Ross 💫</t>
  </si>
  <si>
    <t>#mentalhealth Approximately 1 in 4 people in the UK experience a mental health problem each year. In England, 1 in 6 people report experiencing a common mental health problem (#anxiety #depression) every week. Don’t hide it., beat it. #faith #love</t>
  </si>
  <si>
    <t>https://pbs.twimg.com/media/EOjaMybXkAAI1Ne.jpg</t>
  </si>
  <si>
    <t>U.K.</t>
  </si>
  <si>
    <t>Loyalty remains even in adversity.</t>
  </si>
  <si>
    <t>Mental Health Building Blocks</t>
  </si>
  <si>
    <t>Next weekend (25-26/Jan) we’re delivering suicide prevention training in #Solihull Take a look at the link to find out more  #Birmingham #MentalHealth</t>
  </si>
  <si>
    <t>https://www.eventbrite.co.uk/e/suicide-prevention-training-safetalk-tickets-88554120759?ref=eios</t>
  </si>
  <si>
    <t>https://pbs.twimg.com/media/EOjaMJhXsAIP4It.jpg</t>
  </si>
  <si>
    <t>Provider of #MentalHealthFirstAid Training | Mental Health Nurse, passionate about early intervention and prevention #MHFA - @ThompsonTravels</t>
  </si>
  <si>
    <t>http://MentalHealthBuildingBlocks.co.uk</t>
  </si>
  <si>
    <t>Just Nana!</t>
  </si>
  <si>
    <t>Lovely walk into #Bilton to go to #BiltonEvangelicalChurch as they’re hosting #DawnHolmes addressing “Mental Health in the #Church” #MentalHealth @ Bilton Evangelical Church</t>
  </si>
  <si>
    <t>https://www.instagram.com/p/B7dKu-uAL7N7BbLyrRWeMmtNSeOuve7we4efyg0/?igshid=f7hrjyepgtop</t>
  </si>
  <si>
    <t>Christian, wife, mum &amp; nana and an 🦅#eagles #cpfc supporter who lives up “norff”, supporter of 🏴󠁧󠁢󠁥󠁮󠁧󠁿 🏉 ⚽️ 🏏</t>
  </si>
  <si>
    <t>UKConstruction Media</t>
  </si>
  <si>
    <t>ICYMI: Find out what #construction #works are schedule to take place at the #DewiSant #Health and #SocialCare #Park in #Pontypridd by clicking the link below. #hospitals #mentalhealth #substancemisuse #healthcare</t>
  </si>
  <si>
    <t>http://ow.ly/cH4k30q8ZqE</t>
  </si>
  <si>
    <t>https://pbs.twimg.com/media/EOjZr6dWsAYvdw1.jpg</t>
  </si>
  <si>
    <t>UK Construction Media provides the latest UK Construction news, interviews with construction industry professionals and more</t>
  </si>
  <si>
    <t>http://www.ukconstructionmedia.co.uk</t>
  </si>
  <si>
    <t>Money and Mental Health</t>
  </si>
  <si>
    <t>If you have experience of #mentalhealth problems - or of caring for someone who does - you can help us break the link between mental health problems and financial difficulty by signing up to our Research Community. Find out more here:</t>
  </si>
  <si>
    <t>http://bit.ly/2ybmWoM</t>
  </si>
  <si>
    <t>https://pbs.twimg.com/media/EOfucXDXsAMAtW4.jpg</t>
  </si>
  <si>
    <t>Charity working to break the link between financial difficulty &amp; mental health problems. Founded by @martinslewis, led by @helen_undy. Monitored Mon-Fri, 9-5.</t>
  </si>
  <si>
    <t>http://www.moneyandmentalhealth.org</t>
  </si>
  <si>
    <t>John Elsey</t>
  </si>
  <si>
    <t>I dont think the #mentalhealth profession understands how severe the impact of BPD/EUPD symptoms can be , nor how overwhelming . Given the mental health service advises other organisations in dealing with service users , how do we educate those who are resistant to change ?</t>
  </si>
  <si>
    <t xml:space="preserve"> Fareham  </t>
  </si>
  <si>
    <t>Chronic and enduring mental health issues and acting to change the poor culture within services . Acceptance without resignation. Live without appeal .</t>
  </si>
  <si>
    <t>EQFINITY</t>
  </si>
  <si>
    <t>We assist you to increase your emotional intelligence  a place for EQ #coaching #training #workshop and #events . #emotionalintelligence #EQ #EQFINITY #MentalHealth #Wellbeing #Wellness #leadershipdevelopment #leadership @RajalingamR @aberamelimited</t>
  </si>
  <si>
    <t>http://www.eqfinity.com</t>
  </si>
  <si>
    <t>https://pbs.twimg.com/media/EOjZgiJU4AAO42x.jpg</t>
  </si>
  <si>
    <t>Emotional Intelligence Coaching and Consulting. Online Coaching | Training | Workshop | Consulting</t>
  </si>
  <si>
    <t>https://www.eqfinity.com</t>
  </si>
  <si>
    <t>Holmesdale Cravatics 🦅❤💙🎗;</t>
  </si>
  <si>
    <t>Just one positive thought in the morning can change your whole day. Do that every day and you can start to change your life ❤🎗 #mentalhealth #MentalHealthMatters #MentalHealthAwareness #SuicidePrevention #SuicideAwareness</t>
  </si>
  <si>
    <t>Home &amp; Away</t>
  </si>
  <si>
    <t>Raising awareness of mental health &amp; suicide #WalkAndTalk. Supporter of @palaceforlife Foundation in improving lives of South Londoners &amp; #cpfc 🦅❤️💙</t>
  </si>
  <si>
    <t>Zeina Moukarzel, MD, MPH, MHA</t>
  </si>
  <si>
    <t>#صباح_الخير Health tips: Listening to music is good for our health and #mentalhealth #SaturdayVibes #هتمّ_بصحتك #medtwitter @mestrate @DrHowardLiu @monicacoronelmd @HafizaKMD @drmonalidesai @BethFratesMD</t>
  </si>
  <si>
    <t>pic.twitter.com/D0o9Snzxm3</t>
  </si>
  <si>
    <t>Lebanon, MENA,Montreal, Global</t>
  </si>
  <si>
    <t>Mom3🇱🇧🇨🇦|PreventiveMed|#wellness|#mentalhealth|🚭|#cannabis|#physicianbloggers|❤️healingart|#SoMe Editor|Head #GlobalHealth @mestrate|Founder @lamsalebanon</t>
  </si>
  <si>
    <t>http://www.lamsaleb.org</t>
  </si>
  <si>
    <t>#mentalhealth affects everyone even someone like myself, I grew up on a rough council estate in #Hackney in the 90s,then speaking about your #mentalhealth Was not an option,It doesn't make you weak suffering from this disease,it reveals the courage you have.</t>
  </si>
  <si>
    <t>SeeChangeHypno</t>
  </si>
  <si>
    <t>Be kinder to yourself! Self care isn’t just about doing nice things - it’s about being your own best friend. Stop beating yourself up and be nicer! You’ll be amazed at the difference it makes to your wellbeing! #mentalhealth #Wellbeing #wellness #MentalHealthMatters #selfcare</t>
  </si>
  <si>
    <t>My name is Tamara and I'm a clinical Solution Focused hypnotherapist in Leeds city centre. Get in touch now and let me help you... Be Your Best!</t>
  </si>
  <si>
    <t>https://www.seechangehypnotherapy.com/</t>
  </si>
  <si>
    <t>Ghafaria khan, MSc.</t>
  </si>
  <si>
    <t>Mental health matters #mentalhealthmatters #mentalhealth #mentalhealthawareness #mentalhealthsupport @ London, United Kingdom</t>
  </si>
  <si>
    <t>https://www.instagram.com/p/B7dKVVFlqvj/?igshid=dc15o9xh9kg2</t>
  </si>
  <si>
    <t>Specialist Mentor supporting University students. King's College London alumni, MSc Mental Health Studies. BSc Hon Psych, MBPsS. Mum of four.</t>
  </si>
  <si>
    <t>Evidence in Mind</t>
  </si>
  <si>
    <t>A powerful interview linked here. BBC breakfast this morning continue the discussion around the need for more awareness and access to support #veterans with #ptsd #mentalhealth #trauma RT @clairej46720312: BBC News - Dorset veteran's wife wants more help for veterans with PTSD</t>
  </si>
  <si>
    <t>https://twitter.com/clairej46720312/status/1218361164855418887
https://www.bbc.co.uk/news/av/uk-england-dorset-51148313/dorset-veteran-s-wife-wants-more-help-for-veterans-with-ptsd</t>
  </si>
  <si>
    <t>Committed to bringing you the latest and best community and mental health information news and resources</t>
  </si>
  <si>
    <t>http://www.evidenceinmind.co.uk</t>
  </si>
  <si>
    <t>More United</t>
  </si>
  <si>
    <t>"There are so many issues where we have common values" @Dr_PhilippaW 👉 At our Wednesday meeting MPs found consensus on #SocialCare, #MentalHealth and #ClimateChange 🤝 Register to have your say on how we can make the biggest impact, together:  🗣️</t>
  </si>
  <si>
    <t>https://moreunited.org.uk/join/</t>
  </si>
  <si>
    <t>pic.twitter.com/gqY9Lttwa7</t>
  </si>
  <si>
    <t>Cross-party political movement giving a voice to those who want to move Britain forward. Become a member now: http://moreunited.fundraise.tech</t>
  </si>
  <si>
    <t>http://moreunited.org.uk</t>
  </si>
  <si>
    <t>Healthy Sefton</t>
  </si>
  <si>
    <t>Free online #mentalhealth support - provided by Kooth - is now available in #Sefton.</t>
  </si>
  <si>
    <t>http://ow.ly/D9hF30q9VaJ</t>
  </si>
  <si>
    <t>Sefton, Merseyside</t>
  </si>
  <si>
    <t>We can support you to make positive changes to your health and wellbeing. Keep up-to-date with latest info &amp; advice. #publichealth #wellbeing #mentalhealth</t>
  </si>
  <si>
    <t>https://www.sefton.gov.uk/public-health.aspx</t>
  </si>
  <si>
    <t>madeleine parra</t>
  </si>
  <si>
    <t>Maracaibo, Venezuela</t>
  </si>
  <si>
    <t>helen</t>
  </si>
  <si>
    <t>Respect and thoughts and hugs to you and family - thank you for sharing at this difficult time and much more needs to be done to support our military #mentalhealth RT @PKT_develop: BBCBreakfast: It's believed Jamie Davis took his own life just 6 days ago. He had #PTSD. His wife, Alicia, opened up on #BBCBreakfast about Jamie and the support given to #veterans</t>
  </si>
  <si>
    <t>https://twitter.com/PKT_develop/status/1218447268178800642</t>
  </si>
  <si>
    <t>https://pbs.twimg.com/media/EOeYOhyX4AUKQOn.jpg</t>
  </si>
  <si>
    <t>Loves the outdoors and chickens - believe in fairness for all</t>
  </si>
  <si>
    <t>Wesley Webbers</t>
  </si>
  <si>
    <t>Mind your Mind ☀ 🌈 🧘‍♂️🥋 🥊#wesdo #entrepreneur #chakra #positivevibes #mindset #happiness #zen #life #yoga #love #mentalhealth #bhfyp #nature #lifestyle #happy #reiki #peace #positivity #fitness #mind #inspiration…</t>
  </si>
  <si>
    <t>https://www.instagram.com/p/B7dJw9BnUpZ/?igshid=iflg1uwbxarz</t>
  </si>
  <si>
    <t>TOKYO/ AMSTERDAM/ PURMEREND</t>
  </si>
  <si>
    <t>OWNER WESDO SATORI DOJO &amp; CLOUD 10 RECORDINGS, REIKI MASTER, MENTAL COACH, MARTIAL ART COORDINATOR, ENTREPRENEUR , WRITER, DJ WESDO</t>
  </si>
  <si>
    <t>http://wesdosatoridojo.com</t>
  </si>
  <si>
    <t>Holding Space</t>
  </si>
  <si>
    <t>I received this beautiful note from a lady who attends our sessions. When she first came she was quite and withdrawn. It’s lovely to see her coming in smiling and chatting now. 🤗 #eastbourne #mentalhealth #safespace #support #makingadifference #Empowerment #volunteer</t>
  </si>
  <si>
    <t>https://pbs.twimg.com/media/EOjXqWTXkAEpG1k.jpg</t>
  </si>
  <si>
    <t>Eastbourne, East Sussex</t>
  </si>
  <si>
    <t>A not for profit #community organisation led by a team of #volunteers #supporting those with #mentalhealth challenges</t>
  </si>
  <si>
    <t>http://www.holdingspace.org.uk</t>
  </si>
  <si>
    <t>Heartbreaking ... #BWRT #ProBono #therapy #PTSD #PDSD #veterans #Healthcare #savealife #mentalhealth #BBCBreakfast RT @BBCBreakfast: It's believed Jamie Davis took his own life just 6 days ago. He had #PTSD. His wife, Alicia, opened up on #BBCBreakfast about Jamie and the support given to #veterans</t>
  </si>
  <si>
    <t>https://twitter.com/BBCBreakfast/status/1218292662886789120</t>
  </si>
  <si>
    <t>Dr Thomas Monro</t>
  </si>
  <si>
    <t>‘But I don’t want to go among mad people,’ Alice remarked. ‘Oh, you can’t help that,’ said the Cat: ‘we’re all mad here. I’m mad. You’re mad.’ Alice’s Adventures in Wonderland (1865) by Lewis Carroll (1832-1898) #MentalHealth #AliceInWonderland #History #LewisCarroll</t>
  </si>
  <si>
    <t>https://pbs.twimg.com/media/EOjXFFcX4AAkDpz.jpg</t>
  </si>
  <si>
    <t>8 Adelphi Terrace, London.</t>
  </si>
  <si>
    <t>Principal Physician of the Bethlem Royal Hospital since 1792. Consulting physician to His Majesty King George III. Amateur artist and art collector.</t>
  </si>
  <si>
    <t>https://julianpinnick.wordpress.com/2019/07/14/mad-mr-turner/</t>
  </si>
  <si>
    <t>TheVeteransHubWeymth</t>
  </si>
  <si>
    <t>Change doesn't happen unless we all support each other - please share this and help to help. #veteranssupportingveterans #mentalhealth #itsoknottobeok #community #family @JohnnyMercerUK @SSAFA @BBCDorset @DorsetMind @ITVclairem @WessexFM @VeteransGovUK @PCCDorset RT @XchurchRBL: @Theveteranshub Christchurch RBL drop in sessions every Tuesday 10.00 - 13.00 need someone to chat to, need advice, concerned about a loved one, please come in for a coffee, friendly face and support if you need it !! Please like and retweet we need to get the message out that there is help.</t>
  </si>
  <si>
    <t>https://twitter.com/XchurchRBL/status/1218452574220832768</t>
  </si>
  <si>
    <t>Weymouth, England</t>
  </si>
  <si>
    <t>Built for veterans by veterans to support them and their families....</t>
  </si>
  <si>
    <t>Online Counselling 4 U</t>
  </si>
  <si>
    <t>#Stress affects every cell in your body. Do something about it before it's too late. #onlinecounselling4u #quote #relationshipquotes #couplegoals #happy #couples #dating #marriage #happiness #family #friendship #mentalhealth #therapy #depression #anxiety #motivational #motivation</t>
  </si>
  <si>
    <t>https://pbs.twimg.com/media/EOjW70hVAAADJen.jpg</t>
  </si>
  <si>
    <t>Online Counselling 4 U offers professional solutions to life’s problems through online counselling and self help articles.</t>
  </si>
  <si>
    <t>https://www.onlinecounselling4u.com/</t>
  </si>
  <si>
    <t>♡Michelle Harte♡</t>
  </si>
  <si>
    <t>Well done @dudleymbc #seeningreen for #BlueMonday #EndTheStigma #DepressionIsReal #mentalhealth</t>
  </si>
  <si>
    <t>https://pbs.twimg.com/media/EOjW3WDW4AYTDlN.jpg</t>
  </si>
  <si>
    <t>She/her #HR #OD #Intrapreneur #Writer #Blog #Founder- http://hresque.co.uk. #Values values! #campaigner better #mentalhealth #leadership #wearyourEQcrown Views own</t>
  </si>
  <si>
    <t>http://hresque.co.uk</t>
  </si>
  <si>
    <t>Sean's Place</t>
  </si>
  <si>
    <t>About to dive into a weekend of learning to become more aware of how best to support people when they need it most. Please remember you can contact Samaritans on 116 123 or the crisis team at your local hospital for support if you need it. #suicideprevention #mentalhealth</t>
  </si>
  <si>
    <t>https://pbs.twimg.com/media/EOjW0qgWkAEYqw0.jpg</t>
  </si>
  <si>
    <t>Sefton</t>
  </si>
  <si>
    <t>Sean's Place is a Mental Health and Wellbeing centre providing free mental health and wellbeing support to men in Sefton/Liverpool. info@seansplace.org.uk</t>
  </si>
  <si>
    <t>http://www.seansplace.org.uk</t>
  </si>
  <si>
    <t>Jim’s Smile Project</t>
  </si>
  <si>
    <t>Fun in the studio recording some of the tracks for the charity album! #mind #mentalhealth #livealbum #charityalbum #anxietyawareness</t>
  </si>
  <si>
    <t>https://pbs.twimg.com/media/EOjWXg0X4AAtiG9.jpg</t>
  </si>
  <si>
    <t>I’ve been fundraising &amp; supporting charities in the UK &amp; abroad for years and currently for West Kent Mind. Mental Health Awareness means a lot to me.</t>
  </si>
  <si>
    <t>Louise Houghton🌸💚🐔🍰🍞📝♻🌞🏴󠁧󠁢󠁷󠁬󠁳󠁿</t>
  </si>
  <si>
    <t>Managed to find a home for my seeds! @mindaberystwyth start a gardening club on January 30th so really pleased they will help Kirsty get the group started. Hope to drop them off next week. #mentalhealth #gardeningtherapy #mentalwellbeing</t>
  </si>
  <si>
    <t>http://mindaberystwyth.org</t>
  </si>
  <si>
    <t>pic.twitter.com/3c5U3F7cUF</t>
  </si>
  <si>
    <t>mid- Wales, United Kingdom</t>
  </si>
  <si>
    <t>Mid-Wales @Airbnb_uk #superhost. Blogger, #gyo @BRadio4 fan #livingthedream in #mylittlepatchofparadise. http://www.airbnb.co.uk/users/89141106/listings</t>
  </si>
  <si>
    <t>Be #seeningreen for #BlueMonday #endthestigma #DepressionIsReal #mentalhealth #thisisme well done @WestMids_CA RT @WestMids_CA: We’re turning green on Monday 20 January in support of #MentalHealth - It's time to banish the blues and go green! 💚 What will you do to show support on #BlueMonday? Read more ➡️  #ThisisMeWM #BlueMondayGreen #SeenInGreen #EndTheStigma @LMAppeal</t>
  </si>
  <si>
    <t>https://twitter.com/WestMids_CA/status/1214215910552219649
http://socsi.in/uvx1z</t>
  </si>
  <si>
    <t>pic.twitter.com/UPE7E0VK0C</t>
  </si>
  <si>
    <t>Our New #mentalhealth theme park is now open  #bipolar #Wellbeing</t>
  </si>
  <si>
    <t>https://pbs.twimg.com/media/EOjWEWOWAAAIu0Q.jpg</t>
  </si>
  <si>
    <t>MayTK/Little_Ms_Jynxie</t>
  </si>
  <si>
    <t>Twitch streamer, new affiliate. Female with tatoos and a love for books, DnD and other stuff like movies and music.</t>
  </si>
  <si>
    <t>https://twitch.tv/little_ms_jynxie</t>
  </si>
  <si>
    <t>The Warrior Mum</t>
  </si>
  <si>
    <t>Feeling the resistance from the crowd to buy a toaster. Let's create some context - the toaster is for adults with a mental health issue - varying degrees of struggle of course. My 12 year old uses a toaster. Tell me why we need to infantalise people 🙄 #mentalhealth #choice</t>
  </si>
  <si>
    <t>Wee woman with big ideas about mindset &amp; empowerment.</t>
  </si>
  <si>
    <t>http://warriormumproject.com/</t>
  </si>
  <si>
    <t>Join Devon Partnership NHS Trust</t>
  </si>
  <si>
    <t>We will be @ProudtoCare recruitment event in #Exeter on Saturday 7 March. Find out about careers with @DPT_NHS. We would love to see you there.  #mentalhealth #learningdisability #nursing #NHScareers #NHSjobs #JoinDPT</t>
  </si>
  <si>
    <t>http://socsi.in/JvMdR</t>
  </si>
  <si>
    <t>https://pbs.twimg.com/media/EOjVpVOWsAEi_eY.jpg</t>
  </si>
  <si>
    <t>Devon, South West England</t>
  </si>
  <si>
    <t>@DPT_NHS provides #mentalhealth and #learningdisability services across #Devon and the South West. Great place to work, great place to live. #JoinDPT #NHSjobs</t>
  </si>
  <si>
    <t>https://jobs.dpt.nhs.uk/</t>
  </si>
  <si>
    <t>Dad To Sons</t>
  </si>
  <si>
    <t>So it seems that I’m not in a good place mentally at the moment. The unresolved issues over the last 25 have come to this. On Monday I will be taking my first steps to dealing with my mental health. Going to the doctor for a chat. #menshealth #mentalhealth</t>
  </si>
  <si>
    <t>Husband💍 | Dad of 3 boys👨‍👦‍👦 | Podcaster🎤 | Here for laughs🤣 | Follow for all my work away experiences | @dadtosons on all the socials 📱</t>
  </si>
  <si>
    <t>LoveFirstWorld</t>
  </si>
  <si>
    <t>Love. It works. Guaranteed.❤️🤟🏻 - #neverstoploving #takeresponsibility #loveiseverything #questioneverything #loveyourself #justletitgo #loveorfear #iloveyou #selfmastery #selflove #mentalhealth #love #lovefirst #kindness #lovelife #nofear #selfawareness #lovefirstworld #❤️#🤟🏻</t>
  </si>
  <si>
    <t>https://pbs.twimg.com/media/EOjVZMgU0AAFb3e.jpg</t>
  </si>
  <si>
    <t>Love. It works. Guaranteed.❤️ #Love #LoveFirst #LoveFirstWorld ❤️🧡💛💚💙💜🖤🌎🌍🌏</t>
  </si>
  <si>
    <t>http://lovefirst.world</t>
  </si>
  <si>
    <t>Scott Tweed Photography</t>
  </si>
  <si>
    <t>I’m currently working on a portrait project focusing on men’s #mentalhealth. “Big boys DO cry” is about sharing of experiences &amp; being there for one another. Please get in touch if you’d like to be featured! All retweets &amp;amp; support most appreciated. #london #photography</t>
  </si>
  <si>
    <t>https://pbs.twimg.com/media/EOjVTx3W4AAZ_yg.jpg</t>
  </si>
  <si>
    <t>Bromley, London</t>
  </si>
  <si>
    <t>London based photographer available for a range of work and projects and Available for collaborations. DM enquiries. Personal account is @scotttweed</t>
  </si>
  <si>
    <t>http://scotttweedphotography.weebly.com/</t>
  </si>
  <si>
    <t>Truth! #MentalHealth #SNAPtoday</t>
  </si>
  <si>
    <t>https://pbs.twimg.com/media/EOjVUD8X0AAxH-5.jpg</t>
  </si>
  <si>
    <t>KSB Recruitment</t>
  </si>
  <si>
    <t>Mental health awareness in the hospitality sector has been identified as lagging behind other sectors - are you doing enough to help your staff achieve positive mental health? #hospitality #mentalhealth #management #blog</t>
  </si>
  <si>
    <t>http://ow.ly/vz1S30q94tO</t>
  </si>
  <si>
    <t>Recruiting for the Catering and Hospitality industry #chefjobs #hospitalityjobs #michelin #finedining</t>
  </si>
  <si>
    <t>http://www.ksbrecruitment.co.uk/</t>
  </si>
  <si>
    <t>IVFbabble</t>
  </si>
  <si>
    <t>If you're about to start your IVF journey, here's a great post by one of our writers on how she prepared mentally beforehand  #ivf #fertility #fertilitytreatment #mind #mentalhealth</t>
  </si>
  <si>
    <t>http://ow.ly/nvML50xUOcz</t>
  </si>
  <si>
    <t>Leading fertility and IVF online magazine. Supporting amazing people TTC❤️ #ivfstrongertogether #ivf #fertility</t>
  </si>
  <si>
    <t>http://www.ivfbabble.com</t>
  </si>
  <si>
    <t>RHCP Leicester</t>
  </si>
  <si>
    <t>Happy #WinnieThePoohDay 🍯🐻 ➖ "𝚈𝚘𝚞’𝚛𝚎 𝚋𝚛𝚊𝚟𝚎𝚛 𝚝𝚑𝚊𝚗 𝚢𝚘𝚞 𝚋𝚎𝚕𝚒𝚎𝚟𝚎, 𝚜𝚝𝚛𝚘𝚗𝚐𝚎𝚛 𝚝𝚑𝚊𝚗 𝚢𝚘𝚞 𝚜𝚎𝚎𝚖 𝚊𝚗𝚍 𝚜𝚖𝚊𝚛𝚝𝚎𝚛 𝚝𝚑𝚊𝚗 𝚢𝚘𝚞 𝚝𝚑𝚒𝚗𝚔.” - #𝚆𝚒𝚗𝚗𝚒𝚎𝚃𝚑𝚎𝙿𝚘𝚘𝚑 ➖ Comment Your Favourite Quote or Gif Of Winnie ? ➖ #MentalHealth</t>
  </si>
  <si>
    <t>pic.twitter.com/WcXBNfBR7X</t>
  </si>
  <si>
    <t>Rutland House Counselling &amp; Psychotherapy #Leicester. Providing therapies for local community, corporate &amp; insurance. CPD provider for Therapeutic Practitioners</t>
  </si>
  <si>
    <t>http://www.rhcp.org.uk</t>
  </si>
  <si>
    <t>How to make your workplace mental-health friendly - @MandyKloppers  #mentalhealth #workplace</t>
  </si>
  <si>
    <t>https://www.thoughtsonlifeandlove.com/how-to-make-your-workplace-mental-health-friendly/</t>
  </si>
  <si>
    <t>Good morning 🤓 #garyveechallenge #Happiness #mentalhealth #workinghard #grind #KindnessDay #Kindness #dontforgettosmile #smile #blessed #LiveYourLife #MotivationalQuotes #SaturdayFeeling #SaturdayMotivation #SaturdayThoughts #SaturdayVibes</t>
  </si>
  <si>
    <t>HEADSTUCK THEATRE</t>
  </si>
  <si>
    <t>We’re looking for any support, any exposure and any donations to bring a performance of Human Desire and Food to live tackling stigma surrounding domestic abuse and mental health. #theatre #performance #mentalhealth #fringefestivals  RT @HeadstuckT: Our fringe funder is live! We have created a piece that puts domestic abuse at the forefront. Tackling it in our HEADSTUCK way. This female lead cracks open her life and lays it all out for you to indulge upon. #theatre #domesticabuse @GMFringe</t>
  </si>
  <si>
    <t>https://twitter.com/headstuckt/status/1213214573324619777
https://www.fringefunder.com/campaign/510/headstuck-theatre-s-in-the-moment-fringe-funder</t>
  </si>
  <si>
    <t>pic.twitter.com/1BZVUkek6q</t>
  </si>
  <si>
    <t>Imagine, Play, Immerse. Proudly supporting local minds in the North-West. Creating a force for societal address through entertaining and provocative theatre.</t>
  </si>
  <si>
    <t>https://headstucktheatreco.wixsite.com/mysite</t>
  </si>
  <si>
    <t>NHS Cov Rugby CCG</t>
  </si>
  <si>
    <t>#ICYMI The Coventry Safe Haven @ Broad Street Centre offers out of hours #mentalhealth support to any residents of Coventry aged 18 or over. It is open every day from 6pm-11pm - no appointment or referral needed. Contact 07921876065 or email coventryhaven.mhm@nhs.net.@coventrycc</t>
  </si>
  <si>
    <t>https://pbs.twimg.com/media/EOfQuUHX4AI1snt.jpg</t>
  </si>
  <si>
    <t>Coventry and Rugby in the UK</t>
  </si>
  <si>
    <t>We are responsible for planning, organising and buying NHS-funded healthcare for around 490,000 people in the Coventry &amp; Rugby area.</t>
  </si>
  <si>
    <t>http://www.coventryrugbyccg.nhs.uk</t>
  </si>
  <si>
    <t>Befrienders KL</t>
  </si>
  <si>
    <t>How to Manage an Employee with Depression  #Depression #MentalHealth</t>
  </si>
  <si>
    <t>https://hbr.org/2020/01/how-to-manage-an-employee-with-depression</t>
  </si>
  <si>
    <t>Malaysia</t>
  </si>
  <si>
    <t>Free, confidential emotional support for the depressed and suicidal. +603-79568145; sam@befrienders.org.my. DMs are for general info only, not for support.</t>
  </si>
  <si>
    <t>https://www.befrienders.org.my/centre-in-malaysia</t>
  </si>
  <si>
    <t>Nathan Glendinning</t>
  </si>
  <si>
    <t>One of four short stories we have three days to shoot all together, was a rather huge task but rather happy how they turned out. Watch the full version on our Favebook page @Northwood_Studios All for #mentalhealthawareness #mentalhealth #mentalhealthishealth #PTSD #firefighter</t>
  </si>
  <si>
    <t>pic.twitter.com/JXcJxqKXrH</t>
  </si>
  <si>
    <t>An independent filmmaker. Studied Directing at University For The Creative Arts. Freelance Assistant Director. South Shields based. https://www.youtube.com/watc</t>
  </si>
  <si>
    <t>http://www.northwoodstudios.co.uk</t>
  </si>
  <si>
    <t>The Sleep Guru</t>
  </si>
  <si>
    <t>The word spirit comes from the Latin word spiritus. It means breath, courage and soul. No 'trying' involved, just move your consciousness to the breath and you'll see #breath #pranayama #sleep #mentalhealth #insomnia</t>
  </si>
  <si>
    <t>https://pbs.twimg.com/media/EOjUsUZWAAAgmH1.jpg</t>
  </si>
  <si>
    <t>Ayurveda Wellbeing coach for Stress, insomnia &amp; exhaustion.Sleep Expert for @restored. Author of Breathe Better, Sleep Better. President Helping Hands for India</t>
  </si>
  <si>
    <t>http://www.thesleepguru.co.uk</t>
  </si>
  <si>
    <t>Kate Grosvenor</t>
  </si>
  <si>
    <t>That was fun. Thanks! @BBCSheffield @KatherineCowan #MeganMarkle #mentalhealth</t>
  </si>
  <si>
    <t>Life Coach &amp; Women’s Mental Health Ambassador</t>
  </si>
  <si>
    <t>https://www.kategrosvenor.com</t>
  </si>
  <si>
    <t>When dealing with people, remember you are not dealing with creatures of logic, but with creatures of emotion. -Dale Carnegie #psychology #emotions #logic #therapy #mentalhealth</t>
  </si>
  <si>
    <t>NewsGram</t>
  </si>
  <si>
    <t>Researchers, including one of Indian-origin, have developed an #Artificialintelligence tool that can accurately detect changes in clinical states in voice data of patients with #MentalHealth issues.</t>
  </si>
  <si>
    <t>https://www.newsgram.com/ai-tool-detect-mental-health-issues/</t>
  </si>
  <si>
    <t>Official Twitter handle of US-based IRS-approved tax -exempt nonprofit media organization.</t>
  </si>
  <si>
    <t>http://www.newsgram.com/</t>
  </si>
  <si>
    <t>Expert Link</t>
  </si>
  <si>
    <t>💜New blog - Sanctions: cruel or kind?💜 Sanctions rely on threatening people into looking for employment. But does this approach work for everyone? Read our latest blog for our thoughts:  #trauma #mentalhealth #homelessness</t>
  </si>
  <si>
    <t>http://ow.ly/m9Lq50xY0AN</t>
  </si>
  <si>
    <t>https://pbs.twimg.com/media/EOjT-fIWkAA1g7X.jpg</t>
  </si>
  <si>
    <t>Humanity. Honesty. Hope. Contact: info@expertlink.org.uk</t>
  </si>
  <si>
    <t>http://www.expertlink.org.uk</t>
  </si>
  <si>
    <t>Julie</t>
  </si>
  <si>
    <t>Can we create psychologically safe workplaces, where people feel safe being themselves and managers provide empathetic and timely support. For key insights by @UKMercer on how to make this possible, read our new #mentalhealth paper: #MentalHealthAtWork</t>
  </si>
  <si>
    <t>http://bit.ly/3akd1xK</t>
  </si>
  <si>
    <t>https://pbs.twimg.com/media/EOjT-aNU8AEnXlZ.png</t>
  </si>
  <si>
    <t>Senior Benefits consultant in our Ottawa office, specializing in benefits/HR consulting to mid-market clients across the National Capital Region.</t>
  </si>
  <si>
    <t>The First Aid Box</t>
  </si>
  <si>
    <t>A very Happy Birthday to our Administration Manager Emma who is 21 again today! #birthday #ageisjustanumber #firstaid #fabtraining1 #driffield #mentalhealth #foodsafety #overthehill</t>
  </si>
  <si>
    <t>https://pbs.twimg.com/media/EOjTr6TWAAAWN-a.jpg</t>
  </si>
  <si>
    <t>5 Wolds Business Park YO25 6AG</t>
  </si>
  <si>
    <t>To train your staff for a safer future.</t>
  </si>
  <si>
    <t>http://fabtraining.net</t>
  </si>
  <si>
    <t>You’re worth it. Mental Health is real</t>
  </si>
  <si>
    <t>A little consideration and thought for others, appreciation for who they are and inspiration for who they will be, will make all the difference! #SaturdayMotivation #mentalhealth</t>
  </si>
  <si>
    <t>🌍 Worldwide</t>
  </si>
  <si>
    <t>A page with thoughts and texts about mental wellbeing and anxiety ☁️ DM’s are always open ⭐️ #mentalhealth #depression #anxiety</t>
  </si>
  <si>
    <t>Scott Knowles</t>
  </si>
  <si>
    <t>A call for all new fathers to be routinely checked for #postnataldepression... #dadsinmind #skynews #mentalhealth #MentalHealthMatters #newdad #parenting #family</t>
  </si>
  <si>
    <t>Burnley, England</t>
  </si>
  <si>
    <t>MNCS (Accred) • Partner and Integrative counsellor/psychotherapist at #Burnley based @triadtherapyuk</t>
  </si>
  <si>
    <t>http://www.triadtherapy.co.uk</t>
  </si>
  <si>
    <t>Can you make a difference in 2020? We have opportunities for frontline volunteers to support our Somewhere To Turn service which operates on Wednesdays 10am-2pm in Rochford and every week day in Southend. Fnd out more here:  #mentalhealth #volunteer</t>
  </si>
  <si>
    <t>https://www.seandcessexmind.org.uk/somewhere-to-turn-volunteer</t>
  </si>
  <si>
    <t>https://pbs.twimg.com/media/EOjS0WiXsAAPs-A.jpg</t>
  </si>
  <si>
    <t>A underactive thyroid can mimic #depression and #anxiety please #retweet this, and click video below #mentalhealth #MentalHealthAwareness #MentalHealthMatters</t>
  </si>
  <si>
    <t>https://youtu.be/mnNJ3Cf7SSQ</t>
  </si>
  <si>
    <t>A beautiful frosty morning for @Sotonparkrun getting going for day 18 of @REDJanuaryUK going to need to take care on the paths @OSleisure #getoutside #mentalhealth #cerebralpalsyrunner</t>
  </si>
  <si>
    <t>https://pbs.twimg.com/media/EOjSxSoXUAA0zYW.jpg</t>
  </si>
  <si>
    <t>Gary Sheriff</t>
  </si>
  <si>
    <t>Alvechurch, Worcestershire</t>
  </si>
  <si>
    <t>#Bluenose, favourite letters of the alphabet ... KRO and SOTv</t>
  </si>
  <si>
    <t>Gabriela Saldanha</t>
  </si>
  <si>
    <t>Really enjoyed reading this on #depression and #mentalhealth Although it seems to over simplify the message of #Christianity as I see it RT @JulieReshe: The voice of sadness is censored as sick. What if it’s sane? –  via @aeonmag</t>
  </si>
  <si>
    <t>https://twitter.com/JulieReshe/status/1215574515067097089
https://aeon.co/essays/the-voice-of-sadness-is-censored-as-sick-what-if-its-sane</t>
  </si>
  <si>
    <t>passionate about justice, self determination, education, equity, diversity, language, languages, literature, translation...</t>
  </si>
  <si>
    <t>Hashtag</t>
  </si>
  <si>
    <t>Share with your Friends. . . . . . #selfimprovement #personaldevelopment #gratitude #psychology #likeforlikes #mentalhealth #fixmylife #morelikes #marketing #likeforlikes #followforfollowback #follow4followback #quotes #lifestyle #believeinyourself</t>
  </si>
  <si>
    <t>https://pbs.twimg.com/media/EOjSokiX4AEqpKb.jpg</t>
  </si>
  <si>
    <t>Ahmedabad</t>
  </si>
  <si>
    <t>New Trends • News • Travel • Quotes • Food</t>
  </si>
  <si>
    <t>https://www.instagram.com/thehashtag.in</t>
  </si>
  <si>
    <t>Aaron Detrinidad</t>
  </si>
  <si>
    <t>“People don’t leave jobs. They leave toxic work cultures” Dr. Amina Tune in :  #nursingschool #nursing #nurse #podcast #meditation #health #healthcare #medicine #mentalhealth #mental #business #nursetwitter #medtwitter #sciencetwitter #icutwitter</t>
  </si>
  <si>
    <t>https://anchor.fm/aaron-detrinidad/episodes/Toxic-Work-Environments-ea5ts4</t>
  </si>
  <si>
    <t>Indian Rocks Beach, FL</t>
  </si>
  <si>
    <t>Nurse, Healer, Motivator, Artist, Human Being. Follow for great content. :) Check out our podcast Becoming a Better Nurse. https://anchor.fm/aaron-detrinidad</t>
  </si>
  <si>
    <t>https://open.spotify.com/show/1JSkIUdkxo4lXdSxkqfZhb?si=tzhazmATRL2HsJUd2M7n1w</t>
  </si>
  <si>
    <t>When you struggle with your #mind or your #body #Physical or #mentalhealth &amp; #pain People around you who #care &amp;amp; #support you understand When I changed my #mindset to being less #selfish to more #selfless my whole world changed 😊</t>
  </si>
  <si>
    <t>https://pbs.twimg.com/media/EOjScNoWoAEB9ar.jpg</t>
  </si>
  <si>
    <t>Sonia Dutta 💫</t>
  </si>
  <si>
    <t>Reality TV can offer fame, trp’s, and social media craze - that’s it! The aftermath has PROVEN to be UGLY for so many.When will people stop jumping on board and helping promote this #mentalhealth destroying vehicle? #bullying #suicide #heartbreak #BiggBoss #BigBrother #LoveIsland</t>
  </si>
  <si>
    <t>TV &amp; Radio Presenter On Air 4-7pm on @thisissunrise #Drive &amp; #BollywoodTop20 Also Energy Alignment Coach info@soniadutta.com #AllViewsMyOwn</t>
  </si>
  <si>
    <t>fatherhood and triathlons</t>
  </si>
  <si>
    <t>Frustrated waking aches and pains sore throat #illness no training for me today 😡🤬#mentalhealth #run #swim #bike</t>
  </si>
  <si>
    <t>Guildford, England</t>
  </si>
  <si>
    <t>Husband, Father, Coach to Paralympic gold medalist, paddler and now cyclist and triathlete! aiming for Ironman 70.3 Staffordshire 2020. please follow my blog .</t>
  </si>
  <si>
    <t>https://fatherhoodandtriathlons.wordpress.com/</t>
  </si>
  <si>
    <t>YoUthMatters</t>
  </si>
  <si>
    <t>New to Twitter. Looking for a network of people similarly invested in: #Children #youngpeople #mentalhealth #youthwork #psychotherapy #counselling #socialcare #TYA #LAC #education #trauma #rights #participation #artsbaseedtherapy #CAMHS</t>
  </si>
  <si>
    <t>Youth Worker: Child &amp; Adolescent Psychotherapy Post Grad: Advocate: Idealist: Lefty: Believer in People: Reluctant Tweeter: Previously a Chapman</t>
  </si>
  <si>
    <t>TAMHI</t>
  </si>
  <si>
    <t>Love this. Sometimes we work so hard; never have a day to breath or refocus and re-energise. Look after number 1 😎 #mentalhealth</t>
  </si>
  <si>
    <t>https://pbs.twimg.com/media/EOjSHXBX0AApQpS.jpg</t>
  </si>
  <si>
    <t>TAMHI works with sports, youth and schools to raise awareness of mental health and develop programmes to tackle the social issues that negatively impact on it.</t>
  </si>
  <si>
    <t>A new dad reveals his battle with #postnataldepression : 'I didn't love my daughter...' #skynews #mentalhealth #MentalHealthMatters #newdad #parenting #family</t>
  </si>
  <si>
    <t>http://news.sky.com/story/new-dad-reveals-battle-with-post-natal-depression-i-didnt-love-my-daughter-11911063</t>
  </si>
  <si>
    <t>https://pbs.twimg.com/media/EOjSHuhX4AIsaKU.jpg</t>
  </si>
  <si>
    <t>Louisa Houchen</t>
  </si>
  <si>
    <t>Wizard Carrot can do anything, and then suddenly one day finds he cannot. The book is about his journey back to health &amp; happiness; he finds balance, regains inner strength. The story touches on mindfulness and wellbeing, is fun and light-hearted #mentalhealth #WritingCommunity</t>
  </si>
  <si>
    <t>https://pbs.twimg.com/media/EOjSEDOWsAAhjNJ.jpg</t>
  </si>
  <si>
    <t>UK (can ship to USA too)</t>
  </si>
  <si>
    <t>Children's Book Illustrator &amp; Author; "Wizard Carrot and the Lost Magic" a friendly book about hope, friendship and happy power (currently seeking publisher)</t>
  </si>
  <si>
    <t>Parentkind</t>
  </si>
  <si>
    <t>Mental health issues are manifesting in "younger and younger" students, NI's Children's Commissioner Koulla Yiasouma has said.  #mentalhealth #NorthernIreland #parents</t>
  </si>
  <si>
    <t>http://ow.ly/sCc950xXSPq</t>
  </si>
  <si>
    <t>Formerly PTA UK. Parentkind champions all the ways parents engage in their children's education in England, Wales &amp; NI. Follow for education news &amp; opinion.</t>
  </si>
  <si>
    <t>http://www.parentkind.org.uk</t>
  </si>
  <si>
    <t>Barry Pearman Mental Health - Faith : Hope : Love</t>
  </si>
  <si>
    <t>Day One: A journey always begins with a question. #recovery #mentalhealth #mentalillness</t>
  </si>
  <si>
    <t>http://bit.ly/2QiBf0y</t>
  </si>
  <si>
    <t>https://pbs.twimg.com/media/EOjRrhRUEAAm4fv.jpg</t>
  </si>
  <si>
    <t>Auckland, New Zealand</t>
  </si>
  <si>
    <t>Empowering your #MentalHealth Writing to help you and others find #faith #hope #love #kiwi #infj</t>
  </si>
  <si>
    <t>http://turningthepage.info/</t>
  </si>
  <si>
    <t>SEND Mummy Lisa L</t>
  </si>
  <si>
    <t>Glad @annelongfield is highlighting the impact of #IsolationBooths - I hope @educationgovuk respond to the concerns around #Isolation before publishing new guidelines of #Behaviour in #Schools #BanTheBooth #ChildrensRights #MentalHealth #Send RT @SEND_Action: This is so depressing. Schools 'converting toilet blocks into isolation booths'</t>
  </si>
  <si>
    <t>https://twitter.com/send_action/status/1218401153005891584
https://www.theguardian.com/education/2020/jan/17/schools-converting-toilet-blocks-into-isolation-booths</t>
  </si>
  <si>
    <t>Stand Up, Speak Up For What U Believe! Fighting For Children With #Send! 1st Hons Early Childhood! #Autism #Sen #SEMH #EmpoweringParents #ADHD #APD</t>
  </si>
  <si>
    <t>ArtistRebeccaLS</t>
  </si>
  <si>
    <t>#EarlyBiz Discover my latest Art Therapy patterns that you colour yourself - These beautiful tote bags are desperatly wanting you to colour them -  #disability #mentalhealth #ArtTherapy</t>
  </si>
  <si>
    <t>https://rdbl.co/2GUDEhV</t>
  </si>
  <si>
    <t>self taught #prolific #illustrator #artist my designs R4sale in my2online shops (#Redbubble) &amp; (#Curioos) #Freelance find me on YouTube (ArtistRebeccaLS)</t>
  </si>
  <si>
    <t>https://linktr.ee/artistrebeccals</t>
  </si>
  <si>
    <t>Hafal</t>
  </si>
  <si>
    <t>Children at risk of #suicide in #Wales are still "falling through the gaps", the children's commissioner has warned  Read our “Making Sense” report on improving #mentalhealth support for young people:</t>
  </si>
  <si>
    <t>https://www.bbc.co.uk/news/uk-wales-51156066
http://www.hafal.org/youngpeople/</t>
  </si>
  <si>
    <t>Hafal is a user-led charity for people with a mental illness and their carers providing services in all 22 counties of Wales.</t>
  </si>
  <si>
    <t>http://www.hafal.org/</t>
  </si>
  <si>
    <t>Clear Rising</t>
  </si>
  <si>
    <t>So today we begin anew. Try and catch as many habits you have, be it certain actions, behaviours or thinking which is not kind to yourself or another. All this adds up to real change and breaking old scripts.#SaturdayMotivation #mentalhealth #creativity RT @ZenEssentials: "We may idealize freedom, but when it comes to our habits, we are completely enslaved." — Sogyal Rinpoche | | #freedom</t>
  </si>
  <si>
    <t>https://twitter.com/ZenEssentials/status/1218446945997524992</t>
  </si>
  <si>
    <t>Compassionate provider of #mentalhealth, #wellbeing services. Our goal is to alleviate suffering in people's lives, in the #workplace and in #schools</t>
  </si>
  <si>
    <t>http://www.clearrising.com</t>
  </si>
  <si>
    <t>Do you know "why" I do, what I do? Share your response 👇#PTSDandBeyond #MentalHealth #StrongerTogether</t>
  </si>
  <si>
    <t>White Squirrel Golf Club</t>
  </si>
  <si>
    <t>thewhitesquirrelgolfclub #soldout #mentalhealthawareness #mentalhealth #mentalhealthmatters #mentalhealthmonth #breakthesilence #endthestigma @ St. Joseph, Huron County, Ontario</t>
  </si>
  <si>
    <t>https://www.instagram.com/p/B7dF_V0j-kS/?igshid=k6z939o90huu</t>
  </si>
  <si>
    <t>72358 Bluewater Hwy Zurich,Ont</t>
  </si>
  <si>
    <t>18 Hole Golf Course located on Hwy 21. 72538 Bluewater Hwy, Zurich, Ontario. We are open 7 days a week all year around restaurant.</t>
  </si>
  <si>
    <t>http://www.whitesquirrelgolfclub.com</t>
  </si>
  <si>
    <t>Jenn Burrill</t>
  </si>
  <si>
    <t>Yes, very important for #nmleg to address #homelessness...but this problem, much like #cjreform, the solution lies not just in housing but #mentalhealth and #drugaddiction treatment. Few facilities accept dual diagnosis patients in #NewMexico</t>
  </si>
  <si>
    <t>https://www.abqjournal.com/1410938</t>
  </si>
  <si>
    <t>New Mexico</t>
  </si>
  <si>
    <t>Defender of Justice</t>
  </si>
  <si>
    <t>GreenShoeFoundation</t>
  </si>
  <si>
    <t>We understand that continuous support on your mental health and self-care journey is crucial. We've teamed up with the area's best treatment and wellness centers to encourage you to continue to embrace and heal the past 🌱 Learn more at  #mentalhealth</t>
  </si>
  <si>
    <t>http://ow.ly/ytGU50xY7SW</t>
  </si>
  <si>
    <t>https://pbs.twimg.com/media/EOjQh6HXUAUdvtG.jpg</t>
  </si>
  <si>
    <t>We're a #mentalhealth non-profit, based out of Edmond Oklahoma, focused on providing you the tools for freedom to embody your true authentic self 🌱</t>
  </si>
  <si>
    <t>Alrighty then...it's time to go to sleep. Excited to announce this Monday's #PTSDandBeyond Twitter Chat topic is gonna be...anyone want to take a guess? :-) #MentalHealth</t>
  </si>
  <si>
    <t>KRATU</t>
  </si>
  <si>
    <t>#SaturdayThoughts #SaturdayMorning Happy Weekend to all our friends. Strength to those who are struggling. I hear you. Kratu hears and helps me. Take the time to hear others. Listening is a powerful gift #weekend #rescuedogs #support #mentalhealth #BeKind #Autism #PTSD #Listen</t>
  </si>
  <si>
    <t>pic.twitter.com/nrhnf7ey1D</t>
  </si>
  <si>
    <t>Rescue dog. Viral star #crufts First dog in the world to fly back to Romania as assistance dog. Made history. Therapy dog. Autistic owner #kraturescuedog</t>
  </si>
  <si>
    <t>https://www.kratutherescuedog.co.uk/</t>
  </si>
  <si>
    <t>christine crone</t>
  </si>
  <si>
    <t>Always try to be kind to yourself. Everyone is unique and everyone is special - sometimes people just need a helping hand - there is support #mentalhealth RT @NHSuk: Your mental health is not something to be ashamed of. Anyone can experience a mental health problem, so being able to talk about it is important to us all. See advice here:</t>
  </si>
  <si>
    <t>https://twitter.com/nhsuk/status/1218172440922206208
http://ow.ly/urep30pYcL7</t>
  </si>
  <si>
    <t>https://pbs.twimg.com/media/D6sNxdbXYAALwFl.jpg</t>
  </si>
  <si>
    <t>Modern Matron proud to work with others to ensure quality care #carers #engagement proud mum (all tweets are my own views )</t>
  </si>
  <si>
    <t>Susan Gardner</t>
  </si>
  <si>
    <t>NEWS UPDATE ABOUT HOW WE ALL MAKE A DIFFERENCE AND ESPECIALLY WHEN WE COME TOGETHER! ❤️🧡💛💚💙💜 #MentalHealth #MindMatters #Wellbeing #SheilaMcMahon #PowerOfYouTube #SharingIsCaring</t>
  </si>
  <si>
    <t>https://www.facebook.com/story.php?story_fbid=10216627442425564&amp;id=1445071842</t>
  </si>
  <si>
    <t>Midlands, UK</t>
  </si>
  <si>
    <t>Agent of Change | Helping 'Women in Biz' | Transforming Health Issues | Body-Mind-Bliss | Gorgeous Retreat Get-Aways | Tuscany | Barbados | UK | Wellbeing4Life</t>
  </si>
  <si>
    <t>https://www.metawellbeing.com</t>
  </si>
  <si>
    <t>persona non grata ⚖️</t>
  </si>
  <si>
    <t>4.4 ⭐️ on #Amazon: #Osbert. #HistoricalFiction with a twist. “I’m not sure I’ve gotten to know a character so deeply since Jane Eyre.” #mentalhealth #drama #love #hate #truetolife #spirit #hope #theskyisblue #ownvoices #charactersfirst #MedievalRomance</t>
  </si>
  <si>
    <t>http://books2read.com/Osbert</t>
  </si>
  <si>
    <t>🐢 ✍️ DMs are open, if you have a question and you must. | HEMA enthusiast | Aussie owned 🐾 | I play Rdr2online everyday. | metal smith | I wear period attire.</t>
  </si>
  <si>
    <t>http://www.books2read.com/Osbert</t>
  </si>
  <si>
    <t>Sacked for being mentally ill was a bullet to the head  #mentalhealth #SuicidePrevention #SuicideAwareness #mental #WorkFromHome #workout</t>
  </si>
  <si>
    <t>https://pbs.twimg.com/media/EOjPsIgXUAAltqB.jpg</t>
  </si>
  <si>
    <t>╰☆☆ Nelie Olivier ☆☆╮</t>
  </si>
  <si>
    <t>Founder: I am Not a Mistake Foundation. South African based Co. I’ve never been a billionaire but I just know I’d be darling at it</t>
  </si>
  <si>
    <t>https://iamnotamistake.co.za</t>
  </si>
  <si>
    <t>Mehr Adil Riaz</t>
  </si>
  <si>
    <t>North Rhine-Westphalia</t>
  </si>
  <si>
    <t>Kabhi raaston mein tanha, kabhi hun durus-e-sehra main junoon ka humsafar hun, mera koi ghar nahi hai,Traveler 🇵🇰🇩🇪🇧🇪🇫🇷🇮🇪🇨🇭 🇮🇹🇦🇪🇺🇸🇬🇧🇧🇭🇳🇱</t>
  </si>
  <si>
    <t>AndyKatie_GMMH Trafford IAPT</t>
  </si>
  <si>
    <t>Wise words from Winnie! #NationalWinnieThePoohDay #mentalhealth #SaturdayMotivation</t>
  </si>
  <si>
    <t>https://pbs.twimg.com/media/EOjPaTaWkAAE7od.jpg</t>
  </si>
  <si>
    <t>Andy &amp; Katie from Trafford IAPT, we are keen to promote positive mental health and people accessing support -The opinions expressed are not that of the trust</t>
  </si>
  <si>
    <t>CW Mind</t>
  </si>
  <si>
    <t>Experiencing low mood, anxiety, depression? Come to see a friendly face at our Wellbeing Hubs which are open today in #Rugby from 10am – 1pm or #Coventry from 1pm – 5pm. For more information, visit our website:  @cwmind #MentalHealth</t>
  </si>
  <si>
    <t>http://bit.ly/2q1qrIA</t>
  </si>
  <si>
    <t>https://pbs.twimg.com/media/EOjPY3cWoAYRS3g.jpg</t>
  </si>
  <si>
    <t>Coventry and Warwickshire</t>
  </si>
  <si>
    <t>Because no-one should have to face a #mentalhealth problem alone. #Coventry #Warwickshire</t>
  </si>
  <si>
    <t>http://www.cwmind.org.uk</t>
  </si>
  <si>
    <t>Rachel Evans</t>
  </si>
  <si>
    <t>Good morning tweeps how are we all today? I'm feeling good about to start my #saturdaymeditation it's good to take some time out and work on my #mentalhealth and controlling my anxiety.</t>
  </si>
  <si>
    <t>Abercwmboi, Wales</t>
  </si>
  <si>
    <t>Love Actilabs products, my family, enjoy being self employed with an amazing company and being able to watch my kids grow up.</t>
  </si>
  <si>
    <t>https://acti-labs.com/me/rachel-evans-5</t>
  </si>
  <si>
    <t>Wirral Maternity Voices Partnership</t>
  </si>
  <si>
    <t>A thought-provoking insight into one dad's battle with postnatal depression... #DadsMatter #mentalhealth: #ItsOkNotToBeOk #awareness</t>
  </si>
  <si>
    <t>Wirral Maternity Voices Partnership (MVP), is an independent multi-disciplinary advisory and action forum with service users at the centre.</t>
  </si>
  <si>
    <t>William Prince</t>
  </si>
  <si>
    <t>Kudos to @Gailporter for making her film -  #mentalhealth</t>
  </si>
  <si>
    <t>Surrey</t>
  </si>
  <si>
    <t>Love Withnail and I &amp; ham sandwiches. Currently writing my 1st book #2WLM &amp; have just finished my 1st play #thenicecouple and 1st children's book #thewindjar</t>
  </si>
  <si>
    <t>RecoveringHopeTC</t>
  </si>
  <si>
    <t>Openings available 💜 #recovery #residentialtreatment #outpatient #mentalhealth #women #children #families #hope</t>
  </si>
  <si>
    <t>https://pbs.twimg.com/media/EOjPAnzXUAEBHWC.jpg</t>
  </si>
  <si>
    <t>«•ATINUKE 👑•»</t>
  </si>
  <si>
    <t>Maiduguri, Nigeria</t>
  </si>
  <si>
    <t>I'm unpredictably predictable, Noisily Quiet and complicatedly simple. Love good music, a fan of Handel and a lover of decent lifestyle. A tall plus size lady</t>
  </si>
  <si>
    <t>Libby Brewster Conscious Explorer</t>
  </si>
  <si>
    <t>How do bloggers esp. #mentalhealth bloggers cope with family reaction to their openness &amp; honesty? As so much goes unspoken &amp;amp; blogging / writing is often a release. Really interested in people’s experience 🤔 #bloggersrequired #blogging #MentalHealthAwareness #mentalhealthblog</t>
  </si>
  <si>
    <t>Hackney, London</t>
  </si>
  <si>
    <t>Founder | Maker | ethical entrepreneur | YouTuber @everyorigin | mental health champion @mentalhealthmts Dalston Walk Leader | AF vegan-curious 🏴󠁧󠁢󠁳󠁣󠁴󠁿</t>
  </si>
  <si>
    <t>https://linktr.ee/everyorigin</t>
  </si>
  <si>
    <t>Through The Dark Clothing</t>
  </si>
  <si>
    <t>Two Tone Black Statement Hoodie just £24.99 👀 #streetstyle #streetwear #MentalHealthAwareness #mentalhealth #fashion #Mensfashion #clothingbrand #THROUGHTHEDARK</t>
  </si>
  <si>
    <t>https://pbs.twimg.com/media/EOjOtnFXkAAkDV0.jpg</t>
  </si>
  <si>
    <t>UK Streetwear Clothing Brand supporting mental health whilst looking 🔥</t>
  </si>
  <si>
    <t>http://throughthedarkclothing.com</t>
  </si>
  <si>
    <t>Duckplague</t>
  </si>
  <si>
    <t>LIVE in 30m Drawing  streaming 4 #autismawareness #mentalhealth #positivity #SupportAllStreamers #smallstreamers #verified #twitch #Monstrosities #TwitchRetweetsU #TwitchReTweets #TheGrizzlyNation #TeamB42 @WolfPackHype @TheBonfire5 @TQP_team</t>
  </si>
  <si>
    <t>https://www.twitch.tv/duckplague</t>
  </si>
  <si>
    <t>Gotland, Sverige</t>
  </si>
  <si>
    <t>I stream on twitch for #autismawareness #mentalhealth and #positivity, feel free to drop by and hang out :) #twitchpartner community https://discord.gg/fdbWcXg</t>
  </si>
  <si>
    <t>Poppyshell</t>
  </si>
  <si>
    <t>Simple things that help my #mentalhealth Feeding &amp; watching birds in garden. Walking coast &amp;amp; moor with my dog. Watching waves. Hula hooping Dancing Singing Writing, writing, writing Poetry Reading, reading, reading Connecting with others. Exercise #depression #mentalhealth</t>
  </si>
  <si>
    <t>West Cornwall</t>
  </si>
  <si>
    <t>Writer/Poet - Seeking publisher/agent #addiction #mentalhealth #trauma Life Coaching 4 Change #poetry #memoir #selfhelp Dog Psychology/Behaviour #cornwall</t>
  </si>
  <si>
    <t>http://www.tumblr.com/blog/poppyparsons</t>
  </si>
  <si>
    <t>Dr. Sally Chung</t>
  </si>
  <si>
    <t>Elementary school had it right: use the buddy system. #ptsd #trauma #mentalhealth RT @JasonKander: I've had something on my mind lately, and I want to share it. If you've ever been part of a group of people that went through something difficult together, don't lose touch with each other. You may not realize how crucial those relationships are until it's too late. A story:</t>
  </si>
  <si>
    <t>https://twitter.com/jasonkander/status/1218035685720035328</t>
  </si>
  <si>
    <t>Bellevue, WA</t>
  </si>
  <si>
    <t>clinical psychologist | dog mama | poet | in the process of becoming | let's talk: relationships, EFT, cultural identity, depression, empowerment, AAPI 💙</t>
  </si>
  <si>
    <t>http://drsallychung.com</t>
  </si>
  <si>
    <t>Rotaract Club Of Pune Urja RID 3131</t>
  </si>
  <si>
    <t>Day 5 (Online mental health awareness drive) #rc_youngsouvenirs #mentalhealth #awarenessdrive #depression #anxiety #panicattacks #mindset #fear #opentotalk #communicationisthekey #awareness #rotaract #staytogetherstaystrong</t>
  </si>
  <si>
    <t>https://pbs.twimg.com/media/EOjOD9fUwAIDBO6.jpg</t>
  </si>
  <si>
    <t>Pune</t>
  </si>
  <si>
    <t>We bring 2gethr youth Rotaracts to exchange ideas &amp; take action to help empower youth,enhance health,promote peace,contribute to Society &amp; as well evry1s growth</t>
  </si>
  <si>
    <t>Sometimes your whole week just hits you in the middle of the night when ur least expecting it. Oooof. #AdultingAndStuff #mentalhealth</t>
  </si>
  <si>
    <t>Enjoying things, writing about them and tweeting about them. http://ko-fi.com/sydney331 http://tinyurl.com/yg8xlyzd</t>
  </si>
  <si>
    <t>ECBC 🐝❤️</t>
  </si>
  <si>
    <t>This week our #KnowYourCommunity campaign is back with this weeks guest Hannah Tappenden. Hannah, a local reflexologist, explains what reflexology is and how it can help with #mentalhealth.</t>
  </si>
  <si>
    <t>https://ecbcmanchester.wordpress.com/2020/01/18/knowyourcommunity/</t>
  </si>
  <si>
    <t>https://pbs.twimg.com/media/EOjNoGzWkAAhLpg.jpg</t>
  </si>
  <si>
    <t>Fighting the Darkness of Mental Illness with Manchester Spirit' Non-profit organisation focusing on mental health, tackling loneliness and isolation.</t>
  </si>
  <si>
    <t>http://www.ecbcmanchester.com</t>
  </si>
  <si>
    <t>Olive Prime Psychological Services</t>
  </si>
  <si>
    <t>If you are feeling depressed, you are not alone, Speak to us at @OlivePrime Send us a DM or Call 0909 696 5483 to book an appointment. #Oliveprime #30BG #Davido #DMW #AfricaNow #mentalhealth RT @MindsHaven: If you're feeling depressed, remember you're not alone. Speak out, reach out, talk to a #Psychologist @MindsHaven where you will be listened to like you've never felt before. Thank you @davido for your positive impact. #MindsHaven #30BG #Davido #DMW #AfricaNow #mentalhealth</t>
  </si>
  <si>
    <t>https://twitter.com/MindsHaven/status/1218278556129775618
https://twitter.com/davido/status/1218227419116642304</t>
  </si>
  <si>
    <t>Abuja, Nigeria</t>
  </si>
  <si>
    <t>In&amp;Outpatient Rehab||Provides therapy &amp; support to people struggling with addiction, depression &amp; other psychological conditions. +2349096965483 IG- @OlivePrime</t>
  </si>
  <si>
    <t>http://www.theoliveprime.com</t>
  </si>
  <si>
    <t>Mind Hillsborough</t>
  </si>
  <si>
    <t>We only pick the best for our shop floor. So be fashion savvy and buy quality that isnt in every shop on the high street and also doesnt cost the earth . Less cost, less waste and more help to a fab charity ✔ #fashiongoals #SaturdayThoughts #mymindshop #mentalhealth</t>
  </si>
  <si>
    <t>https://pbs.twimg.com/media/EOjNhf4WkAAyNg0.jpg</t>
  </si>
  <si>
    <t>25-27 Middleswood Road, S64GW</t>
  </si>
  <si>
    <t>Mind is a mental health charity in England and Wales. Founded in 1946 as the National Association for Mental Health, it celebrated its 60th anniversary in 2006.</t>
  </si>
  <si>
    <t>http://www.mind.org.uk</t>
  </si>
  <si>
    <t>Jacqui Gray</t>
  </si>
  <si>
    <t>This is a great article by Dr Hazel Harrison. Some really good ideas to keep your children’s well-being topped up over the cold months #Wellbeing #children #families #mentalhealth</t>
  </si>
  <si>
    <t>https://www.bbc.co.uk/bitesize/articles/zndp6v4?fbclid=IwAR2s6J0wu4ijMjRJvjtue44je2UWUAmq66DX2jpUnHkVjMMc_-H2ZyvGKbU</t>
  </si>
  <si>
    <t>Bath, England</t>
  </si>
  <si>
    <t>Mindfulness Teacher/School Visits/Teacher training/Award winning Author/Co founder of Holistic healing 4 Children/ #International #mindfulness #mentalhealth</t>
  </si>
  <si>
    <t>http://www.holistichealing4children.com</t>
  </si>
  <si>
    <t>Our National #MentalHealth Director @ClaireCNWL has warned video game firms that they risk ‘setting kids up for addiction’ by offering virtual collections of in-game purchases known as 'loot boxes' — encouraging users to keep spending and playing.</t>
  </si>
  <si>
    <t>https://www.england.nhs.uk/2020/01/countrys-top-mental-health-nurse-warns-video-games-pushing-young-people-into-under-the-radar-gambling/</t>
  </si>
  <si>
    <t>https://pbs.twimg.com/media/EOjNGbrWAAAlOA_.jpg</t>
  </si>
  <si>
    <t>Derick Kachenjela🇿🇲</t>
  </si>
  <si>
    <t>Lusaka, Zambia🇿🇲🇿🇲</t>
  </si>
  <si>
    <t>Business man,Upcoming farmer,Planner,Finished Products expert in fuel and Lover of Politics.</t>
  </si>
  <si>
    <t>http://mwanakache.blogspot.com</t>
  </si>
  <si>
    <t>Have You Ever Struggled With A School-Related Panic Attack? Trigger warning: This article contains  #mentalhealth</t>
  </si>
  <si>
    <t>https://tutorintinseltown.com/open-when-youre-stressing-over-grades/?utm_source=ReviveOldPost&amp;utm_medium=social&amp;utm_campaign=ReviveOldPost</t>
  </si>
  <si>
    <t>LP Women 4 Erdington</t>
  </si>
  <si>
    <t>See the full thread of @alex4knn powerful speech here. #mentalhealth #SuicidePrevention #SuicideAwareness RT @alex4knn: [CW: suicide/mental health] I’m glad that @BhamCityCouncil unanimously agreed to implement the Suicide Prevention Strategy. But our media has a huge part to play too. My full speech from Tuesday’s meeting can be found here: 👉</t>
  </si>
  <si>
    <t>https://twitter.com/alex4knn/status/1218241524212928512
https://fbwat.ch/1t4GfSZWZUoNPqDr</t>
  </si>
  <si>
    <t>pic.twitter.com/YpX4AopV94</t>
  </si>
  <si>
    <t>Erdington Labour Women's Forum strives to address the concerns of women &amp; families across the constituency &amp; promote women’s rights. RTs not nec endorsements.</t>
  </si>
  <si>
    <t>Interesting piece courtesy of @bex_mcvey outlining some of the reasons that more and more businesses are investing in Mental Health First Aid training. #mentalhealth #firstaid #MHFA</t>
  </si>
  <si>
    <t>https://www.pressandjournal.co.uk/fp/news/north-east/1909505/mental-health-first-aid-training-to-help-start-conversations-at-work/</t>
  </si>
  <si>
    <t>RoseNamaste</t>
  </si>
  <si>
    <t>I always need this and always want to give #kindness #support #hugs I'm a hugger and I'm proud of it #connection #grounding #MentalHealth I'm the penguin in the middle of the huddle 😊</t>
  </si>
  <si>
    <t>https://pbs.twimg.com/media/EOjL-r1XUAAYYXG.jpg</t>
  </si>
  <si>
    <t>Warrington, England</t>
  </si>
  <si>
    <t>Joy in nature, barefoot gardener, mother, wife, student of life. Holistic care alternative therapy poetry, song &amp; dance. NHS, BPD, make a change for you and me.</t>
  </si>
  <si>
    <t>Holistic Harmony</t>
  </si>
  <si>
    <t>#SaturdayMotivation #WhateverItTakes try and #schedule in something that brings you #joy. #Wishing you all an amazingly #magical #joyously #sensational #Saturday 💜 Much #love 💗 #inspired #motivational #health #mindfulness #mentalhealth</t>
  </si>
  <si>
    <t>https://pbs.twimg.com/media/EOjLyqmXUAEZK6x.jpg</t>
  </si>
  <si>
    <t>Elgin, Scotland</t>
  </si>
  <si>
    <t>Complementary therapist, Reiki Master Teacher, Meditation Instructor and Baby Massage Instructor. Zija Distributor and Weleda Wellbeing Advisor.</t>
  </si>
  <si>
    <t>Lindsay Orton</t>
  </si>
  <si>
    <t>Trotting off this morning to do @MHFAEngland training with Hinckley Running Club. They are training 10 MH champions to support people into running for mental wellbeing and help those that open up. What a great idea and I am happy I can help! #mentalhealth</t>
  </si>
  <si>
    <t>Wellbeing Development Manager at HBBC.</t>
  </si>
  <si>
    <t>Relax Kids North Cornwall - Sophie</t>
  </si>
  <si>
    <t>Have a great weekend, relax and enjoy. #Saturday #Weekend #Motivation #RelaxWithSophie #Mindfulness #Wellbeing #Bude #Cornwall #MentalHealth #SelfCare #Kernow #Relax #InTheMoment #PositiveAffirmations</t>
  </si>
  <si>
    <t>https://pbs.twimg.com/media/EOjLfU0X0AAMY1r.jpg</t>
  </si>
  <si>
    <t>Bude, England</t>
  </si>
  <si>
    <t>I’m a Relax Kids Coach, ex primary school teacher &amp; mummy. I run RK classes for children, parents &amp; teachers. These classes help create calm, confident kids!</t>
  </si>
  <si>
    <t>https://m.facebook.com/RelaxKidsNorthCornwallSophie/</t>
  </si>
  <si>
    <t>Thoraiya</t>
  </si>
  <si>
    <t>A great book to help you identify emotionally exhausting relationships #saturdayreads #dubaipsychology #letstalk #hricdubai #psychology #mentalhealth #mentalhealthawareness #mydubai</t>
  </si>
  <si>
    <t>https://www.instagram.com/p/B7dDjpKpnDe/?igshid=eo6zlzrc1hg4</t>
  </si>
  <si>
    <t>Clinical Psychologist - Adjunct Psychology professor - Regular tips for mental health - Questions welcomed</t>
  </si>
  <si>
    <t>The Mood Diary: A 4-week plan to track your emotions and lifestyle (MOOD Se...  via @AmazonUK #mentalhealth #journaling #moodboost</t>
  </si>
  <si>
    <t>https://www.amazon.co.uk/dp/1859064566/ref=cm_sw_r_tw_dp_U_x_Z6RiEbPY5THDH</t>
  </si>
  <si>
    <t>Christina Hollis</t>
  </si>
  <si>
    <t>The combination of driving to a place I'd never been, with weird parking arrangements, followed by a panel interview made yesterday very tough. I'm starting modules at @uniofglos next week with tutors I've never met before. Wish me luck, and good #mentalhealth ☹️</t>
  </si>
  <si>
    <t>https://pbs.twimg.com/media/EOjK_-6WkAEtGvo.jpg</t>
  </si>
  <si>
    <t>Writer, communicator, seeker after cake. RNA member. Loves writing, growing, and cooking. Find out more at http://christinahollisbooks.online &amp; http://bit.ly/FacebookAuthor…</t>
  </si>
  <si>
    <t>http://www.christinahollis.com</t>
  </si>
  <si>
    <t>LolaBohemia</t>
  </si>
  <si>
    <t>While there might be another do know that it's possible to run a successful, effective #mentalhealth discord as done by the @heartsupport network. Great resources, website, forum, and discussion.</t>
  </si>
  <si>
    <t>Digital Ninja infamous for Recon Missions &amp; Scambait Performance. When adulting I am a web dev/designer, editor &amp; artist. ADD/PTSD Survivor &amp; Victim's Advocate.</t>
  </si>
  <si>
    <t>http://www.ko-fi.com/thelola</t>
  </si>
  <si>
    <t>#mentalhealth #r4today #Schools 'converting toilet blocks into isolation booths'</t>
  </si>
  <si>
    <t>https://www.theguardian.com/education/2020/jan/17/schools-converting-toilet-blocks-into-isolation-booths?CMP=share_btn_tw</t>
  </si>
  <si>
    <t>Greatness is your potential, Action us your opportunity.#charity #storytelling #houston #texas #mentalhealth #mindfulness #wellness</t>
  </si>
  <si>
    <t>Jo-Anne Tait</t>
  </si>
  <si>
    <t>I’m now crowdfunding to pay for interviewers and transcription - a huge number of people have come forward for interview and I’d like to interview them all if I can!  #crowdfunding #mentalhealth #engineers #EngineeringUK</t>
  </si>
  <si>
    <t>http://spsr.me/e2RU</t>
  </si>
  <si>
    <t>Aberdeen, Scotland</t>
  </si>
  <si>
    <t>Academic Strategic Lead SoEng@RGU. SFHEA. musician aka @iamneosome . PhD student in mental health of engineers. I like food and sometimes running. She/her/they</t>
  </si>
  <si>
    <t>Be You Mindfulness</t>
  </si>
  <si>
    <t>Take the time to pause and listen today you might be surprised at what you hear. #selfcare #mentalhealth #Mindfulness #metime #NatureHeals</t>
  </si>
  <si>
    <t>https://pbs.twimg.com/media/EOjJyQuXUAAD3uF.jpg</t>
  </si>
  <si>
    <t>Scotland</t>
  </si>
  <si>
    <t>Creator of Connect &amp; Grow a innovative mindful activity programme for Schools and organisations. Mindfulness Coaching and courses for groups and individuals</t>
  </si>
  <si>
    <t>http://www.beyoumindfulness.com</t>
  </si>
  <si>
    <t>Evelyn Marinoff</t>
  </si>
  <si>
    <t>Waht do you think? Is Sharing Your Feelings Always Healthy?- "But while suppressing your emotions is often bad, experts say it can sometimes lead to better outcomes."  #mentalhealth #wellbeing #happy</t>
  </si>
  <si>
    <t>https://elemental.medium.com/is-sharing-your-feelings-always-healthy-a6be3579c4ae</t>
  </si>
  <si>
    <t>Ireland and Canada</t>
  </si>
  <si>
    <t>•Writer 📚🖊 •Confidence Creator •Happiness| Life satisfaction| Well-being Advocate 🙂 Get my FREE ebook below ↙️</t>
  </si>
  <si>
    <t>http://www.evelynmarinoff.com/30-day-confidence-bootcamp/</t>
  </si>
  <si>
    <t>vicky thompson</t>
  </si>
  <si>
    <t>http://bit.ly/38jjZ4a</t>
  </si>
  <si>
    <t>https://pbs.twimg.com/media/EOjJb18U4AAAS6U.png</t>
  </si>
  <si>
    <t>work for @mercer 🌟 U.K. Culture Project Manager 🌟culture influencer using #mercerukculture 🌟keep #merceractive 🚴‍♀️🏃🏼‍♀️all views my own</t>
  </si>
  <si>
    <t>LoftPhysics</t>
  </si>
  <si>
    <t>I worked around 60 hours this week, have lots to do for the team over the weekend. BUT today is my day, I'm having brunch with a friend and a haircut. What are you doing today for your wellbeing, teachers? #teacherwellbeing #goodvibesonly #teacher #mentalhealth</t>
  </si>
  <si>
    <t>MPhys. Second in Science, Outreach officer and science teacher (KS3,KS4 and KS5).</t>
  </si>
  <si>
    <t>The Adolescent Mental Health Data Platform</t>
  </si>
  <si>
    <t>Are you an organisation that deals with #young #people affected by #mentalhealth? Your data can help better understand #child and #adolescent mental health. Get in touch with @ADPMentalHealth, we'd love to hear from you! #MentalHealthAwareness @PopDataSci_SU @MQmentalhealth</t>
  </si>
  <si>
    <t>https://pbs.twimg.com/media/EOjI-OiWsAAoTqP.jpg</t>
  </si>
  <si>
    <t>Swansea, Wales</t>
  </si>
  <si>
    <t>The ADP is a research platform providing opportunities for research to offer new insights in young people's mental health. 📝 https://bit.ly/2VpfMW7</t>
  </si>
  <si>
    <t>https://adolescentmentalhealth.uk/Home</t>
  </si>
  <si>
    <t>@AFCBDad Simon Kay</t>
  </si>
  <si>
    <t>Call for all new fathers to be routinely checked for post-natal depression  Couldn’t agree more. This would have been good for me certainly on one occasion. Well done ⁦@DrAndyMayers⁩ and others for campaigning on this #mentalhealth #wellbeing</t>
  </si>
  <si>
    <t>https://pbs.twimg.com/media/EOjI5M9W4AA7bUE.jpg</t>
  </si>
  <si>
    <t>Honest perspective on #afcb + passions that matter to a Dad who supports @afcbournemouth + @truthteentravel @dorsetmha @BeTheMagic1 RTs/Likes not endorsements</t>
  </si>
  <si>
    <t>Thought for the day! #SelfHelp #BadHabits #MentalHealth #ImproveYourLife #SelfImprovement #TheBadHabitKicker #BreneBrown #GabrielleBurnstein #HalElrod #TheMiracleMorning #RachelHollis #MelRobbins #MarieForleo #TonyRobbins #5SecondRule #AtomicHabits #WayneDyer #DaleCarnegie</t>
  </si>
  <si>
    <t>https://pbs.twimg.com/media/EOjIv4gXsAAwFDX.jpg</t>
  </si>
  <si>
    <t>Life and Loom Textile Studio</t>
  </si>
  <si>
    <t>Our first Saturday blog. "A great space to relax, be creative and drink tea." Enjoy! #socialgood #socialchange #learningdisabilities #autism #mentalhealth #selfcare #personaldevelopment #handmade #hull #hullcreative #weaving #weaversofinstagram #creativeminds #communityart #art</t>
  </si>
  <si>
    <t>Selby Street, Hull, HU3</t>
  </si>
  <si>
    <t>Life and Loom is a social and therapeutic textile studio providing day opportunities for adults with additional needs, including learning disability and autism.</t>
  </si>
  <si>
    <t>http://www.lifeandloom.co.uk</t>
  </si>
  <si>
    <t>Wishing you a fab Day 18 of @REDJanuaryUK for @MindCharity! 😊 What do you have planned this weekend? Be kind to yourself &amp; enjoy! ❤️🌿 #REDJanuary2020 #REDJanuary #mentalhealth #SaturdayMorning RT @Healthyhappy50: Day 17 of @REDJanuaryUK for @MindCharity ... did not quite go to plan! 🙄😅 So 2 brisk walks doing errands &amp;amp; teaching 2 #waterfitness classes! 🏊‍♀️ #REDJanuary2020 #REDJanuary Full &amp;amp; grateful heart ❤️</t>
  </si>
  <si>
    <t>https://twitter.com/healthyhappy50/status/1218279695659274246</t>
  </si>
  <si>
    <t>https://pbs.twimg.com/media/EOgy60VWsAA-hlK.jpg</t>
  </si>
  <si>
    <t>bipolarindia</t>
  </si>
  <si>
    <t>"Acts and Laws" The #MHCA2017 and the #PwDA2016 are landmark acts which empower #mentalhealth service users. The PDF versions of Q &amp; A and salient features are now on our site courtesy.@amritbakhshy ji &amp;amp;.@SAAPune&gt;  via .@bipolarindia</t>
  </si>
  <si>
    <t>https://www.bipolarindia.com/resources-2/acts-and-laws/</t>
  </si>
  <si>
    <t>https://pbs.twimg.com/media/EOjIJzDUYAAg_bB.jpg</t>
  </si>
  <si>
    <t>#PeerSupport Community for persons w #BipolarDisorder, #Depression &amp; #caregivers. Educating, instilling hope &amp; helping people help themselves #LetsWalkTogether</t>
  </si>
  <si>
    <t>https://www.bipolarindia.com/</t>
  </si>
  <si>
    <t>On air on @BBCSheffield in a few minutes talking everything #MeganMarkle and #mentalhealth</t>
  </si>
  <si>
    <t>Let's change the narrative and shift from self focus to a focus on others. #3kindacts What will you do this weekend? #mentalhealth #edutwitter #wellbeing #psychology #positivepsychology #KindnessMatters</t>
  </si>
  <si>
    <t>https://pbs.twimg.com/media/EOjHp-TXUAEAvNA.jpg</t>
  </si>
  <si>
    <t>ZEN FORCE 🙏🏾💪🏾🧠</t>
  </si>
  <si>
    <t>#Anxiety is one of the most common #mentalhealth issues. You can cope using some #groundingtechniques for anxiety. Grounding techniques help take you away from negative thoughts, which cause your anxiety and bring you back to the present. #positivethin…</t>
  </si>
  <si>
    <t>http://bit.ly/2TDYxCX</t>
  </si>
  <si>
    <t>ZenForceVets.tumblr.com</t>
  </si>
  <si>
    <t>BREATHE IN COURAGE, BREATHE OUT FEAR. ☯️ The #Veterans #MentalHealth Advocacy Street Team 🇺🇸 #BeThere @Veterans_SS 💪🏾🧠 Join Us In The Streets!</t>
  </si>
  <si>
    <t>http://ZenForceVets.carrd.co</t>
  </si>
  <si>
    <t>Solent Mind</t>
  </si>
  <si>
    <t>Are you a military veteran looking for support in Portsmouth? Our Solent Recovery College could be right for you. Our courses are led by other veterans. They'll teach you the skills to take control of your mental health. #MentalHealthMatters #MentalHealth</t>
  </si>
  <si>
    <t>https://pbs.twimg.com/media/EOjHmPvXUAAIJIc.jpg</t>
  </si>
  <si>
    <t>Hampshire</t>
  </si>
  <si>
    <t>We're Solent Mind, Hampshire's mental health charity. We're here to make sure anyone with a mental health issue has somewhere to turn for advice &amp; support.</t>
  </si>
  <si>
    <t>http://www.solentmind.org.uk</t>
  </si>
  <si>
    <t>Mental Health Secret</t>
  </si>
  <si>
    <t>If you’re dealing with #depression, #anxiety, or any other #mentalhealth concerns, My Mental Health Secret is here.</t>
  </si>
  <si>
    <t>https://ift.tt/1jZSDau</t>
  </si>
  <si>
    <t>A safe place to share your mental health secrets. No judgement. No shame. No stigma. Merely catharsis through honesty. Moderated by @iam_spartacus</t>
  </si>
  <si>
    <t>http://mymentalhealthsecret.com</t>
  </si>
  <si>
    <t>clickmarkets.in 😃👍</t>
  </si>
  <si>
    <t>7 ways ypu can improve your mental health. Link below👇 #Mentalhealth #SaturdayThoughts #SaturdayMotivation #ShehnazGill #SaturdayVibes Visit  for more updates👍👍👍😃</t>
  </si>
  <si>
    <t>http://www.clickmarkets.in
http://clickmarkets.in/blog/</t>
  </si>
  <si>
    <t>PR Consultant, Blogger and Affiliate Marketer. Owner at Clickmarkets</t>
  </si>
  <si>
    <t>http://clickmarkets.in</t>
  </si>
  <si>
    <t>Share with your Friends. . . . . . #selfimprovement #personaldevelopment #gratitude #psychology #likeforlikes #mentalhealth #fixmylife #morelikes #marketing #likeforlikes #followforfollowback #follow4followback…</t>
  </si>
  <si>
    <t>https://www.instagram.com/p/B7dBceqHYYy/?igshid=31t24lg2zug6</t>
  </si>
  <si>
    <t>Just A Girl 17x</t>
  </si>
  <si>
    <t>"People look up to me in here. They ask me what my secret is. I tell them that there is no secret...I just don't want to die"...A piece I wrote about my stay in #detox #mentalhealth #soberlife #recovery #amwriting RT @Justagirl2017x: Because I love this piece...and it might just be the dealbreaker for someone trying to slay their own demons... #MentalHealthAwareness #amwriting #soberlife #RecoveryPosse</t>
  </si>
  <si>
    <t>https://twitter.com/Justagirl2017x/status/1190919445805457408
https://invisiblepeople.tv/descent-into-homelessness-waving-not-drowning/</t>
  </si>
  <si>
    <t>Cornwall / London / Manchester</t>
  </si>
  <si>
    <t>#Freelance #writer, wrote the accidental multi #awardwinning #film @IsDepression_ Words in @happifulhq @invisiblepeople @metrouk 💌 justagirl17x@gmail.com</t>
  </si>
  <si>
    <t>http://justagirl.emyspot.com/</t>
  </si>
  <si>
    <t>Found this #video very funny from my Twitter #mentalhealth pal ⁦@KarenUnrue⁩ son ‘bored, hungry &amp; jet lagged in Vegas’ Do take a peek. It’s short, creative &amp;amp; informative 😂🤣😂about a different kind of breakfast!! ⁦⁦@gary_hensel⁩</t>
  </si>
  <si>
    <t>https://m.facebook.com/story.php?story_fbid=10157962229173899&amp;id=615768898</t>
  </si>
  <si>
    <t>Nikki</t>
  </si>
  <si>
    <t>#positivenews for your #mentalhealth In 1990 just 27 per cent of the UK’s beaches had a water quality classification of excellent, good, or sufficient; it’s now around 98%</t>
  </si>
  <si>
    <t>https://www.positive.news/environment/hope-100-four-projects-cleaning-up-ocean-plastic/</t>
  </si>
  <si>
    <t>Devon</t>
  </si>
  <si>
    <t>Rearing 14yo human &amp; 3yo spaniel. Creating a garden. Love Dartmoor, hedgerows &amp; cosiness.</t>
  </si>
  <si>
    <t>I am not what has happened to me. I am what I choose to become. ~ Carl Jung #FridayMotivation #MeToo #BelieveSurvivors #CSA #Divorce #MentalHealth #KeepTalkingMH</t>
  </si>
  <si>
    <t>https://pbs.twimg.com/media/EOjGPQTXUAALOtH.jpg</t>
  </si>
  <si>
    <t>Ted Kelleher</t>
  </si>
  <si>
    <t>Mental Health &amp; Sport In Ireland - Many thanks to @aidanraf40 here is his guest post on our Shop First Aid Products site about this very important health challenge.  #MentalHealthAwareness #MentalHealth #sport @AR_SportsClinic #Macroom</t>
  </si>
  <si>
    <t>https://shopfirstaidproducts.com/mental-health-and-sport-in-ireland/</t>
  </si>
  <si>
    <t>https://pbs.twimg.com/media/EOjGPAFWoAA7vf5.jpg</t>
  </si>
  <si>
    <t>Macroom, Cork</t>
  </si>
  <si>
    <t>http://ow.ly/Jgz5306qz92 A Cork-based Family Business with over 20 years experience providing hygiene &amp; first aid supplies. We offer nationwide delivery.</t>
  </si>
  <si>
    <t>https://shopfirstaidproducts.com/shop-online/</t>
  </si>
  <si>
    <t>Dr Parvinder Shergill</t>
  </si>
  <si>
    <t>Whilst on my night shift tonight two of the nurses again would not allow me on the ward thinking I was an imposter doctor? I mean would anyone voluntary want to come to a ward at 5am to review a patient if they were not staff? 😅 #NHS #mentalhealth #doctor #nurse</t>
  </si>
  <si>
    <t>On a motivational rainbow</t>
  </si>
  <si>
    <t>Doctor | Actress | Writer | Award Winning Podcast @mhbc_podcast</t>
  </si>
  <si>
    <t>http://www.thesecretpsychiatrist.com</t>
  </si>
  <si>
    <t>Told a ex player this the other day. Stop comparing or being competitive especially about #mentalhealth All stories or issues should be openly talked about. Should be only one ‘Goal’ for everyone #ItsOkNotToBeOk #nostigma #SaturdayThoughts #SaturdayVibes</t>
  </si>
  <si>
    <t>https://pbs.twimg.com/media/EOjGI6pX0AAedh7.jpg</t>
  </si>
  <si>
    <t>Steven Michael</t>
  </si>
  <si>
    <t>Gideon</t>
  </si>
  <si>
    <t>By tackling #MentalHealth .Turn around the global brainwashing drive and this thing where wrongs are now right and vice versa</t>
  </si>
  <si>
    <t xml:space="preserve"> South Africa</t>
  </si>
  <si>
    <t>Honesty is the best policy and fair play is bonny play</t>
  </si>
  <si>
    <t>MCRN</t>
  </si>
  <si>
    <t>Grateful thanks to @AndrewConstance for telling it like it really is, in the wake of a #disaster. We hear your pain. The trauma of this summer will effect all of us, especially our kids (whether directly ‘impacted’ or not), for years to come. #Mentalhealth RT @EugeneMcGarrell: Never voted Liberal but I have to say... what if every community was represented by an MP with the compassion and vulnerability shown by @AndrewConstance ? Australia would be a better place. #BushFireCrisisAustralia</t>
  </si>
  <si>
    <t>https://twitter.com/eugenemcgarrell/status/1218384345821409280
https://twitter.com/theprojecttv/status/1218083720369975297</t>
  </si>
  <si>
    <t>Lawson, Blue Mountains</t>
  </si>
  <si>
    <t>Mountains Community Resource Network is the peak body for the Blue Mountains community sector.</t>
  </si>
  <si>
    <t>http://www.mcrn.org.au</t>
  </si>
  <si>
    <t>kanika Y kashyap</t>
  </si>
  <si>
    <t>Better mental health starts with acknowledging your needs first. Rather thn selfishness coin it as self-awareness.Walk alone, paint, dance, sing or just read, giving atleast an hour to yourself makes a major difference. #MentalHealthAwareness #Mentalhealth #MentalHealthMatters</t>
  </si>
  <si>
    <t>https://pbs.twimg.com/media/EOjD_b3VUAE6x7x.jpg</t>
  </si>
  <si>
    <t>New Delhi,India</t>
  </si>
  <si>
    <t>Unfiltered ,liberal &amp; a culinarily-challenged Indian 🇮🇳</t>
  </si>
  <si>
    <t>chris abojei</t>
  </si>
  <si>
    <t>You can reach out via the contacts to help people in need of therapy but can't afford it. #depression #MentalHealthMatters #anxiety #psychotherapy #mentalhealth</t>
  </si>
  <si>
    <t>https://pbs.twimg.com/media/EOjEWmlWoAAmXtV.jpg</t>
  </si>
  <si>
    <t>Clinical Psychologist | Psychotherapist | Life Coach | Public Speaker | C.E.O Psychaid Consult | Mind Doctor Passionate about Mental Health Awareness.</t>
  </si>
  <si>
    <t>http://psychaidconsult.com</t>
  </si>
  <si>
    <t>Lumaama</t>
  </si>
  <si>
    <t>Seems hard supporting a close friend dealing with depression, you may watch him booze or drink with them.. Don't let your friend go astray to get them help or talk them out alcohol/drug abuse! Its hard but you gotta try it if you want to c them BETTER! #mentalhealth</t>
  </si>
  <si>
    <t>Africa</t>
  </si>
  <si>
    <t>Computer Scientist &amp; Tech Lead @LumaaticTechUG | PR Practitioner, Mathlete &amp; Photographer | Muziki 🎶, Futsal, Rugby &amp; Foosball | Rotaractor &amp; Full-time Realist</t>
  </si>
  <si>
    <t>https://www.instagram.com/lumaatic/</t>
  </si>
  <si>
    <t>Modern Time ☘️</t>
  </si>
  <si>
    <t>« The love of God is the love of all his creation without distinction or discrimination » #JoyTrain #Joy #love #MentalHealth #Mindfulness #StarfishClub #GoldenHearts #FamilyTrain #IAMChoosingLove #SaturdayWisdom #SaturdayThoughts #SaturdayMotivation #God #IAM #Peace #kindness</t>
  </si>
  <si>
    <t>Universe</t>
  </si>
  <si>
    <t>All is Love, All is God 🕉☯️☸️✡️✝️☪️❤️🧡💛☮️🌷🌈🌸🍁🌾🌿🌛☀️💖</t>
  </si>
  <si>
    <t>TTC York</t>
  </si>
  <si>
    <t>Interesting @Gailporter #mentalhealth documentary now available on @BBCiPlayer is worth a watch 👍 Because no one should be ashamed to talk about their mental health 💪 #TimeToTalk #asktwice Being Gail Porter:</t>
  </si>
  <si>
    <t>http://bbc.co.uk/iplayer/episode/m000df09</t>
  </si>
  <si>
    <t>https://pbs.twimg.com/media/EOjENcLXUAAWT-X.jpg</t>
  </si>
  <si>
    <t>Time to Change York is a growing movement of people changing how we all think and act about mental health. Following &amp; sharing shows your support to end stigma.</t>
  </si>
  <si>
    <t>https://www.time-to-change.org.uk/node/101508</t>
  </si>
  <si>
    <t>You can't give it to others if you don't have it in yourself. #mentalhealth #mindfulness #wellness #psychology #health #Houston #rednoseday</t>
  </si>
  <si>
    <t>"When people #accept their conditions and take steps to make their lives easier, especially if that makes them appear more visibly #disabled, is when they’re considered to have given up":  @HannahRadenkova #ChronicPain #QualityOfLife #MentalHealth</t>
  </si>
  <si>
    <t>https://buff.ly/2LxfICT</t>
  </si>
  <si>
    <t>Giver of Joy</t>
  </si>
  <si>
    <t>Last week I was suicidal. I checked myself into a crisis house. First thing I did when I got out? Read a poem at an open mic event. #empowering to say the least. Today? Not suicidal. Win? I say yes. #win #SickNotWeak #depression #suicide #PTSD #MentalHealth #metoo #keeptalkingMH</t>
  </si>
  <si>
    <t>Anjuli ~ You are not alone. Sometimes it's easier to care for others than yourself. Rape and suicide survivor. #depression #PTSD</t>
  </si>
  <si>
    <t>https://depressionmuse.wordpress.com</t>
  </si>
  <si>
    <t>Interesting @Gailporter #mentalhealth documentary now available on @BBCiPlayer 👍 Because no one should be ashamed to talk about their mental health 💪 #TimeToTalk #asktwice Being Gail Porter:</t>
  </si>
  <si>
    <t>http://www.bbc.co.uk/iplayer/episode/m000df09</t>
  </si>
  <si>
    <t>Dan Taylor</t>
  </si>
  <si>
    <t>Let's say something to the world leaders please about #mentalhealth &amp; related matters @QRGhana @QRagile @QRLebanon @qualityrightske @BasicNeedsGh @mehsog @InclusionGhana @pftcare @GHS_HealthPromo @LDM_Gh @SO_Ghana_ @UnitedGMH @MentallyAwareNG @MindFreedomGh @BadimakYaro @GenCEDgh RT @BofA_News: At #WEF20, leaders from around the globe have the #PowerTo tackle the world’s greatest challenges. Which topic is most important to you?</t>
  </si>
  <si>
    <t>https://twitter.com/BofA_News/status/1218348160965320707</t>
  </si>
  <si>
    <t>Accra, Ghana</t>
  </si>
  <si>
    <t>Advocate of mental health issues &amp; rights of persons with mental disabilities @QRGhana working with @MindFreedomGh. No health without mental health!</t>
  </si>
  <si>
    <t>https://www.lnk.xyz/r1BbKs2lL?aduc=dCmaQ321579333347553</t>
  </si>
  <si>
    <t>Gonna be streaming on Twitch EVERY NIGHT (8pm EST) until I finish this RiME game and process my feelz! 🎮 #GamingThruGrief #MentalHealth Then it'll be on to some lighter fun with LEGO Harry Potter, so stick with me, WizU peeps! I got'chu, too! ⚡</t>
  </si>
  <si>
    <t>pic.twitter.com/efwPYBqfeu</t>
  </si>
  <si>
    <t>« When you don't want anything, the whole universe is yours » #JoyTrain #Joy #love #MentalHealth #Mindfulness #StarfishClub #GoldenHearts #FamilyTrain #IAMChoosingLove #SaturdayWisdom #SaturdayThoughts #SaturdayMotivation #God #IAM #Peace #SaturdayFeeling #SaturdayMood</t>
  </si>
  <si>
    <t>KÊSH KEN {}</t>
  </si>
  <si>
    <t>KAMPALA</t>
  </si>
  <si>
    <t>Boy from AFRICA👫||CHELSEA ||GOD'S OWN SON || TAURUS ||</t>
  </si>
  <si>
    <t>New #blogpost- Anxiety  #mentalhealth #flashfiction #anxiety #SaturdayThoughts</t>
  </si>
  <si>
    <t>#mentalhealth #talk mental health affects everyone including me worldwide, its OK to talk, do not suffer in silence 🗣️</t>
  </si>
  <si>
    <t>@MaidstoneUnited ⚽</t>
  </si>
  <si>
    <t>Zeljka Sulc</t>
  </si>
  <si>
    <t>When the power of love overcomes the love of power, the world will know peace. - Jimi Hendrix . Expressing my personal views here.</t>
  </si>
  <si>
    <t>https://m.youtube.com/watch?v=fjwWjx7Cw8I</t>
  </si>
  <si>
    <t>We all have #MentalHealth We also all have Emotional Health - our Feelings affect our state of Mind Use this Library as a FREE resource to help Understanding creates empowerment! From the psychology without jargon pages of the  Library</t>
  </si>
  <si>
    <t>https://pbs.twimg.com/media/EOjBsVnWsAEJHBB.jpg</t>
  </si>
  <si>
    <t>You can help build relationships that last a lifetime. #SunriseAcademy #donation drive. #free #afterschool programs #mentalhealth</t>
  </si>
  <si>
    <t>Vickie</t>
  </si>
  <si>
    <t xml:space="preserve">Republic of Benin </t>
  </si>
  <si>
    <t>French|| Food lover|| God lover|| Novel reader|| Dramatic sombori|| Cook|| Trouble maker|| Feminist</t>
  </si>
  <si>
    <t>http://instagram.com/ve_ek</t>
  </si>
  <si>
    <t>Hell Of A Read</t>
  </si>
  <si>
    <t>Prince Harry says theres no need to grin and bear it as he hosts Rugby League World Cup draw after quitting Royal life 💂 🌎 🎨 #mentalhealth #theduke</t>
  </si>
  <si>
    <t>https://www.hellofaread.com/royal/prince-harry-says-theres-no-need-to-grin-and-bear-it-as-he-hosts-rugby-league-world-cup-draw-after-quitting-royal-life/</t>
  </si>
  <si>
    <t>Newspaper / Magazine bringing you News, Laughter, Gossip and More</t>
  </si>
  <si>
    <t>https://www.hellofaread.com</t>
  </si>
  <si>
    <t>red</t>
  </si>
  <si>
    <t>ugly boys F.C 🏅</t>
  </si>
  <si>
    <t>"Trauma hijacks your eyes and your ears and your nose and your feet..." Read Carolyn Spring's blog post:  #unshame #trauma #dissociation #dissociativeidentitydisorder #counselling #psychotherapy #mentalhealth #carolynspring #reversingadversity</t>
  </si>
  <si>
    <t>http://ow.ly/YEJh50xVRYW</t>
  </si>
  <si>
    <t>https://pbs.twimg.com/media/EOjAjgLXkAENOch.jpg</t>
  </si>
  <si>
    <t>Reson</t>
  </si>
  <si>
    <t>#mentalhealth awareness RT @PsychToday: If you can't find the right words for a loved one who's grieving, these 4 approaches can show your support</t>
  </si>
  <si>
    <t>https://twitter.com/PsychToday/status/1218115998663897088
http://bit.ly/2RAqeJU</t>
  </si>
  <si>
    <t>Psychologist Counsellor Reg: KCPA -marriage&amp;family therapy,child&amp;adolescent therapy,loss&amp;grief therapy,GBV therapy,Psychological Debriefing,Supervision,Trainer!</t>
  </si>
  <si>
    <t>http://www.resonsindiyo.com</t>
  </si>
  <si>
    <t>Fi ❄☃️❄⛄❄</t>
  </si>
  <si>
    <t>I just love this...❤ #wisewords #mentalhealth #authenticself #selfdiscovery</t>
  </si>
  <si>
    <t>https://pbs.twimg.com/media/EOjAAxEXkAAV7Bo.jpg</t>
  </si>
  <si>
    <t>❤Yorkshire. Smiles &amp; Humour. Foodie. Psychotherapist-Senior Accredited. Opinions posted are purely my own.Not all content is mine-NO DMs</t>
  </si>
  <si>
    <t>http://instagram.com/fibutton_</t>
  </si>
  <si>
    <t>Priority News Now</t>
  </si>
  <si>
    <t>78 Per Cent of #Trans and "#NonBinary" #Students Meet Criteria for #MentalHealth Disorders: .</t>
  </si>
  <si>
    <t>https://www.breitbart.com/europe/2019/08/24/study-78-per-cent-of-trans-non-binary-students-mentally-disordered/</t>
  </si>
  <si>
    <t>We scan the world media to find the most significant world news headlines posted on a need-to-know basis.</t>
  </si>
  <si>
    <t>https://youtu.be/tHsZxJlxHYw</t>
  </si>
  <si>
    <t>Hans Kluge</t>
  </si>
  <si>
    <t>Great get-together with @WHO_Europe staff to discuss #mentalhealth issues. I will put staff mental health at the centre of my vision to take the Regional Office towards further excellence, leaving no one behind. #LetsTalk</t>
  </si>
  <si>
    <t>Nominee Regional Director @WHO_Europe. Passionate about improving health for all. Dad, husband, runner.</t>
  </si>
  <si>
    <t>http://www.drhanskluge.com</t>
  </si>
  <si>
    <t>Mental Conversations Podcast</t>
  </si>
  <si>
    <t>MC Ep 90 - Music ft. Rachel CT @wackerschad. Podcast out now!  #MentalHealth #mentalhealthawareness #anxiety #depression #recovery #addiction #stress #fear #coping #healing #mhfa #resilience #newyear #trauma #music</t>
  </si>
  <si>
    <t>https://castbox.fm/vb/219635691</t>
  </si>
  <si>
    <t>https://pbs.twimg.com/media/EOi_bywWoAAHY2Z.jpg</t>
  </si>
  <si>
    <t>Burley in Wharfedale, England</t>
  </si>
  <si>
    <t>Psychobabbler shining light on positive mental health. On iTunes https://podcasts.apple.com/gb/podcast/mental-conversations/id1436889290 and other platforms.</t>
  </si>
  <si>
    <t>Dave Perez</t>
  </si>
  <si>
    <t>By tackling #MentalHealth we’re harnessing the #PowerTo make a positive impact on the world. Thanks @BofA_News for keeping me informed on #WEF20. An American commits a suicide every 12 minutes.</t>
  </si>
  <si>
    <t>Brooklyn, USA</t>
  </si>
  <si>
    <t>62 year old physician executive working in Manhattan, New York.</t>
  </si>
  <si>
    <t>EnterpriserSuite</t>
  </si>
  <si>
    <t>New #EnterpriserSuite story: Future Reportedly Wants His Alleged Baby Mama to Undergo  #mentalhealth #music</t>
  </si>
  <si>
    <t>http://rviv.ly/IfWUC6</t>
  </si>
  <si>
    <t>News, Business, videos, inspiration, stuff.</t>
  </si>
  <si>
    <t>https://enterprisersuite.com</t>
  </si>
  <si>
    <t>Peer Pressure on Men  #IndianSociety #Men #MentalHealth #PeerPressure #Stress</t>
  </si>
  <si>
    <t>https://www.mapsofindia.com/my-india/society/peer-pressure-on-men</t>
  </si>
  <si>
    <t>Shukuru Amos</t>
  </si>
  <si>
    <t>Founder @Tanzlite | #DigitalMarketer | #Freelancer | Bookworm | #ContentWriter Blogger | Mwalimu by Pro | Click link 👇🏽to see what i'm good at</t>
  </si>
  <si>
    <t>https://www.tanzlite.com/services</t>
  </si>
  <si>
    <t>Dr Audrey Tang</t>
  </si>
  <si>
    <t>Pick yourself up and keep on keeping on 💖.  #psychologist #wellbeing #mentalhealth #speaker #author #consultant #mindfulness #resilience #wellness #weekend #weekendvibes #saturdayvibes #YouGotThis #wellbeingtips #getyougoalsin2020</t>
  </si>
  <si>
    <t>http://www.resilienthealthonline.com</t>
  </si>
  <si>
    <t>https://pbs.twimg.com/media/EOi-spTX4AAKiWz.jpg</t>
  </si>
  <si>
    <t>Northants, Bucks, London</t>
  </si>
  <si>
    <t>Chartered Psychologist &amp; speaker (Sky191| Radio|expert comment). http://www.resilienthealthonline.com Wellbeing &amp; Business Author. Creator:The Wellness League</t>
  </si>
  <si>
    <t>http://www.draudreyt.com/</t>
  </si>
  <si>
    <t>Christian P. Krohne</t>
  </si>
  <si>
    <t>Brain imaging may one day be used to help diagnose mental health disorders–including depression and anxiety–with greater accuracy, according to a new study conducted in a large sample of youth at @Penn.  #mentalhealth #science</t>
  </si>
  <si>
    <t>https://neurosciencenews.com/mental-health-neuroimaging-15502/</t>
  </si>
  <si>
    <t>Charlottenburg, Berlin</t>
  </si>
  <si>
    <t>PR + Public Affairs Consulting | Head of Politics @HashtagGesund | Landesvorstand Junger @wratbb | Gesundheitspolitik @c_netz</t>
  </si>
  <si>
    <t>https://www.youtube.com/ChristianPKrohne?sub_confirmation=1</t>
  </si>
  <si>
    <t>Rimpa Sarkar</t>
  </si>
  <si>
    <t>At times when we're emotionally distressed, our mind struggles to see and think clearly. Here are some basic tips to cope with that distressing moment. #MentalHealth #MentalHealthIndia #MentalIllness #MentalHealthMatters #MentalHealthBlogger #MentalHealthAwareness #Healing</t>
  </si>
  <si>
    <t>https://pbs.twimg.com/media/EOi-jEvUwAUY_F7.jpg</t>
  </si>
  <si>
    <t>🖤 Clinical Psychologist &amp; Psychotherapist 🖤 Mental Health Awareness &amp; Suicide Prevention 🖤 https://youtube.com/c/RimpaSarkarPsy</t>
  </si>
  <si>
    <t>http://www.rimpasarkar.com</t>
  </si>
  <si>
    <t>You can help your loved ones who can't afford therapy access care. #mentalhealth #mentalhealthawareness</t>
  </si>
  <si>
    <t>https://www.instagram.com/p/B7c9I0rFn5W/?igshid=x4cgm1s0da5d</t>
  </si>
  <si>
    <t>Associates for Health Rights-Uganda</t>
  </si>
  <si>
    <t>In this volatile and challenging global context, #holisticsecurity is a #Political strategy that contributes #selflove #selfcare &amp; self preservation. #SaturdayMotivation #SaturdayThoughts #mentalhealth #Regeneration #Firethatfuels #emotionalintelligence</t>
  </si>
  <si>
    <t>https://pbs.twimg.com/media/EOi-bG3XUAARgEK.jpg</t>
  </si>
  <si>
    <t>Uganda</t>
  </si>
  <si>
    <t>#Regenerate #HumanRights Defenders through #Firethatfuels #mentalhealth #hrresilience Email: firethatfuelsug@gmail.com</t>
  </si>
  <si>
    <t>http://web.facebook.com/healthrightsuganda</t>
  </si>
  <si>
    <t>Crazy AF Podcast</t>
  </si>
  <si>
    <t>If “self care” was “doing whatever you want” I would be elbow deep in a bag of flaming hot Cheetos right now, but I’m not. #Mentalhealth #selfcare</t>
  </si>
  <si>
    <t>Two millennial girls named Francesca have an honest conversation about their mental health. Come cry with us!</t>
  </si>
  <si>
    <t>Teenage Whisperer</t>
  </si>
  <si>
    <t>"Don’t get me wrong, I don’t need an over-inflated big head. I just need my puny under-inflated one to get to normal size so I can function normally."  #mentalhealth #ukedchat #youthwork #youthmentor</t>
  </si>
  <si>
    <t>http://dld.bz/gM7d8</t>
  </si>
  <si>
    <t>UK with global reach</t>
  </si>
  <si>
    <t>Aim is to assist all those working with disengaged and challenging young people become teenage whisperers. Providing advice, insight &amp; resources.</t>
  </si>
  <si>
    <t>http://www.teenagewhisperer.co.uk</t>
  </si>
  <si>
    <t>Rachel Baker</t>
  </si>
  <si>
    <t>My bad day began with me waking up crying from a nightmare (haven't had those in a while) and it went downhill from there. While I did start to feel a bit better as nighttime rolled around, I'm still an emotional mess. #depression #mentalhealth #MentalHealthAwareness</t>
  </si>
  <si>
    <t>Orangeville, Ontario</t>
  </si>
  <si>
    <t>Aspiring professional wrestler/writer/critic/video game and music enthusiast with a love for life and fun. #MentalHealthAwareness #RomanStrong #RomanReigns</t>
  </si>
  <si>
    <t>http://www.youtube.com/user/RaeAngel07</t>
  </si>
  <si>
    <t>Somewhere House Somerset</t>
  </si>
  <si>
    <t>Great article but we provide service to the whole of Sedgemoor. Thank you for support #fundraiser #mentalhealth #thanks @SomewhereSom @BHWeeklyNews @burnham_on_sea @CheddarVGazette RT @burnham_on_sea: Burnham-On-Sea fundraiser Lewis Matthews sets out on 3,000km world record bid — full story at:</t>
  </si>
  <si>
    <t>https://twitter.com/burnham_on_sea/status/1217716938144714755
https://www.burnham-on-sea.com/news/burnham-on-sea-fundraiser-sets-out-on-3000km-world-record-walk-bid/</t>
  </si>
  <si>
    <t>https://pbs.twimg.com/media/EOYzGALXUAAFjKD.jpg</t>
  </si>
  <si>
    <t>Somerset, UK</t>
  </si>
  <si>
    <t>Somewhere House Somerset’s mission is to provide a therapeutic service for anyone who chooses to access support in the local community.</t>
  </si>
  <si>
    <t>http://somewherehousesomerset.org</t>
  </si>
  <si>
    <t>« When you are no longer involved in the world you live in the joy of God » #JoyTrain #Joy #love #MentalHealth #Mindfulness #StarfishClub #GoldenHearts #FamilyTrain #IAMChoosingLove #SaturdayWisdom #SaturdayThoughts #SaturdayMotivation #God #IAM #Peace #SaturdayFeeling</t>
  </si>
  <si>
    <t>Life Destroyers</t>
  </si>
  <si>
    <t>#socialservices should not be untouchable. Nobody should escape #justice. #mentalhealth issues doesn't equal #childabuse. Being in care as a child does not mean will be an abuser too. Don't judge. Have integrity &amp; good morals. Damaged lives can not be fixed. Gillian Matthews</t>
  </si>
  <si>
    <t>https://pbs.twimg.com/media/EOi9MKNXsAE3QmF.jpg</t>
  </si>
  <si>
    <t>Sparkle Class</t>
  </si>
  <si>
    <t>I'm super excited about this. Amy's had a great idea to help combat loneliness and improve #MentalHealth, and she's doing something about it! RT @InterimAmy: Amazing chat with @SparkleClass about the new #MentalHealth programme I’m launching in Manchester Tech Community! Watch this space to get involved 💜🐝🙌 @AndyM_Oscar @darren1_obrien</t>
  </si>
  <si>
    <t>https://twitter.com/InterimAmy/status/1218423232874893315</t>
  </si>
  <si>
    <t>Help for people who are not normal. #mentalhealth #neurodiversity #autism #adhd #neurodiversesquad #publicspeaking #coaching #consultancy she/her</t>
  </si>
  <si>
    <t>http://www.sparkleclass.com</t>
  </si>
  <si>
    <t>Countess FrightBat ~ в тихом омуте черти водятся</t>
  </si>
  <si>
    <t>Raw compassion by a politician give me a break🤬where was his tears &amp; compassion when I was forced onto the streets by his evil government no tears for #mentalhealth thousands #injuredworkers dumped Xmas Eve 2017 #theprojecttv #abc730 #7News #9News #Sun7 #9Today #nswpol #auspol RT @CorruptNSW: @theprojecttv Karma a b*^ch hypocrite @AndrewConstance &amp;amp; his #nswpol #lnpfail gov sob when it effects them-thousands #injuredworkers cut off Xmas Eve 2017 &amp;amp; dumped to #Centrelink poverty by @GladysB &amp;amp; rich insurers rolling in #workerscomp surplus -people lost homes;marriages broke up; suicides</t>
  </si>
  <si>
    <t>https://twitter.com/corruptnsw/status/1218429931610243072</t>
  </si>
  <si>
    <t>Hell,Hades,Mictlan,Tartarus</t>
  </si>
  <si>
    <t>#OLSC &amp; #ASIC ignore #auslaw in husband's estate. https://www.dropbox.com/s/lqamw5kcie6wrzv/208.pdf?dl=0 Lost job 2012. 29yr daughter @HelpLeila dies #cancer</t>
  </si>
  <si>
    <t>Avani Higgins</t>
  </si>
  <si>
    <t>Although physically tired, I feel mentally strong. The power of a good night’s sleep, pilates and keeping a journal everyday. #wellbeing #mentalhealth</t>
  </si>
  <si>
    <t>Wanstead, London</t>
  </si>
  <si>
    <t>Mum, wife, geeky historian and Headteacher at Connaught School for Girls, Leytonstone. Views are my own.</t>
  </si>
  <si>
    <t>ThoughtBox</t>
  </si>
  <si>
    <t>Could your school introduce a school garden onto the site? So many positive reasons to do so... #mentalhealth #connection #Wellbeing RT @growgardeners: Schools should have a garden for the environment, promote mental health, personal development &amp; community. Sign up for CPD. @hackneyherbal @SoilAssociation @organicUK @UKSustain @FoodGrowSchools @WildlifeTrusts @SembleUK @TommyTonsberg @LdnFarmGarden @TNLComFund @GardenGreengate</t>
  </si>
  <si>
    <t>https://twitter.com/growgardeners/status/1218144299289915392</t>
  </si>
  <si>
    <t>pic.twitter.com/88HkzrunOr</t>
  </si>
  <si>
    <t>Totnes, England</t>
  </si>
  <si>
    <t>Supporting 800+ schools across 45 countries with programmes to help young people deepen connections with themselves, society &amp; the natural world.</t>
  </si>
  <si>
    <t>https://www.thoughtboxeducation.com/</t>
  </si>
  <si>
    <t>I look forward to the day when I get to stand on stage and tell my story under my real name, sparing no detail. This has been a long fucking journey to get here. Who's with me? #PTSD #SickNotWeak #depression #MentalHealthAwareness #SuicideAwareness #suicide #MentalHealth #metoo</t>
  </si>
  <si>
    <t>https://pbs.twimg.com/media/EOi8bm4U4AA_IHY.jpg</t>
  </si>
  <si>
    <t>Society Of Clay</t>
  </si>
  <si>
    <t>Always liked this tune since I first heard it, although I heard a remix; I think the original is just as heart wrenching and (even more) relevant these days: dunno 🤔 #mentalhealth</t>
  </si>
  <si>
    <t>https://youtu.be/VLOUWZdLAMg</t>
  </si>
  <si>
    <t>👿Industrial/Death Metal Music, illustration, painting, writing, madman. Indie, 🚫 PC, ♂️♂️. Video http://youtu.be/v8nROGPg54I http://myspace.com/societyoclay</t>
  </si>
  <si>
    <t>WBP Forum summary – International Forum on Woman's Brain &amp; Mental Health 2019 TODAY working on the upcoming III Int Forum on Women’s Brain and #mentalhealth BOOK the DATE 19-20 Sept 2020 stay tuned #PrecisionMedicine #Switzerland #ETH</t>
  </si>
  <si>
    <t>https://www.forum-wbp.com/wbp-forum-summary/</t>
  </si>
  <si>
    <t>Ethical Tech</t>
  </si>
  <si>
    <t>Mental wellness app developed after personal struggle  #mentalhealth #techforgood</t>
  </si>
  <si>
    <t>https://www.rte.ie/news/ireland/2020/0116/1107878-mental-wellness-app-developed-after-personal-struggle/</t>
  </si>
  <si>
    <t>Take responsibility for what you are building. #EthicalTech #TechForGood</t>
  </si>
  <si>
    <t>Adventure Creators</t>
  </si>
  <si>
    <t>"..the silence became a warm duvet rather than a challenge demanding to be filled." Being comfortable with silence doesn't come naturally to many people. But stilling the mind is so important for #mentalhealth. Wonderful article by @Al_Humphreys</t>
  </si>
  <si>
    <t>https://buff.ly/33DYvfz</t>
  </si>
  <si>
    <t>https://pbs.twimg.com/media/EOi77XsXUAEzupT.jpg</t>
  </si>
  <si>
    <t>The Pyrenees mountains</t>
  </si>
  <si>
    <t>Specialists in creating unforgettable #PYRadventures for families and outdoors lovers in the Pyrenees mountains @theopathitis #SBS winner. Tweets by Penny</t>
  </si>
  <si>
    <t>https://adv.cr/BgLBLS</t>
  </si>
  <si>
    <t>Women and Depression – Womens Brain Project #womensbrainpro #wbpforum #PrecisionMedicine #equity #mentalhealth</t>
  </si>
  <si>
    <t>http://www.womensbrainproject.com/women-and-depression/</t>
  </si>
  <si>
    <t>flipyflips</t>
  </si>
  <si>
    <t>I am doing a Brother check-in. Showing support for one another... I need six men to post, not share, this message to show you are always there if someone needs to talk..🤗🤗🤗😃😃😃 #mentalhealth #lookoutforeachother</t>
  </si>
  <si>
    <t>flipyflips flipping things around... NO MORE BEING ORDINARY BUT RATHER BEING EXTRA ORDINARY!!!</t>
  </si>
  <si>
    <t>http://flipyflips.blogspot.com</t>
  </si>
  <si>
    <t>Ben Yaep</t>
  </si>
  <si>
    <t>It is crucial for every Pastor/Minister to have an outlet. #Mentalhealth #NoMoreBurnOut RT @CTmagazine: Why pastors need to talk about burnout</t>
  </si>
  <si>
    <t>https://twitter.com/CTmagazine/status/1218415724873572352
https://www.christianitytoday.com/edstetzer/2020/january/four-important-reminders-for-pastors-dealing-with-mental-he.html</t>
  </si>
  <si>
    <t>Kuala Lumpur</t>
  </si>
  <si>
    <t>Live to serve God and His people. LOVE GOD WHOLEHEARTEDLY, LOVE PEOPLE FERVENTLY. Making a difference one soul at a time. Instagram: @Benyaep</t>
  </si>
  <si>
    <t>http://dexperienceproject.wordpress.com</t>
  </si>
  <si>
    <t>Leanne</t>
  </si>
  <si>
    <t>Any other #Mentalhealth Twitter users I can #follow?</t>
  </si>
  <si>
    <t>23. Taking my days one day at a time. Mental Health Awearness. Christian. Sharing my thoughts going through my mind</t>
  </si>
  <si>
    <t>Girl Next Door Books</t>
  </si>
  <si>
    <t>🌈Born one Be one🌻  . . . . . #selfhelpforthesoul #support #soulreadings #mentalhealth #mentalillness #mentalhealthawareness #quotes #anxiety #depression #recovery #socialanxiety #ocd #eatingdisorder #anxietyrelief #fighter #staystrong #panicattacks #safe</t>
  </si>
  <si>
    <t>http://Girlnextdoorbooks.com</t>
  </si>
  <si>
    <t>https://pbs.twimg.com/media/EOi6x1wXUAAgIwc.jpg</t>
  </si>
  <si>
    <t>SELF-HELP BOOKS FOR THE SOUL🌟HEAL🌟FIND PEACE🌟 #moodlifter #supporthubs #supportisfree #selfhelpbooks http:/girlnextdoorbooks.com</t>
  </si>
  <si>
    <t>http://girlnextdoorbooks.com</t>
  </si>
  <si>
    <t>Our #therapeutic, free after school program needs a few helping hands.  #houston #texas #mentalhealth #mindfulness #wellness</t>
  </si>
  <si>
    <t>http://goo.gl/PfWfNI</t>
  </si>
  <si>
    <t>Civilian General Idris Isyaku</t>
  </si>
  <si>
    <t>Kaduna, Nigeria</t>
  </si>
  <si>
    <t>Pending</t>
  </si>
  <si>
    <t>Somesh Bhargava</t>
  </si>
  <si>
    <t>selfrealization #selfcontrol #artofliving #mindcontrol #stressfree #mentalhealth #spritual #religious Read my thoughts on @YourQuoteApp at</t>
  </si>
  <si>
    <t>https://pbs.twimg.com/media/EOi6huLU8AAa_5L.jpg</t>
  </si>
  <si>
    <t>Jaipur, India</t>
  </si>
  <si>
    <t>love to serve</t>
  </si>
  <si>
    <t>Stacy Billings</t>
  </si>
  <si>
    <t>Love a little behind the scenes shot camera 📸 Photo  Model miss_merchant_model Event  Venue @NursteadCourt1 Makeup @StacyHill26 . . . #kentmakeupartist #charityfashionshow #mentalhealth…</t>
  </si>
  <si>
    <t>http://diguida.photo
http://m.h.events
https://www.instagram.com/p/B7c7DrVnMpQ/?igshid=12htqetkw637f</t>
  </si>
  <si>
    <t>Listen to today's one-minute #FlashBriefing. Would you like to live your life with less #stress and more #happiness? Discover how to take small steps and CELEBRATE today! #resiliency #motivation #mentalhealth #productivity  on #Podbean</t>
  </si>
  <si>
    <t>https://www.podbean.com/eau/pb-jkvb2-d002f9</t>
  </si>
  <si>
    <t>Birthday: My First Year Blogging My blog has made it to its first birthday, so I thought that I'd do something a little different and talk about that first year  @allthoseblogs @Cbeechat @TEAANDPOST #MentalHealth @BBlogRT #BBlogRT</t>
  </si>
  <si>
    <t>The Vulnerability Registration Service (VRS)</t>
  </si>
  <si>
    <t>These Are The Most Common Issues People Discussed In Therapy This Year  #mentalhealth #mentalhealthmatters #mentalhealthawareness</t>
  </si>
  <si>
    <t>https://www.huffpost.com/entry/most-common-issues-therapy-2019_l_5dfbe11be4b01834791ddaa3</t>
  </si>
  <si>
    <t>We provide vulnerable consumers with a tool to help them protect themselves against the financial, social and personal hardship suffered as a result of debt.</t>
  </si>
  <si>
    <t>https://www.vulnerabilityregistrationservice.co.uk/</t>
  </si>
  <si>
    <t>Ennie Career Coach 🇿🇼🇿🇦🇨🇦🌍</t>
  </si>
  <si>
    <t>The Wheel of Wellness is a key model and tool for managing your life. I use it in career and life coaching as "work-life" integration is a major career and #futureofwork trend. To the 8 areas, I have added digital wellness and #mentalhealth in mine. How do you use this tool?</t>
  </si>
  <si>
    <t>https://pbs.twimg.com/media/EOi5p-KX4AASnlZ.jpg</t>
  </si>
  <si>
    <t xml:space="preserve">Zimbabwe; South Africa </t>
  </si>
  <si>
    <t>Career Coach &amp; Learning Expert offering FREE career advice, learning resources, life wellness tips and daily motivation. Head of Learning &amp; Knowledge @ActionAid</t>
  </si>
  <si>
    <t>http://www.ennielifecoach.com</t>
  </si>
  <si>
    <t>Saint's Health &amp; Wellness</t>
  </si>
  <si>
    <t>Around 1 in 5 of the world's children and adolescents have a mental disorder. (Source: World Health Organization) #MentalHealthAwareness #MentalHealthMatters #mentalhealth #WHO #worldhealthorganization #Facts</t>
  </si>
  <si>
    <t>https://pbs.twimg.com/media/EOi5IX1WsAEDtbV.png</t>
  </si>
  <si>
    <t>Metairie, LA</t>
  </si>
  <si>
    <t>Saint's Health &amp; Wellness specializes in balancing the mind and body through customizing behavioral health treatment to each individual's needs and preferences.</t>
  </si>
  <si>
    <t>http://saintshealth.com</t>
  </si>
  <si>
    <t>Emily B</t>
  </si>
  <si>
    <t>struggling to find that peace... 🙏🏼🖤 #mentalhealth #mentalhealthmatters #struggling #tryingtohanginthere</t>
  </si>
  <si>
    <t>https://pbs.twimg.com/media/EOi47fDUwAAydA4.jpg</t>
  </si>
  <si>
    <t>eastcoastcosmicdust</t>
  </si>
  <si>
    <t>nerdygothy90slovinpoetfarmgirlwahippiesoul. listenstomusictooloud. skullstatscatsbabes.lover of all things darkmysterious&amp;glittered. meet me under the appletree</t>
  </si>
  <si>
    <t>Kumar Sankaran</t>
  </si>
  <si>
    <t>Modern Health Raises $31 Million In Fresh Funding From Founders Fund And John Doerr.  #funding #mentalhealth #health</t>
  </si>
  <si>
    <t>https://www.forbes.com/sites/alexandrawilson1/2020/01/15/exclusive-on-the-heels-of-cofounder-lawsuit-modern-health-raises-31-million-in-fresh-funding/</t>
  </si>
  <si>
    <t>Bangalore</t>
  </si>
  <si>
    <t>Earthling! Building India's first Microbiome company - @LeucineRichBio Product - @BugSpeaks #FaustianBargain #GutMicrobiome</t>
  </si>
  <si>
    <t>https://BugSpeaks.com</t>
  </si>
  <si>
    <t>Shruti Gautam</t>
  </si>
  <si>
    <t>This is important and people need to empathize instead of sympathizing. #Mentalhealth #MentalHealthMatters #MentalHealthAwareness #Everycomfortingwordmatters RT @PaarulC: "For many of us, the start of a New Year is about a fitness regimen, cleaning out of cupboards and pushing the refresh button in the physical sense. This year, can we spare a thought for our mental and emotional wellbeing, as well?" #MentalHealthMatters</t>
  </si>
  <si>
    <t>https://twitter.com/PaarulC/status/1218425527943352321
https://twitter.com/PRmomentIndia/status/1218424966485434368</t>
  </si>
  <si>
    <t>Happiest and Sorted! 🦄 #Himachali PR @HKStrategies Instagram : thegipsysoul</t>
  </si>
  <si>
    <t>http://www.gipsyshruty.wordpress.com</t>
  </si>
  <si>
    <t>ladandadTV</t>
  </si>
  <si>
    <t>Here’s a show for you… Men Are Nuts (Trailer) episode of Men Are Nuts @StanCollymore @seancannell @NIMHgov  #MentalHealthAwareness #MentalHealthAwareness #mentalhealth</t>
  </si>
  <si>
    <t>https://open.spotify.com/episode/23FQP9bhcYjVd5yxM3OHsH?si=1El2VWZrST2H0m2027tPew</t>
  </si>
  <si>
    <t>follow us on Instagram and YouTube vegan 5yr old lad and dad shenanigans unboxings and alsorts</t>
  </si>
  <si>
    <t>s mathew</t>
  </si>
  <si>
    <t>IND</t>
  </si>
  <si>
    <t>.......a journey..........thus far and henceforth.......the BEAVER builds...dams canals and lodges..7 +2 = 9 so is 5 +4 . Co existence</t>
  </si>
  <si>
    <t>Satria Deradjat</t>
  </si>
  <si>
    <t>May I help You..?! Ada yg bisa saya bantu..?!</t>
  </si>
  <si>
    <t>Vara prasad EROTHA</t>
  </si>
  <si>
    <t>We are pleased to welcome you to attend and collaborate with us at #Global conclave on #Hypertension and #Healthcare Expo on November 16-17, 2020 at Dubai, UAE. #Cardiology #Mentalhealth #neuroscience #pediatrichypertension</t>
  </si>
  <si>
    <t>https://pbs.twimg.com/media/EOi3crSVAAA4cV-.jpg</t>
  </si>
  <si>
    <t>conferences manager</t>
  </si>
  <si>
    <t>humanity</t>
  </si>
  <si>
    <t>#MKATC ** KARTAL YUVASI **</t>
  </si>
  <si>
    <t>Kim olursan ol gelme !.Atamızı, Bayrağımızı, TC vatandaşlığını kabul etmiyorsan, PKK ve Arap canilerini savunuyorsan, kör cahilsen sakın gelme. Yeni Mevlana</t>
  </si>
  <si>
    <t>Iceberg SelfHelp</t>
  </si>
  <si>
    <t>18th January Today's Recovery Tip: Speed Up Your Metabolism  via @marie_at_marino #EatingDisorders #Recovery #MentalHealth #Anorexia #bulimia #EmotionalEating #BED #body #Nutrition</t>
  </si>
  <si>
    <t>https://www.marinotherapycentre.com/18th-january-todays-recovery-tip-speed-up-your-metabolism/</t>
  </si>
  <si>
    <t>Eating Disorder Self Help Website providing Daily Tips and Tools dedicated to Full Recovery.</t>
  </si>
  <si>
    <t>http://www.marinotherapycentre.com</t>
  </si>
  <si>
    <t>ZAYD</t>
  </si>
  <si>
    <t>Keep on smiling! Remember that you are awesome and you are always loved. ❤ #Mentalhealth #MentalHealthAwareness #MentalHealthMatters</t>
  </si>
  <si>
    <t>https://pbs.twimg.com/media/EOi2dxyUwAEIjEp.jpg</t>
  </si>
  <si>
    <t>SK, Canada</t>
  </si>
  <si>
    <t>Official account of singer/songwriter ZAYD</t>
  </si>
  <si>
    <t>http://www.thisizzayd.com</t>
  </si>
  <si>
    <t>I'm up before dawn playing in the dark with bubbles paint and light. Looking forward to being with friends later.#ideas #abstractart #abstractphotography #darkroom #z5 #6MusicFamily #mentalhealth #recovery progress through process not #Rothko yet #love #rothkoeverywhere 💙 x</t>
  </si>
  <si>
    <t>https://pbs.twimg.com/media/EOi2BheWAAAqP5y.jpg</t>
  </si>
  <si>
    <t>Wambua</t>
  </si>
  <si>
    <t>Kenya</t>
  </si>
  <si>
    <t>Admirer of The Human Spirit . Full Time Student of Life . Manchester United Fan . Coder . Script-er</t>
  </si>
  <si>
    <t>https://twitter.com/drwambua</t>
  </si>
  <si>
    <t>Amy Newton</t>
  </si>
  <si>
    <t>Amazing chat with @SparkleClass about the new #MentalHealth programme I’m launching in Manchester Tech Community! Watch this space to get involved 💜🐝🙌 @AndyM_Oscar @darren1_obrien</t>
  </si>
  <si>
    <t>Manchester</t>
  </si>
  <si>
    <t>Manchester | Tech Brand Consultant and Event Organiser. Intersectional Womanist | D&amp;I | Mental Health | LGBTQ+ She / Her</t>
  </si>
  <si>
    <t>http://www.linkedin.com/in/amynewtontestspecialist</t>
  </si>
  <si>
    <t>Julie Anne</t>
  </si>
  <si>
    <t>Perhaps we can eliminate diagnostic categories and terminology such as "disorder", &amp; simply look at individuals' experiences &amp;amp; traits rather than inaccurate/inconsistent labelling &amp;amp; branding in matters of #mentalhealth. How about we even just refer to "health" &amp;amp; "wellbeing"?</t>
  </si>
  <si>
    <t>UK/Worldwide</t>
  </si>
  <si>
    <t>#MentalHealth speaker &amp; experienced linguist in the #legal field. Facebook: Mental Health Speaker UK &amp; EZ Legal Language</t>
  </si>
  <si>
    <t>http://www.mentalhealthspeaker.co.uk</t>
  </si>
  <si>
    <t>Lloyd A Knudson</t>
  </si>
  <si>
    <t>Watched a very eye opening documentary @netflix that has me asking if I do enough #AaronHernadez #CTE #Concussion #mentalhealth #AT4ALL</t>
  </si>
  <si>
    <t>Florida, USA 🌴</t>
  </si>
  <si>
    <t>Certified Athletic Trainer, Sports Medicine Coordinator and Kiley’s dad! A great pleasure in life is doing what people say you cannot do.-Walter Bagehot</t>
  </si>
  <si>
    <t>kamna chhibber</t>
  </si>
  <si>
    <t>More conversations on #Mentalhealth is the key! Brilliant initiative @Sairee @sheroes @fortis_hospital RT @Sairee: It's a busy Saturday around here as our community participates in 3 diverse meet ups. #SHEROES Entrepreneur Market in Mumbai with @RelianceSmartIN Global Diversity CFP day with @MicrosoftIndia @CodingBlocksIn #Mentalhealth series with @fortis_hospital @dr_samirparikh</t>
  </si>
  <si>
    <t>https://twitter.com/Sairee/status/1218416921491562496</t>
  </si>
  <si>
    <t>https://pbs.twimg.com/media/EOivtgPVUAElfXv.jpg</t>
  </si>
  <si>
    <t>Delhi</t>
  </si>
  <si>
    <t>Clinical #Psychologist, writer, author, speaker, #mentalhealth advocate. Head - Mental Health and Behavioral Sciences, Fortis Healthcare</t>
  </si>
  <si>
    <t>http://www.fortishealthcare.com/india/clinical-speciality/mental-health-and-behavioural-sciences-268</t>
  </si>
  <si>
    <t>Kamlesh Pisalkar Psychologists</t>
  </si>
  <si>
    <t>Delivered information about #MentalHealth issues and #suicidePrevention, #Addition &amp; #stressManagement in #NSS #camp, vidyabharti #college, kelzar, taluka #seloo by #DMHP and prakalp prerana team, #wardha</t>
  </si>
  <si>
    <t>https://pbs.twimg.com/media/EOi1DKwU8AA1ZZY.jpg</t>
  </si>
  <si>
    <t>Nagpur</t>
  </si>
  <si>
    <t>Clinical Psychologists</t>
  </si>
  <si>
    <t>Chango Reuben</t>
  </si>
  <si>
    <t>Deniz Reno</t>
  </si>
  <si>
    <t>My New single is out #BRIGHTEST Available on all major streaming platforms 🇨🇦  ... #newmusic #lovesong #mentalhealth #singersongwriter #popmusic #canadianmusic #toronto #grahamdickinson #grahamdickinsonofficial</t>
  </si>
  <si>
    <t>http://www.denizreno.com/taksu-records</t>
  </si>
  <si>
    <t>pic.twitter.com/E5tDvmOCbi</t>
  </si>
  <si>
    <t>Singer/Songwriter/Producer/Visual Artist • ‘BRIGHTEST’ is Out Now http://www.denizreno.com/taksu-records</t>
  </si>
  <si>
    <t>http://www.denizreno.com</t>
  </si>
  <si>
    <t>Climpo</t>
  </si>
  <si>
    <t>#DJ2COMBATSTRESS are looking for events to perform at this year to raise vital funds for charities @CombatStress &amp; @ptsdresolution. Please get in touch if you can help out! #Climpo #veterans #charity #ptsd #fundraising #dj #djlife #suicideprevention #mentalhealth #wellness</t>
  </si>
  <si>
    <t>pic.twitter.com/TcIEnGtZRj</t>
  </si>
  <si>
    <t>Bedford, England</t>
  </si>
  <si>
    <t>D&amp;B DJ / Producer. In2Beats 106.5FM Bedford Mon 10pm. #DJ2CombatStress http://Soundcloud.com/climpo http://Mixcloud.com/djclimpo</t>
  </si>
  <si>
    <t>http://www.DJClimpo.com</t>
  </si>
  <si>
    <t>https://pbs.twimg.com/media/EOi0mMRXUAMvaWb.jpg
https://pbs.twimg.com/media/EOh4KpqX4AIfBzd.jpg</t>
  </si>
  <si>
    <t>Aaron Koul</t>
  </si>
  <si>
    <t>If I'm the one having a mental breakdown, then I get to choose the music. #Mentalhealth #music</t>
  </si>
  <si>
    <t>Rota Gyaani. Content Creator.</t>
  </si>
  <si>
    <t>this could be how you start a conversation with a loved one about depression: Recently, I've noticed some changes in you and wanted to see if you were doing alright #mentalhealth #depression</t>
  </si>
  <si>
    <t>Adam Fennessy</t>
  </si>
  <si>
    <t>Great example of how #flexiblework helps #productivity, #genderequality &amp; #mentalhealth, &amp;amp; takes leadership @malechampions</t>
  </si>
  <si>
    <t>https://www.afr.com/work-and-careers/management/secret-of-my-success-think-of-macquarie-and-do-the-opposite-20200102-p53obu</t>
  </si>
  <si>
    <t>Brisbane, Australia</t>
  </si>
  <si>
    <t>Partner @EY_Australia Infrastructure Advisory, Govt &amp; Public Sector #Brisbane. National Male Champion of Change, @IPAAVic Fellow @WLAsocial board, views my own</t>
  </si>
  <si>
    <t>http://ey.com</t>
  </si>
  <si>
    <t>Peach 🎨</t>
  </si>
  <si>
    <t>I decided its time to just, tell my story. I'll be discussing ptsd, mental health, chronic illness, and more, so come subscribe to my awkward self! ✨  #mentalhealth #YouTube #chronicillness #chronicpain #spoonie</t>
  </si>
  <si>
    <t>http://youtu.be/qvdY1RD8zas</t>
  </si>
  <si>
    <t>Connecticut</t>
  </si>
  <si>
    <t>Artist || follow me on insta &amp; fb @meannectarine🍑 Commissions Open! 🖌</t>
  </si>
  <si>
    <t>http://facebook.com/meannectarine</t>
  </si>
  <si>
    <t>Kaushal Kishore</t>
  </si>
  <si>
    <t>Himachal Pradesh, India</t>
  </si>
  <si>
    <t>More info</t>
  </si>
  <si>
    <t>CPTSD Foundation</t>
  </si>
  <si>
    <t>Therapy allowed me to internalize and mimic my therapists’ consistent and reliable stance of being on my side. This in turn led me to gravitate toward safer and more truly intimate friendships. - #MentalHealth #Inspiration #CPTSDRecovery #betterthoughts #mentalhealthawareness</t>
  </si>
  <si>
    <t>https://pbs.twimg.com/media/EOizdY6WsAEzZPs.png</t>
  </si>
  <si>
    <t>👇🏻daily calls📲 365 days/yr</t>
  </si>
  <si>
    <t>Foundation for Post-Traumatic Healing and Complex Trauma Research • Providing trauma-informed education and resources to practitioners and survivors since 2014</t>
  </si>
  <si>
    <t>http://cptsdfoundation.org</t>
  </si>
  <si>
    <t>Do You Wear a Frantic Lifestyle As a Badge of Honor? ➤  | By Frank Sonnenberg | #Stress #MentalHealth</t>
  </si>
  <si>
    <t>http://bit.ly/2o41exz</t>
  </si>
  <si>
    <t>Benefits of sleep: Sleep Reduces Inflammation Good rest is very important for better functioning of your digestive system and energy levels We help you sleep better -&gt;  #selfcare #sleep #wellness #mentalhealth #help #night #self #care #sleeping</t>
  </si>
  <si>
    <t>https://app.wysa.io/sleep</t>
  </si>
  <si>
    <t>becky kabugo</t>
  </si>
  <si>
    <t xml:space="preserve">Uganda </t>
  </si>
  <si>
    <t>Black is strong, black is beautiful, Africa is strong, Africa is beautiful, and so are her children.... and they know it not.</t>
  </si>
  <si>
    <t>Dr. Samir Parikh</t>
  </si>
  <si>
    <t>Brilliant work @Sairee @sheroes for the community. So good to see #mentalhealth being integrated. RT @Sairee: It's a busy Saturday around here as our community participates in 3 diverse meet ups. #SHEROES Entrepreneur Market in Mumbai with @RelianceSmartIN Global Diversity CFP day with @MicrosoftIndia @CodingBlocksIn #Mentalhealth series with @fortis_hospital @dr_samirparikh</t>
  </si>
  <si>
    <t>New Delhi</t>
  </si>
  <si>
    <t>Psychiatrist, Speaker, Author, Mentor. Director-Fortis National Mental Health Program. Fortis Healthcare.</t>
  </si>
  <si>
    <t>Cerulean Learning</t>
  </si>
  <si>
    <t>Mental health issues in the #workplace can be stigmatised. Our #MentalHealth Awareness Sessions have been created to increase awareness, support managers &amp; help people understand how to respond to someone having a mental health difficulty.</t>
  </si>
  <si>
    <t>https://buff.ly/2NqJg5R</t>
  </si>
  <si>
    <t>https://pbs.twimg.com/media/EOiyijnXkAIS0h7.jpg</t>
  </si>
  <si>
    <t>Surrey, England</t>
  </si>
  <si>
    <t>We are a #learning &amp; development boutique - no 'sheep-dip' #training here &amp; no talk n chalk! Just relevant, practical and thoughtful learning. Tweets by Imogen</t>
  </si>
  <si>
    <t>http://www.ceruleanblu.co.uk</t>
  </si>
  <si>
    <t>Am I CAPABLE of Killing and Eating a target? *Yes..! #VeteranPeerSupport #MentalHealth #NarcissisticAbuseSurvivor #NarcissistExposer #AwakenedEmpath #PowerOfaGod #ExposeTheParasites #DontLetThemEatYou #Aliens #Monsters #Predators #Sentience #Evil #AntipsychoticComedy #Armageddon</t>
  </si>
  <si>
    <t>🦊</t>
  </si>
  <si>
    <t>Philippines, Province of China</t>
  </si>
  <si>
    <t>STAND FIRM! • Suicide Prevention and Emotional Crisis Line: 0917-899-8727</t>
  </si>
  <si>
    <t>Medicating Normal</t>
  </si>
  <si>
    <t>We had a great time at the premiere of our film at #SBIFF! The audience absolutely loved the film!! That’s a wrap! #medicatingnormal #mentalhealth @ Santa Barbara, California</t>
  </si>
  <si>
    <t>https://www.instagram.com/p/B7c29c7gRof/?igshid=mwtk3fi31rz</t>
  </si>
  <si>
    <t>This is a documentary film about what happens when profit-driven medicine intersects with human beings in distress.</t>
  </si>
  <si>
    <t>Is Digital Gaming the Right Option for Stress Management?  #Mentalhealth #MobileGame #Stress</t>
  </si>
  <si>
    <t>https://www.mapsofindia.com/my-india/society/is-digital-gaming-the-right-option-for-stress-management</t>
  </si>
  <si>
    <t>Zanga Musakuzi</t>
  </si>
  <si>
    <t>You are not alone, speak and will listen My ears are all yours, I will create time for you, I will listen to you, you don't need to fight the battle alone, I'll stand with you My brother Open up am here for you Men's mental health Retweet for awareness #ZedTwitter #mentalhealth</t>
  </si>
  <si>
    <t>https://pbs.twimg.com/media/EOix0JhXUAAVV85.jpg</t>
  </si>
  <si>
    <t>Lusaka</t>
  </si>
  <si>
    <t>Am a devoted Christian * pharmacist by profession* Mental Health advocate* am a jovial person, Calm and collected. * CEO at Medsearch Zambia.</t>
  </si>
  <si>
    <t>Do You have the AUDACITY to FACE The Devil? *I Do..! #VeteranPeerSupport #MentalHealth #NarcissisticAbuseSurvivor #NarcissistExposer #AwakenedEmpath #PowerOfaGod #ExposeTheParasites #DontLetThemEatYou #Aliens #Monsters #Predators #Sentience #Evil #AntipsychoticComedy #Armageddon</t>
  </si>
  <si>
    <t>Perfect Solutions</t>
  </si>
  <si>
    <t>Yes you are ! Chronic pain and fibromyalgia Do your Emotions and Self Doubt hold you back Anxiety Then why not take a look at my free articles here with some self-help tips  #hypnotherapy #Mentalhealth #Hero #love @</t>
  </si>
  <si>
    <t>https://www.hypnotherapy-directory.org.uk/hypnotherapists/susan-watson</t>
  </si>
  <si>
    <t>https://pbs.twimg.com/media/EOixwYlX4AAZbZR.jpg</t>
  </si>
  <si>
    <t>At times we all need support, encouragement and motivation, we certainly need to know how to stay confident in the face of life's challenges.</t>
  </si>
  <si>
    <t>https://business.google.com/site/l/11911151036556936442</t>
  </si>
  <si>
    <t>breakthroughcounseling</t>
  </si>
  <si>
    <t>Being kind &amp; compassionate towards urself is as important as others.Self♡ #christiancounseling #mentalhealth #mentalhealthmatters #christianmentalhealth #mentalhealthawareness #counseling #therapy #counselingpsychology #christiantherapy #mentalhealthadvocate #spiritualcounseling</t>
  </si>
  <si>
    <t>https://pbs.twimg.com/media/EOixloHW4AAJLQV.jpg</t>
  </si>
  <si>
    <t>Alsip IL</t>
  </si>
  <si>
    <t>We are Christian counselors who are deeply committed to help you meet the challenges of life</t>
  </si>
  <si>
    <t>http://breakthroughsupportandcounseling.com</t>
  </si>
  <si>
    <t>Byron Javier Yacelga</t>
  </si>
  <si>
    <t>Quito</t>
  </si>
  <si>
    <t>Emprendimiento e innovación</t>
  </si>
  <si>
    <t>A Journey Through the Fog</t>
  </si>
  <si>
    <t>"I want to be able to anticipate the future with the fizz of excitement rather than the mist of anxiety that surrounds me." by @naturalspoonie #chronicillness #mentalhealth #health</t>
  </si>
  <si>
    <t>http://talesofanaturalspoonie.com/2020/01/17/january-2020-a-chronic-voice-linkup-party/</t>
  </si>
  <si>
    <t>She/Her</t>
  </si>
  <si>
    <t>Jo Moss. #MECFS, #Fibromyalgia and #MentalHealth campaigner. #CBD advocate. #Author of http://facebook.com/ajourneythroug… #writingcommunity</t>
  </si>
  <si>
    <t>http://www.ajourneythroughthefog.co.uk</t>
  </si>
  <si>
    <t>ashwini</t>
  </si>
  <si>
    <t>Bhopal, Madhya Pradesh</t>
  </si>
  <si>
    <t>A community driven conservationist, looking for the hidden treasures of nature, traveler at core, likes to be behind camera, foodie.</t>
  </si>
  <si>
    <t>joydeep ghosh</t>
  </si>
  <si>
    <t>#AI or #artificialintelligence #tool can help detect changes in #patients' #mentalhealth</t>
  </si>
  <si>
    <t>https://lnkd.in/f-rYk4T</t>
  </si>
  <si>
    <t>Hyderabad, Andhra Pradesh</t>
  </si>
  <si>
    <t>born human, patriotic but not nationalist, thinker, blogger, content developer, script writer, freelance writer, review writer, SEO, and much more</t>
  </si>
  <si>
    <t>SHEROES</t>
  </si>
  <si>
    <t>#Tech #MentalHealth #Entrepreneurship in focus at our events today in #Delhi #Gurgaon #Mumbai. Ladies, get onto the SHEROES app to follow the action!</t>
  </si>
  <si>
    <t>https://pbs.twimg.com/media/EOiwh5TUwAAx2P0.jpg</t>
  </si>
  <si>
    <t>Women-Only Social Network 👭offering communities, a counselling chat helpline, resources, opportunities, peer-to-peer conversations, a marketplace, tons more.</t>
  </si>
  <si>
    <t>http://sheroes.com</t>
  </si>
  <si>
    <t>🌈Sorgan🦄spong💖 Yoda planet🧩 Squee❤Australia 🏳</t>
  </si>
  <si>
    <t>brisbane/ boring / weirdo</t>
  </si>
  <si>
    <t>❤broadcaster at 4zzzfm❤contact http://4zzz.org.au , #lyrical #poet nouning verbs, former feminist #radio weirdo 🧩❤i just review the musics</t>
  </si>
  <si>
    <t>http://www.myspace.com/lyricalspongo</t>
  </si>
  <si>
    <t>Lukáš Křivanec</t>
  </si>
  <si>
    <t>Praha</t>
  </si>
  <si>
    <t>Ne z Prahé</t>
  </si>
  <si>
    <t>Dr Ravi Wairagade</t>
  </si>
  <si>
    <t>ASK RIGHT QUESTIONS, GET RIGHT HEALTHCARE.  via @YouTube #DrRv #chronicdiseases #SaturdayVibes #SaturdayMotivation #SaturdayThoughts #diseases #allergies #diabetes #chronicpain #arthritis #autoimmunediseases #sleepdisorder #mentalhealth</t>
  </si>
  <si>
    <t>https://youtu.be/H8l9pK4E2aU</t>
  </si>
  <si>
    <t>ADVANCED GENETIC-HOLISTIC HEALTH EXPERT. LIFE TRANSFORMER. AUTHOR/SPEAKER/TRAINER.</t>
  </si>
  <si>
    <t>Sairee Chahal</t>
  </si>
  <si>
    <t>It's a busy Saturday around here as our community participates in 3 diverse meet ups. #SHEROES Entrepreneur Market in Mumbai with @RelianceSmartIN Global Diversity CFP day with @MicrosoftIndia @CodingBlocksIn #Mentalhealth series with @fortis_hospital @dr_samirparikh</t>
  </si>
  <si>
    <t>#Universe girl. Partial to 💜 Work &amp; Love, Love &amp; Work #womensinternet #upintheair #nobrakes Founder, CEO @SHEROES</t>
  </si>
  <si>
    <t>Health Mastery Seminar  via @YouTube #DrRv #chronicdiseases #SaturdayVibes #SaturdayMotivation #SaturdayThoughts #diseases #allergies #diabetes #chronicpain #arthritis #autoimmunediseases #sleepdisorder #mentalhealth</t>
  </si>
  <si>
    <t>https://youtu.be/aRy8_h6FxsU</t>
  </si>
  <si>
    <t>✨👑 Łøčð Empress 👑✨</t>
  </si>
  <si>
    <t>Link in bio.‼️Like,Comment, and Subscribe to my #youtubechannel Empress Locss TV 🙏🏼 #cerebralpalsy #mentalhealth #music #kpop</t>
  </si>
  <si>
    <t>https://pbs.twimg.com/media/EOivgavX0AAs9b-.jpg</t>
  </si>
  <si>
    <t>Lɨttʟɛ Laɖʏ | 5'0 😈| |ċօʟʟɛɢɛ ɮօʊռɖ 🖊📚| Iռstaɢʀaʍ empresslocss| Snapchat ʟɨttʟɛ.ʟaɖʏ21| GÓÖFŸ ÂŚF😂 #gsu 💙 #youtuber 👩🏽‍💻. SUBSCRIBE👇🏼 #cerebralpalsy</t>
  </si>
  <si>
    <t>https://www.youtube.com/channel/UCQVEE5Aam-MBqPgHPwEqkKA</t>
  </si>
  <si>
    <t>Wisdom Wellness Coaching</t>
  </si>
  <si>
    <t>Don’t try to protect people from feeling pain and sadness, try to protect them from going through it alone #gabormate #pain #sadness #lonely #connection #friends #support #healthcoach #mentalhealth</t>
  </si>
  <si>
    <t>Mind, body, and soul wellness coach. Empowering you to take ownership of your own healing! You are far more powerful than you think.</t>
  </si>
  <si>
    <t>TOP 10 DANGERS OF MEDICAL TECHNOLOGY  via @YouTube #DrRv #chronicdiseases #SaturdayVibes #SaturdayMotivation #SaturdayThoughts #diseases #allergies #diabetes #chronicpain #arthritis #autoimmunediseases #sleepdisorder #mentalhealth</t>
  </si>
  <si>
    <t>https://youtu.be/xMduamBTQK8</t>
  </si>
  <si>
    <t>Keep Smiling Keep Shining</t>
  </si>
  <si>
    <t>Beautiful Earth &amp; Heart</t>
  </si>
  <si>
    <t>Remaining Few Beautiful Days Dedicated to Loved-ones</t>
  </si>
  <si>
    <t>Nay</t>
  </si>
  <si>
    <t>This is wonderful news. 85 to 90% remission rate from PTSD due to MDMA assisted psychotherapy. It was there in the 80s, before drug companies pushed the drug war narrative with congress. #PTSD #Mentalhealth RT @greggutfeld: Amazing news. Times finally changing.</t>
  </si>
  <si>
    <t>https://twitter.com/greggutfeld/status/1218338267948572673
https://twitter.com/maps/status/1218254115471421445</t>
  </si>
  <si>
    <t>The Yay Area</t>
  </si>
  <si>
    <t>Animal lover. #Peloton, crossfit and meat lover, empath to a fault. Loves #MetalCats.</t>
  </si>
  <si>
    <t>boricuamarzo</t>
  </si>
  <si>
    <t>Final Fantasy VII March 3 2020 Marvel's Avengers May 15 2020 Pokemon Isle of Armor June 2020 The Mandalorian Fall 2020 Pokemon Crown Tundra Fall 2020</t>
  </si>
  <si>
    <t>Abhinav Singh</t>
  </si>
  <si>
    <t>RECOGNIZE THE BIASES- A step forward to search the irrationality operating inside you, as well as to identify such irrationality in others. #personalgrowth #Mentalhealth #ReadThis #Mindset #learning #ThoughtOfTheDay @AltCampus #insiders #knowledge #KnowThyself #knowledgeispower</t>
  </si>
  <si>
    <t>Lucknow, India</t>
  </si>
  <si>
    <t>CSE Grad || Full Stack Developer || FOSS is Love || Learning code @altcampus</t>
  </si>
  <si>
    <t>Rana.I.Alfaleh</t>
  </si>
  <si>
    <t>Riyadh</t>
  </si>
  <si>
    <t>How fine are you today ?</t>
  </si>
  <si>
    <t>𝕄𝕒𝕣𝕥 🤡</t>
  </si>
  <si>
    <t>Bogota,colombia</t>
  </si>
  <si>
    <t>Kenny 🧡 ⎥SHE/HER⎥🏳️‍🌈⎥A little girl 🌸⎥🇨🇴 @Profanasionez 🔞 @Depravasionez ⚠️</t>
  </si>
  <si>
    <t>OLUWADAHUNSIADURAMI</t>
  </si>
  <si>
    <t>#BarcelonaAddict #Pharmacist #Jesusson wanna know me click ND follow botton..ignore me now &amp; u'll have to fill a form to see me later</t>
  </si>
  <si>
    <t>Halit Kalelioğlu</t>
  </si>
  <si>
    <t xml:space="preserve">İstanbul / Maryland </t>
  </si>
  <si>
    <t>Yaşamda Tesadüf Yoktur! Anlam Veremediğimiz / Anlamadığımız Durumlar Vardır... #FENERBAHÇESPORKULUBU #1907FENERBAHCEDER #SISLIROTARYKULUBU #KLASIKOTOMOBILKULUBU</t>
  </si>
  <si>
    <t>http://www.futurist.com.tr</t>
  </si>
  <si>
    <t>Mae T. Bisnar 🌻</t>
  </si>
  <si>
    <t>"We stopped checking for monsters under our bed when we realize they were inside us." - Joker #jokersuicidesquad #joker #thesuicidesquad #mentalhealth #qposket</t>
  </si>
  <si>
    <t>https://www.instagram.com/p/B7c0x0IHjhk/?igshid=yz46xpabnn2y</t>
  </si>
  <si>
    <t>Antipolo City</t>
  </si>
  <si>
    <t>FEU | BS Psychology | Future Psychologist ψ | Aries | Photo &amp; Memory hoarder | Makeup, book, dog &amp; coffee lover</t>
  </si>
  <si>
    <t>Yasmeen Ali</t>
  </si>
  <si>
    <t>Lahore</t>
  </si>
  <si>
    <t>Lawyer Ex Uni. Professor. Op Ed Columnist.Blogger http://pakpotpourri2.wordpress.com Author: ' A Comparative Analysis Media &amp; Media Laws in Pakistan'</t>
  </si>
  <si>
    <t>Linda Green</t>
  </si>
  <si>
    <t>when you’re trying to get stuff done in spite of a #mentalhealth situation, time management is an issue. Set aside a block of time when you tend to have more energy for more complex tasks. For me, “Financial Friday” is all I do Friday afternoon. #ptsd #livewell #ptsdpuzzle 🧩</t>
  </si>
  <si>
    <t>#PTSD #PTSI is an injury. Growth &amp; Recovery is possible. Certified High Performance Coach. Author. Badass PTSI survivor. #PTSDpuzzle</t>
  </si>
  <si>
    <t>http://www.encouragegreen.com</t>
  </si>
  <si>
    <t>https://www.lnk.xyz/BJA6d6RxL?aduc=11FvHLo1579327596650</t>
  </si>
  <si>
    <t>Transitions-Mental Health Association</t>
  </si>
  <si>
    <t>Our #mentalhealth song this week, "I Wanna Get Better" by @bleachersmusic, could be your next self-improvement #anthem. You'll be shouting along with the chorus in no time - we promise. Watch the music video here:</t>
  </si>
  <si>
    <t>https://www.youtube.com/watch?v=o5osPtE7kXI</t>
  </si>
  <si>
    <t>784 High St, San Luis Obispo</t>
  </si>
  <si>
    <t>Inspiring hope, growth, recovery, and wellness in our San Luis Obispo and Northern Santa Barbara communities.</t>
  </si>
  <si>
    <t>https://www.t-mha.org/</t>
  </si>
  <si>
    <t>Chitrali</t>
  </si>
  <si>
    <t>The studies show that sadness plays an especially strong role in triggering addictive behavior #Health #addiction #mentalhealth #anxiety #stress #sadness #hope #smoking #management #Wellbeing</t>
  </si>
  <si>
    <t>https://www.hks.harvard.edu/faculty-research/policy-topics/health/report-sadness-triggers-addictive-behavior</t>
  </si>
  <si>
    <t>Anna Chandy</t>
  </si>
  <si>
    <t>bangalore</t>
  </si>
  <si>
    <t>Transactional Analyst | Counselor | learner l Author | Eternal Optimist | Chairperson -The Live Love Laugh Foundation l Philanthropist in Mental Health</t>
  </si>
  <si>
    <t>http://www.annachandy.com</t>
  </si>
  <si>
    <t>Okay, Cool Kids. I see the number. My kids see this number and milestone. I’m blown away. YOU blow me away. Thank you, thank you, thank you for your support and encouragement to helping me help others. #PTSD #MentalHealth #PTSDandBeyond #StrongerTogether #10K</t>
  </si>
  <si>
    <t>barbara t. lameduck 🇮🇹</t>
  </si>
  <si>
    <t>italy</t>
  </si>
  <si>
    <t>Psicologia Sperimentale. Scrivo dal 2006 sul blog "L'Orizzonte degli Eventi", ora anche canale YouTube. Sono la vostra spin doctor nel fianco.</t>
  </si>
  <si>
    <t>http://ilblogdilameduck.blogspot.com</t>
  </si>
  <si>
    <t>victoria english</t>
  </si>
  <si>
    <t>#Weekendwisdom sometimes just carrying on is brave and magnificent #mentalhealth #depression #anxiety #resilience</t>
  </si>
  <si>
    <t>https://pbs.twimg.com/media/EOisYIZXkAEqBYa.jpg</t>
  </si>
  <si>
    <t>Lecturer/ #MentalHealth/Resilience Consultant/#LifeCoach passionate about #mentalhealth #mindfulness&amp; #HappyList2018 #Toolkitresiliencetrainer!</t>
  </si>
  <si>
    <t>Holly Grimsrud Art</t>
  </si>
  <si>
    <t>First time I’ve made art for the purpose of hanging in my home. Not ready for the tattoo, but I’ll nail a hole in my wall for this important topic. #mentalhealth</t>
  </si>
  <si>
    <t>https://pbs.twimg.com/media/EOisK7BX0AI9c_b.jpg</t>
  </si>
  <si>
    <t>Artist &amp; Creative in Education</t>
  </si>
  <si>
    <t>http://www.hollygrimsrudart.com</t>
  </si>
  <si>
    <t>Ms. Maynes</t>
  </si>
  <si>
    <t>Important to remember that children's behaviour is a form of communication. Behaviour gives a lot of information. Having a relationship makes understanding challenging behaviours easier, this info-graph can help gives some clues too. #MentalHealth RT @SELearningEDU: #SEL #calmthechaos #behavior #edchat</t>
  </si>
  <si>
    <t>https://twitter.com/SELearningEDU/status/1218397191695425536</t>
  </si>
  <si>
    <t>https://pbs.twimg.com/media/EOidySFX0AA5V2u.jpg</t>
  </si>
  <si>
    <t>Teacher, musician, passionate for arts and mental health. (she/her)</t>
  </si>
  <si>
    <t>Carolyn</t>
  </si>
  <si>
    <t>Super sad right now. Feeling Shame. I hate COMPLEX PTSD!!!! I hate this. #shame #PTSD - I don’t feel like #itsoktonotbeok ...... I don’t want to have this anymore! #depression #ED #OCD #anxiety #ptsd #addiction #recovery #complexptsd #cptsd #mentalhealth I just want to scream!!!</t>
  </si>
  <si>
    <t>pic.twitter.com/RstiJPayDx</t>
  </si>
  <si>
    <t>Nicknames: Carrie + Fairy. I am Quirky &amp; Very Kind. Happily Married. Love Animals &amp; Children. ✌️ ❤️💐 🥧 🍵</t>
  </si>
  <si>
    <t>Relivenow</t>
  </si>
  <si>
    <t>No matter who you are, what you’ve done or what stage of life you’re at, there’s ONE thing you absolutely must incorporate into your life. And that is self-care. Happy Weekend ! #selfcareweekend #mentalhealth #ReliveNow</t>
  </si>
  <si>
    <t>https://pbs.twimg.com/media/EOisGIYX0AACKhG.jpg</t>
  </si>
  <si>
    <t>Karachi, Pakistan</t>
  </si>
  <si>
    <t>Bringing Accessible Mental Healthcare to All</t>
  </si>
  <si>
    <t>http://www.relivenow.org</t>
  </si>
  <si>
    <t>Europe Meetings</t>
  </si>
  <si>
    <t>Explore and learn more about #stress #mindfulness #yoga #meditation #depression #Anxiety #Mentalhealth #psychology #workshop #conferences on October 21-22, 2020, at Paris, France. More information at:</t>
  </si>
  <si>
    <t>https://stress-mindfulness.annualcongress.com/</t>
  </si>
  <si>
    <t>https://pbs.twimg.com/media/EOisD2tUcAACvEg.jpg</t>
  </si>
  <si>
    <t>With over 50 conferences a year Europe 2 portfolio of events provides a direct route to Academicians and Industry representatives with exceptional networking.</t>
  </si>
  <si>
    <t>Live For Tomorrow</t>
  </si>
  <si>
    <t>Being met where we are sure can make even the heaviest of days a bit lighter! This can work for both your own self-care and when it comes to supporting those around you. Picture credit: @elclimo #mentalhealth #mentalillness #support #selfcare #friendship</t>
  </si>
  <si>
    <t>https://pbs.twimg.com/media/EOir6UaWkAAPDDA.png</t>
  </si>
  <si>
    <t>Everywhere, New Zealand</t>
  </si>
  <si>
    <t>We're on a mission to take meaningful help to people experience distress. DM our shared support account http://instagram.com/lft.support to talk to a real human.</t>
  </si>
  <si>
    <t>http://www.instagram.com/livefortmw</t>
  </si>
  <si>
    <t>Jane Doe</t>
  </si>
  <si>
    <t>Hello. I’m tweeting to say Transcendental Meditation is effective. It’s helping with my mental health only a week in. Why did it take so long to find me? #TM #transcendentalmeditation #mentalhealth</t>
  </si>
  <si>
    <t>Everyday I'm suffering. #bpd #bipolar #ptsd #ocd #moodswings I share my daily experiences to help &amp; to heal 🚨Possible self harm triggers</t>
  </si>
  <si>
    <t>I just published The Lost Art Of Resilience  #mentalillness #mentalhealth #schizoaffectivedisorder</t>
  </si>
  <si>
    <t>Lily Meade (on hiatus)</t>
  </si>
  <si>
    <t>"One thing I’ve always loved about writing is that is a way to work through emotions." This video is all about how writing can help (and hurt) your #MentalHealth.  #amwriting</t>
  </si>
  <si>
    <t>http://lilymeade.com/writing-anxiety-depression/</t>
  </si>
  <si>
    <t>pic.twitter.com/ynBZEU3osG</t>
  </si>
  <si>
    <t>Tacoma, Washington</t>
  </si>
  <si>
    <t>YA Writer (rep @ElanaRoth). YouTuber. Published in @Bustle &amp; @TeenVogue! Passionate about equality, Angie Thomas, &amp; Taylor Swift. #Warren2020</t>
  </si>
  <si>
    <t>http://patreon.com/lilymeade</t>
  </si>
  <si>
    <t>Rodolfo Duran</t>
  </si>
  <si>
    <t>Live Well, Live Más 🌮</t>
  </si>
  <si>
    <t>This mini thread about toxic masculinity and men's #MentalHealth is so important to keep in the forefront of our minds. RT @coherentstates: When a guy comes forward about his mental health issues, or isolation the worst thing you can do is claim they're leveraging it for women's sympathy. Our attention to men's mental health issues is pitiful and reinforces bad stereotypes. That's not "feminist", it's reactionary.</t>
  </si>
  <si>
    <t>https://twitter.com/coherentstates/status/1218210230665764864</t>
  </si>
  <si>
    <t>Compulsive Tweeter, Panda Gangsta, An Acquired Taste. Ghost Esq said I'm a disaster. 💕 (but me, I'm a machine, &amp; I was built to last) she/her</t>
  </si>
  <si>
    <t>I want to SCREAM... just want to feel some type of release... #Depression #MentalHealth</t>
  </si>
  <si>
    <t>Joshdanielspictures</t>
  </si>
  <si>
    <t>Off Chance, I contacted my mate he took himself from Facebook he told me his dad died. Please do make sure you check up on your friends and family we do not know what is happening with people's lives.#mentalhealthawareness #mentalhealth</t>
  </si>
  <si>
    <t>Official Press Photographer| Fashion &amp; Music lover| BEFFTA 2013-2015 Winner- Best Photographer. · http://facebook.com/joshdanielspictures Instagram:@Joshdanielspictures</t>
  </si>
  <si>
    <t>http://www.joshdanielspictures.com</t>
  </si>
  <si>
    <t>Craig's Barbers Shop</t>
  </si>
  <si>
    <t>No matter how dark your day is, we always here to listen to you. #thelionsbarbercollective #sucideprevention #itsokaynottobeokay #mentalhealthawareness #mentalhealth #dontbottleitup #mencanhavefeelingstoo…</t>
  </si>
  <si>
    <t>https://www.instagram.com/p/B7cyx5tBtid/?igshid=1t8p2fd6zln7s</t>
  </si>
  <si>
    <t>Bolton, England</t>
  </si>
  <si>
    <t>A barber (from the Latin barba, beard) is a person whose occupation is mainly to cut, dress, groom, style and shave men’s and boys' hair</t>
  </si>
  <si>
    <t>Be Careful Of Fake Friends: Not Everyone That Is Nice To You Is Your Good friend | Journey2Motivate — Journey2Motivate  via @cheriewhite691 #Bullying #Fakery #Frenemies #FakeFriends #MentalHealth</t>
  </si>
  <si>
    <t>https://cheriewhite.blog/2020/01/18/be-careful-of-fake-friends-not-everyone-that-is-nice-to-you-is-your-good-friend-journey2motivate-journey2motivate/</t>
  </si>
  <si>
    <t>hanyhatbox</t>
  </si>
  <si>
    <t>#Mentalhealth is a serious issue which individuals face in their daily lives. It affects their mood, thinking and behavior. Playing #Lydia which is an emotional journey to the depths of the imagination of a small child. Would you like to join me in this #journey on #twitch ?</t>
  </si>
  <si>
    <t>https://pbs.twimg.com/media/EOipSgzUcAEnY-p.png</t>
  </si>
  <si>
    <t>Enjoys playing games on my Nintendo Switch and Socializing. You’re welcome to check out my Twitch Channel and Instagram☺️ IG: http://instagram.com/hanyhatbox_</t>
  </si>
  <si>
    <t>http://twitch.tv/hanyhatbox</t>
  </si>
  <si>
    <t>Dr Ramashanker Yadav</t>
  </si>
  <si>
    <t>Addiction free India Campaign Join hand's with us Remove addiction fm ur family &amp; society ⛑️ Hope Psychiatry Clinic ⛑️ Dr Ramashanker Yadav (MD Psychiatry) Ahmedabad #addiction #nashamukti #alcoholtreatment #smackrehab #rehabilitationcenter #deaddictioncenter #mentalhealth</t>
  </si>
  <si>
    <t>Md Psychiatry., Hope psychiatry clinic - 207 ABC complex, Rabari colony , amraiwadi</t>
  </si>
  <si>
    <t>https://www.lnk.xyz/Byll3_Uqr?aduc=CD70qQ61579326352746</t>
  </si>
  <si>
    <t>choly</t>
  </si>
  <si>
    <t>God's daughther, Amazing therapist(Social Worker), Educator, Mental Health blogger, SDGs Advocate, Initiator of SoundMindRepublic, Unconventional volunteer.....</t>
  </si>
  <si>
    <t>https://soundmindrepublic.wordpress.com/</t>
  </si>
  <si>
    <t>Bangtanworld</t>
  </si>
  <si>
    <t>Indonesia</t>
  </si>
  <si>
    <t>Fangirl, no war, love your self love my self 💜</t>
  </si>
  <si>
    <t>Sapi Koriya🙃</t>
  </si>
  <si>
    <t>Sma Plus Negeri 17 Palembang</t>
  </si>
  <si>
    <t>http://Unsri.ac.id</t>
  </si>
  <si>
    <t>Dr Sameer Kalani</t>
  </si>
  <si>
    <t>Once again on a #SaturdayMorning #DigitalDetox challenge we must take up for our #mentalhealth #SaturdayMotivation #SaturdayThoughts @dr_samirparikh @fortis_hospital @DigitalDetoxes @_DigitalIndia @ficci_india @AmexBusiness @medECUBE @Kyle2uMental @Rethink_ RT @dr_samirparikh: Your weekly #DigitalDetox #Reminder @fortis_hospital ! Take the four hour #Digital #detox #challenge and go #gadgets #free and #switchoff ! #SaturdayMotivation #HappyEarthHappyPeople #MindSpace</t>
  </si>
  <si>
    <t>https://twitter.com/dr_samirparikh/status/1218353091629604864</t>
  </si>
  <si>
    <t>https://pbs.twimg.com/media/EOh1rLdUwAA1SFS.jpg</t>
  </si>
  <si>
    <t>Gurgaon, India</t>
  </si>
  <si>
    <t>Centre Head, Sukoon healthcare Consultant Psychiatrist and Psychotherapist Adventure biker</t>
  </si>
  <si>
    <t>http://www.sukoonhealth.com</t>
  </si>
  <si>
    <t>juliafollowsProphetMuhammad</t>
  </si>
  <si>
    <t>Who do you like your Daughter to be in the Future? A Happy Well Educated Woman, Or A Sad Suffering One? #Prophet_Muhammad_must_be_called_the_savior_of_humanity #mentalhealth #suicideprevention #Modi_is_Liar #AFallFromGrace #IvyParkXAdidas #McSallyIsAHack #FridayFeeling</t>
  </si>
  <si>
    <t>https://pbs.twimg.com/media/EOinwbQXsAA2IMT.jpg</t>
  </si>
  <si>
    <t>Islam4All</t>
  </si>
  <si>
    <t>HamidRazaSandhu</t>
  </si>
  <si>
    <t>Truth is life.</t>
  </si>
  <si>
    <t>peter chrisp</t>
  </si>
  <si>
    <t>I am a retired gent who loves music, dining out meeting new people and travelling overseas every year, recent excursions beginning in 2014 Japan in March</t>
  </si>
  <si>
    <t>A transformation begins when you decide to make the change. #Happiness #NewYearGoals #NewYear #NewYear2020 #NewYearNewYou #LifeCoaching #LifeLeadershipCoaching #WeeklyInspiration #HelloSaturday #Saturdays #Weekend #Blog #Bloggers #MentalHealth #MentalStrength #January</t>
  </si>
  <si>
    <t>https://pbs.twimg.com/media/EOinVSLX4AE2rJB.png</t>
  </si>
  <si>
    <t>And when I experience anxiety, I do these 4 steps: #PTSDandBeyond #MentalHealth</t>
  </si>
  <si>
    <t>https://pbs.twimg.com/media/EOinMcyWsAASl4l.jpg</t>
  </si>
  <si>
    <t>I have nothing profound to say. I am just going to keep on pushing through to tomorrow and see what the day has to offer me. Including my sweet bed where I would sometimes rather be 24/7. #SickNotWeak #depression #MentalHealthAwareness #MentalHealth #suicide #PTSD</t>
  </si>
  <si>
    <t>🗝𝔸𝕊ℍ🛡</t>
  </si>
  <si>
    <t>Sorry I’ve been so MIA today. Honestly, my anxiety was really bad today and I just needed a mental health day from everything. I hope you all had a great day though 👽 #Mentalhealth #FridayFeeling #AnxietyFeelsLike</t>
  </si>
  <si>
    <t>pic.twitter.com/yA0AisatxL</t>
  </si>
  <si>
    <t>Gresham, OR</t>
  </si>
  <si>
    <t>ℙℕ𝕎🌲ғᴏʀ ᴛʜᴇ ᴀʟʟɪᴀɴᴄᴇ🛡ᴋᴇʏʙʟᴀᴅᴇ ᴍᴀsᴛᴇʀ. ᴏᴠᴇʀᴡᴀᴛᴄʜ. ᴢᴇʟᴅᴀ. ᴀʟʟ ᴛʜɪɴɢs ᴀɴɪᴍᴇ.</t>
  </si>
  <si>
    <t>Tristan</t>
  </si>
  <si>
    <t xml:space="preserve">@tristanbundarchitecture </t>
  </si>
  <si>
    <t>Architecture/ swim-bike-run/ Curious M I N I M A L I S T</t>
  </si>
  <si>
    <t>http://tristanbund.com</t>
  </si>
  <si>
    <t>When I’m experiencing depression, I tell myself this one word over and over....and whenever I stop...I repeat it over and over. Slow and steady...this word. #PTSDandBeyond #mentalhealth</t>
  </si>
  <si>
    <t>https://pbs.twimg.com/media/EOil5aLW4AEN-Kz.jpg</t>
  </si>
  <si>
    <t>Powerglobal</t>
  </si>
  <si>
    <t>http://POWERGLOBAL.US A Conservative Voice in Global News http://www.Powerglobal.us</t>
  </si>
  <si>
    <t>http://www.powerglobal.us</t>
  </si>
  <si>
    <t>I *SCARE* Narcissists/Psychopaths/Parasites..! *Heh. #VeteranPeerSupport #MentalHealth #NarcissisticAbuseSurvivor #NarcissistExposer #AwakenedEmpath #PowerOfaGod #ExposeTheParasites #DontLetThemEatYou #Aliens #Monsters #Predators #Sentience #Evil #AntipsychoticComedy #Armageddon</t>
  </si>
  <si>
    <t>Peaceful</t>
  </si>
  <si>
    <t>UAE- AD</t>
  </si>
  <si>
    <t>Geologist, Karateka loves rocks, fossils and mountains. Marathon runner and adventurer. Flatearther since 18th August 2018 and Spartan beast!</t>
  </si>
  <si>
    <t>🔥🔥🔥 huge fan of Eminem I find myself listening to your music when I fight depression. #Eminem #mentalhealth #MentalHealthMatters @Eminem 🔥🔥🔥</t>
  </si>
  <si>
    <t>https://pbs.twimg.com/media/EOiltjYWkAArYKN.jpg</t>
  </si>
  <si>
    <t>Brian Elliott</t>
  </si>
  <si>
    <t>🇺🇸 #MAGA #KAG #NRA #2ndAmendment #ConstitutionalRepublic</t>
  </si>
  <si>
    <t>Keto Diet &amp; Exercise</t>
  </si>
  <si>
    <t>Does It Matter What We Eat for our Mental Health?  #mentalhealth</t>
  </si>
  <si>
    <t>https://psychcentral.com/news/2020/01/15/does-it-matter-what-we-eat-for-our-mental-health/153072.html</t>
  </si>
  <si>
    <t>Ketogenic recipes, tips, exercise routines, and more. More at http://keto-cafe.co.uk</t>
  </si>
  <si>
    <t>http://keto-cafe.co.uk</t>
  </si>
  <si>
    <t>I know what anxiety is. I know what depression is. I know what PTSD is. I know what it’s like to want it all to stop. There is no magic pill. There IS a hell of a lot of work to do. Do the work and you’ll get better. Period. #PTSDandBeyond #mentalhealth</t>
  </si>
  <si>
    <t>Esta</t>
  </si>
  <si>
    <t>I am very inquisitive</t>
  </si>
  <si>
    <t>She Can Be A Mother &amp; A Scholar at the same time. While The Other One Suffers for Decades and Dies Silently at the Same Time. #mentalhealth #MentalHealthAwareness #mentalillness #SuicidePrevention #Friday #FridayThoughts #MentalHealthMatters #SuicideAwareness #mental</t>
  </si>
  <si>
    <t>https://pbs.twimg.com/media/EOikROdWkAAur1N.jpg</t>
  </si>
  <si>
    <t>عائشِ نور🥀🥀</t>
  </si>
  <si>
    <t>Idk where i am!💫</t>
  </si>
  <si>
    <t>ژوند دې ښه دی.🥀🥀🥀 Live, travel, adventure,don't be sorry #mediastudent #scriptWriterOfLCWU2k19 #Youth #ServiceRepresentativeOfKaarEKamal</t>
  </si>
  <si>
    <t>https://mobile.twitter.com/ayesh_e_noor24</t>
  </si>
  <si>
    <t>Mad in Asia Pacific</t>
  </si>
  <si>
    <t>Read our latest reblog from @povmumbai on the relationship between #chronicfatigue and #mentalhealth, written by @UrvashiBahuguna.</t>
  </si>
  <si>
    <t>https://madinasia.org/2020/01/when-youre-very-very-tired-you-cant-throw-your-tired-away/</t>
  </si>
  <si>
    <t>https://pbs.twimg.com/media/EOikEyrVUAIQlOb.jpg</t>
  </si>
  <si>
    <t>MIAP is an online platform to contribute to changing narratives surrounding mental health &amp; mental distress. Send us your pitches! editors@madinasia.org</t>
  </si>
  <si>
    <t>http://madinasia.org</t>
  </si>
  <si>
    <t>Trixtaria©</t>
  </si>
  <si>
    <t>Chisel Endurance &amp; 25 squats w/105lbs barbell done 😅 halfway through January, soon sharing about 2020 goals, stay tuned!🎦 #fitness #workout #weights #fitnessgoals #exercise #squats #health #muscles #mentalhealth #physicalhealth #emotionalhealth #selfcare #selflove #therapy</t>
  </si>
  <si>
    <t>pic.twitter.com/KOpGcL0FOH</t>
  </si>
  <si>
    <t>Sharing my journey through fitness, snowboarding, motorcycle riding, career building and personal development.</t>
  </si>
  <si>
    <t>http://www.facebook.com/CoachTrixtaria</t>
  </si>
  <si>
    <t>Talent Academy Ltd</t>
  </si>
  <si>
    <t>Learn the tools from Dr. Group that you need on how to live a happier, more fulfilled life, and how to identify and change what is causing you unhappiness.  #livehappy #selfimprovement #mentalhealth via @ghchealth</t>
  </si>
  <si>
    <t>https://buff.ly/2SPBAfU</t>
  </si>
  <si>
    <t>https://pbs.twimg.com/media/EOij5VhX4AAKhhG.jpg</t>
  </si>
  <si>
    <t>Hong Kong</t>
  </si>
  <si>
    <t>Talent Academy Limited: Your trusted partners to empower workforce with positivity and capabilities to flourish</t>
  </si>
  <si>
    <t>http://www.talentacademy.com.hk</t>
  </si>
  <si>
    <t>What is the best #journey you have ever been on? 🤔 How about a journey to #self Layman's Handbook is about bringing you closer to yourself #selfhelp #selflove #selfcare #mentalhealth #bookpromotion</t>
  </si>
  <si>
    <t>Badgalsteste</t>
  </si>
  <si>
    <t>Do yourself a favour and watch these two incredible women having a real discussion about mental health Oprah's 2020 Vision Tour Visionaries: Lady Gaga Interview  via @YouTube #LadyGaga #OprahWinfrey #2020VisionTour #MentalHealth</t>
  </si>
  <si>
    <t>https://youtu.be/f8iNYY7YV04</t>
  </si>
  <si>
    <t>made twitter to try and get on the JSC PR list. Full time bad bitch. Follow me on YpuTube - youtube/c/stevieharris.com and Instagram http://instagram.com/bagalsteste__</t>
  </si>
  <si>
    <t>THUNDER</t>
  </si>
  <si>
    <t>MONUNA🇹🇿</t>
  </si>
  <si>
    <t>💕Father/Husband Broke/Entrepreneur/Mtembezi /I'm Generosity of the clan /prime minister of the family/Don't judge me/I'm not a politician @LFC #YNWA</t>
  </si>
  <si>
    <t>Alastair Taylor</t>
  </si>
  <si>
    <t>Kapiti Coast District</t>
  </si>
  <si>
    <t>Agvocate, sometime politico, LTL, Gen X, Tractor Boy, first generation Kiwi trying to help rural NZ achieve kaitiakitanga. Views are my own.</t>
  </si>
  <si>
    <t>https://www.linkedin.com/in/alastair-taylor-27205a22</t>
  </si>
  <si>
    <t>Lindz</t>
  </si>
  <si>
    <t>Self-care Friday includes hot baths, soothing tea, and my SAD lamp. #selfcare #mentalhealth</t>
  </si>
  <si>
    <t>An Adult, apparently. Cosplay. Coffee. D&amp;D. Anime. She/her/they</t>
  </si>
  <si>
    <t>Conclusion: If businesses can use psychology &amp; imagery to drive our buying decisions, then we can learn these practices to drive our behavior in achieve our goals. #TakeOurPowerBack #PTSDandBeyond #mentalhealth</t>
  </si>
  <si>
    <t>LANRE🇳🇬♈️</t>
  </si>
  <si>
    <t>Lagos nigeria</t>
  </si>
  <si>
    <t>not making a decision is also a decision too...Accountant,Risk taker. @ManUtd. Aries ♈️</t>
  </si>
  <si>
    <t>shayla</t>
  </si>
  <si>
    <t>The air was crisp and chilly, so I walked to this little creek. The calm, the quiet helped clear my head and sooth my spirit. Time goes by too quickly. Make the time to heal and rest. #relax #FridayFeeling #Healing #mentalhealth</t>
  </si>
  <si>
    <t>pic.twitter.com/K0m0LW3OrF</t>
  </si>
  <si>
    <t>NC</t>
  </si>
  <si>
    <t>just a library assistant trying to be the best me i can be, to inspire others to be the best they can be. PS it's okay to be silly.</t>
  </si>
  <si>
    <t>Anxiety &amp;amp; Depression can be life altering. #EndTheStigma #MentalHealth When The Butterfly Emerges From Her…   #content</t>
  </si>
  <si>
    <t>https://twitter.com/i/web/status/1184743355755958272</t>
  </si>
  <si>
    <t>LaGATAroja</t>
  </si>
  <si>
    <t>My SO's coworker is having a breakdown and everybody at work is freaking out. She's being aggressively rude, not talking to anyone and now she's sending threatening messages to another coworkers. Saying stuff about shit going down soon and other weird things. #help #Mentalhealth</t>
  </si>
  <si>
    <t>F | 26 | Trying to find myself. | Entertainment Designer | ❤: Golden Kamuy, Bloodborne, Nier Automata, &amp; Monster Hunter.</t>
  </si>
  <si>
    <t>Your Friendly Neighborhood Pen</t>
  </si>
  <si>
    <t>Pathetic- D.N.A comic (Depression and Anxiety) 3/3 A conversation with Depression about creating art while Anxiety chimes in on relationship dynamics. #comic #illustration #digitalart #art #digitalcomic #comicstrip #mentalhealth #depression #anxiety #originalcharacters</t>
  </si>
  <si>
    <t>https://pbs.twimg.com/media/EOih0HFX0AIPasP.jpg</t>
  </si>
  <si>
    <t>My name’s Pen and I’m an artist of a variety of mediums. Come on in. Have a seat. Coffee?? Insta:@pendletonarts Tumblr: http://pendletonartblog.tumblr.com</t>
  </si>
  <si>
    <t>http://squareup.com/store/pen-arts</t>
  </si>
  <si>
    <t>Pathetic- D.N.A comic (Depression and Anxiety) 2/3 A conversation with Depression about creating art while Anxiety chimes in on relationship dynamics. #comic #illustration #digitalart #art #digitalcomic #comicstrip #mentalhealth #depression #anxiety #originalcharacters</t>
  </si>
  <si>
    <t>https://pbs.twimg.com/media/EOihq8JWkAAj1Vq.jpg</t>
  </si>
  <si>
    <t>Pathetic- D.N.A comic (Depression and Anxiety) 1/3 A conversation with Depression about creating art while Anxiety chimes in on relationship dynamics. #comic #illustration #digitalart #art #digitalcomic #comicstrip #mentalhealth #depression #anxiety #originalcharacters</t>
  </si>
  <si>
    <t>https://pbs.twimg.com/media/EOiheMCX0AEzauS.jpg</t>
  </si>
  <si>
    <t>Piotr Bomirski (Bohater Rencistów i Emerytów! :) )</t>
  </si>
  <si>
    <t>Cogito Ergo Sum! "Bomirski Melanoma"! V! By tackling #MentalHealth we’re harnessing the #PowerTo make a positive impact on the world. Thanks @BofA_News for keeping me informed on #WEF20.</t>
  </si>
  <si>
    <t>Gdynia, Polska</t>
  </si>
  <si>
    <t>Bylem nauczycielem jezyka niemieckiego. Obecnie na rencie.</t>
  </si>
  <si>
    <t>https://pbs.twimg.com/media/EOihWA1W4AAAXpW.jpg</t>
  </si>
  <si>
    <t>John Carlo Taguibe</t>
  </si>
  <si>
    <t>By tackling #MentalHealth we’re harnessing the #PowerTo make a positive impact on the world. Thanks @BofA_News for keeping me informed on #WEF20. 🙏🖤</t>
  </si>
  <si>
    <t>Davao City, Davao Region</t>
  </si>
  <si>
    <t>Diin kana? Ginahulat taka pay 💙💚💛💜</t>
  </si>
  <si>
    <t>Louie Morais</t>
  </si>
  <si>
    <t>Don't romanticise or normalise Impostor Syndrome! It is a mental issue that can contribute to mental illnesses or make them worse if unchecked. Imposter Syndrome should not be part of professional life. #ImposterSyndrome is a #mentalhealth concern.</t>
  </si>
  <si>
    <t>C-137 UK</t>
  </si>
  <si>
    <t>A UX Manager on a learning journey involving JavaScript, Cognitive Science and Visual Design. A former TEFL teacher and front-end coder.</t>
  </si>
  <si>
    <t>She Can Be A Mother &amp; A Scholar at the Same Time. While The Other One Suffers for Decades and Dies Silently at the Same Time. #Prophet_Muhammad_must_be_called_the_savior_of_humanity #mentalhealth #suicideprevention #Modi_is_Liar #AFallFromGrace #IvyParkXAdidas #McSallyIsAHack</t>
  </si>
  <si>
    <t>https://pbs.twimg.com/media/EOihAfQW4AAaqhM.jpg</t>
  </si>
  <si>
    <t>HealingClouds</t>
  </si>
  <si>
    <t>#HelpforAustralia #MentalHealth We are offering 3 free mental health therapy live chat sessions with one of our experts to the victims of Australian bushfires. Please help us spread the message! #AustralianBushfireDisaster RT @HealingClouds: To help people affected by the Australian fires, we are offering 3 free one-hour live mental health sessions with any one of our certified practitioners. Sessions are available 24/7. Code HCFORAUS (valid till 31st January 2020) through our website</t>
  </si>
  <si>
    <t>https://twitter.com/HealingClouds/status/1218141051971465216
http://www.healingclouds.com</t>
  </si>
  <si>
    <t>pic.twitter.com/41xsvBTWkA</t>
  </si>
  <si>
    <t>Affordable and accessible online mental health therapy sessions with certified experts through live video sessions. 🌱</t>
  </si>
  <si>
    <t>https://www.healingclouds.com</t>
  </si>
  <si>
    <t>HoldMyGunsOrg</t>
  </si>
  <si>
    <t>"People in our #community are often afraid to speak up about a #MentalHealth issue they are going through...This program gives people a better chance to seek help and not lose their #constitutional right. Out of all…</t>
  </si>
  <si>
    <t>https://www.instagram.com/p/B7cuH5_JuXL/?igshid=1nosud6ddopfa</t>
  </si>
  <si>
    <t>2A☆Mission: To connect responsible firearm owners w/ private off-site storage, via our national network of partners, during times of personal crises.</t>
  </si>
  <si>
    <t>https://www.gofundme.com/hmgorg</t>
  </si>
  <si>
    <t>Maria Ní Mhurchú</t>
  </si>
  <si>
    <t>Co. Kerry Ireland</t>
  </si>
  <si>
    <t>I'm working on a screenplay based on mental health issues. My books can be downloaded from http://Amazon.com</t>
  </si>
  <si>
    <t>http://www.marianimhurchu.blog</t>
  </si>
  <si>
    <t>#SkipDougFord</t>
  </si>
  <si>
    <t>Breaking: This is what our hospital patients face in #Ontario at @TheRoyalMHC posted to Doug Ford's twitter. ACT on #healthcare now! #RoyalHospitalOttawa #MentalHealth #ottnews</t>
  </si>
  <si>
    <t>https://pbs.twimg.com/media/EOigvo5WkAAthnA.jpg</t>
  </si>
  <si>
    <t>Ottawa, ON</t>
  </si>
  <si>
    <t>Official campaign to discourage Ontario voters from supporting Doug Ford as Premier in June election. Tweet #SkipDougFord and follow us. skipdougford@gmail.com</t>
  </si>
  <si>
    <t>elouise</t>
  </si>
  <si>
    <t>in need of more mental health related pages to follow !! tag ppl n such please #bpd #mentalhealth</t>
  </si>
  <si>
    <t>bi • 1y clean</t>
  </si>
  <si>
    <t>i tweet my life, featuring the highs and lows of battling mental illness; the raw uncensored shit #bpd 🦮Hobbes🦮 #ESA</t>
  </si>
  <si>
    <t>http://instagram.com/spicychickenmaruchan</t>
  </si>
  <si>
    <t>Sakon Kieh</t>
  </si>
  <si>
    <t>Self care is EVERYTHING especially when you are a support for others. I am grateful to @nklues for leading an awesome Yoga session today for the Office of Teaching &amp; Learning @dcpublicschools where it’s ok to take a break and Namaste. #selfcare #mentalhealth</t>
  </si>
  <si>
    <t>https://pbs.twimg.com/media/EOigg1mWoAA7Zrw.jpg</t>
  </si>
  <si>
    <t>Instructional Design is my Super Power| Manager, Ed Tech at DC Public Schools #inTECHgrate/All tweets my own</t>
  </si>
  <si>
    <t>Just Thoughts</t>
  </si>
  <si>
    <t>You know sometimes I like my mental health has gotten lots better. Then I realize I can’t remember the last time I felt truly happy.... #Mentalhealth #depression #exhausted</t>
  </si>
  <si>
    <t>I’m sure I’ll think of something witty later</t>
  </si>
  <si>
    <t>Keystone Clean Water</t>
  </si>
  <si>
    <t>By tackling #MentalHealth we’re harnessing the #PowerTo make a positive impact on the world. Thanks @BofA_News for keeping me informed on #WEF20. @KnowYourH20</t>
  </si>
  <si>
    <t>Pennsylvania</t>
  </si>
  <si>
    <t>Groundwater Environmental Education Pennsylvania</t>
  </si>
  <si>
    <t>http://www.pacleanwater.org</t>
  </si>
  <si>
    <t>Támara Hill, LPC</t>
  </si>
  <si>
    <t>A cognitive distortion is a skewed way we begin to think based on limited knowledge, assumptions, or intense emotion. These distortions do not mean you are "delusional." Distortions are normal ways we think as humans. It's almost inevitable.  #mentalhealth</t>
  </si>
  <si>
    <t>https://youtu.be/KBfEnvmobK0</t>
  </si>
  <si>
    <t>Living to give #life to others. Existing above chaos. Embracing #divine purpose. Child/#Teen #trauma #Mentalhealth Therapist, International &amp; Keynote Speaker</t>
  </si>
  <si>
    <t>http://www.youtube.com/TamaraHtherapist</t>
  </si>
  <si>
    <t>DT Next</t>
  </si>
  <si>
    <t>According to the study, the #AI was able to match clinicians' ratings of their patients. #Mentalhealth</t>
  </si>
  <si>
    <t>https://www.dtnext.in/Lifestyle/Wellbeing/2020/01/18102040/1209992/AI-tool-to-detect-changes-in-patients-mental-health.vpf</t>
  </si>
  <si>
    <t>English language newspaper by the Daily Thanthi Group</t>
  </si>
  <si>
    <t>http://www.dtnext.in/</t>
  </si>
  <si>
    <t>Renascence</t>
  </si>
  <si>
    <t>Alzheimer's disease: Music, meditation may improve early cognitive decline  #Alzheimer #mentalhealth</t>
  </si>
  <si>
    <t>http://snip.ly/fh31l</t>
  </si>
  <si>
    <t>https://pbs.twimg.com/media/EOifZiBWAAAcO0J.jpg</t>
  </si>
  <si>
    <t>Round Rock, TX</t>
  </si>
  <si>
    <t>Music to help you #Relax, 🌺 Refocus and Reset. I create #music for your #Sync, #Film, #Meditation &amp; #Wellness needs.🎶 Spas, studios, guidance. Free downloads.</t>
  </si>
  <si>
    <t>http://anthonyclarkmusic.com</t>
  </si>
  <si>
    <t>Hi, I’m Crazy</t>
  </si>
  <si>
    <t>Does anyone have experience on trying to quit their medications for vitamin supplements? Don’t know how much I trust it but it’s better than where I’m at now. #bipolar #bipolardisorder #mentalhealth #medication</t>
  </si>
  <si>
    <t>I'm probably not as funny as I think I am. ♏️</t>
  </si>
  <si>
    <t>http://incognitoallie.wordpress.com</t>
  </si>
  <si>
    <t>Tom Stalder</t>
  </si>
  <si>
    <t>Dubai/Geneva/Rougemont (CH)</t>
  </si>
  <si>
    <t>Nachhaltiger Unternehmer in ME, Afrika, Schweiz, Frankreich; PhD Tweets in D/F/E/I</t>
  </si>
  <si>
    <t>Miracle EEL</t>
  </si>
  <si>
    <t>EEL 4 life, that's about it really...</t>
  </si>
  <si>
    <t>Samuel Harris</t>
  </si>
  <si>
    <t>ÜT: 13.024498,80.160257</t>
  </si>
  <si>
    <t>Founder / Speaker / Teacher</t>
  </si>
  <si>
    <t>Tim Yeung</t>
  </si>
  <si>
    <t>I'll never be the best #illustrator, #coder, #writer, #designer, #researcher, etc. But I know enough to get stuff done, really well. I'm a good designer, not the 'best' designer. I'm comfortable with that now. #selflove #mentalhealth</t>
  </si>
  <si>
    <t>Victoria, British Columbia</t>
  </si>
  <si>
    <t>Designer and coding enthusiast, whose glass is half full.</t>
  </si>
  <si>
    <t>http://www.timyeungdesign.com</t>
  </si>
  <si>
    <t>https://pbs.twimg.com/media/EOiepYoXkAE0cau.jpg</t>
  </si>
  <si>
    <t>Whitefire</t>
  </si>
  <si>
    <t>Finished a therapy painting #positivity #selfconfidence #mentalhealth</t>
  </si>
  <si>
    <t>https://pbs.twimg.com/media/EOieV5OWkAA1Imk.jpg</t>
  </si>
  <si>
    <t>Aspiring author who loves horror and fantasy but mostly dragons.</t>
  </si>
  <si>
    <t>https://www.fanfiction.net/~officialwhitefirethedragon</t>
  </si>
  <si>
    <t>Project D</t>
  </si>
  <si>
    <t>WELCOME TO THE GRATITUDE CHALLENGE! 🙌🙌 TO JOIN Comment 3 things you're grateful 🙌 for👇 Share to get your friends join you in the challenge. LET'S DO THIS #day1 #tgc30 #gratitude #challenge #friend #mentalhealth #noworries #notodepression #notosuicide #yestolife #projectd</t>
  </si>
  <si>
    <t>https://pbs.twimg.com/media/EOieMbDW4AA1AkO.jpg</t>
  </si>
  <si>
    <t>PROJECT D is a movement against Depression and Suicide purposed at restoring joy to the depressed, healing the world.</t>
  </si>
  <si>
    <t>http://pdnoworries.org</t>
  </si>
  <si>
    <t>Ravi Shankar</t>
  </si>
  <si>
    <t>Indian</t>
  </si>
  <si>
    <t>nginyokslay</t>
  </si>
  <si>
    <t>Where ever you @</t>
  </si>
  <si>
    <t>signed diz nuts on the dotted line</t>
  </si>
  <si>
    <t>Toya*</t>
  </si>
  <si>
    <t>The Aaron Hernandez documentary really shed awareness of how a person environmental surrounding/ abuse at a young age can affect a person mentally #mentalhealth</t>
  </si>
  <si>
    <t>new york</t>
  </si>
  <si>
    <t>RIP Mandela/ Instagram-toyams2</t>
  </si>
  <si>
    <t>KM Reyes</t>
  </si>
  <si>
    <t>#mustread Talking to my GenZ cousins recently, they respected &amp; loved ⁦@instagram⁩ MORE without the likes. 👏🏾 ⁦⁦⁦@mosseri⁩! #takeawaythelikes #mentalhealth #socialmedia  via @NYTimes</t>
  </si>
  <si>
    <t>https://www.nytimes.com/2020/01/17/business/instagram-likes.html?smid=nytcore-ios-share</t>
  </si>
  <si>
    <t>Palawan, the Philippines</t>
  </si>
  <si>
    <t>conservation lobbyist. natgeo explorer. director/founder @cspalawan_ph. we make national parks. yoga teacher, polyglot, rescue diver. i #campaignfornature</t>
  </si>
  <si>
    <t>http://bit.ly/NatGeoAU-FightToSavePhilippineForests</t>
  </si>
  <si>
    <t>OriginalBADYOGAKITTYⓋ</t>
  </si>
  <si>
    <t>#NewZealand’s schools to teach students how to take #ClimateAction and tackle Eco-Anxiety. The impact of the #ClimateCrisis on students' #mentalhealth needs to be addressed.  #globalcitizen #AustralianBushfireDisaster cc @ElwellGraham</t>
  </si>
  <si>
    <t>https://glblctzn.co/e/OzeHryxjg3</t>
  </si>
  <si>
    <t>Europe</t>
  </si>
  <si>
    <t>Marketing/Biz 1st Class Hons BA. #Politics #Books Vegan. Human/#Indigenous Rights. #ClimateAction. No Bigotry. Judge a society by how it treats its vulnerable</t>
  </si>
  <si>
    <t>https://www.youtube.com/watch?v=6bX_SlXijM4&amp;mkt_tok=eyJpIjoiWVRNek16UXlOakppWVRVMCIsInQiOiJpZkhqOXBC</t>
  </si>
  <si>
    <t>MONA is MAGIC</t>
  </si>
  <si>
    <t>Why is it so hard to find a therapist that takes insurance ... or why is it that insurance doesn’t cover therapy ... here I am trying to do more than just survive... oh wells. #mentalhealth #insurance #brokeaf</t>
  </si>
  <si>
    <t>healers/mediums have told me I’m a volcano, some days I’m an ice burg. All days I am a professional day dreamer. ( she/her )</t>
  </si>
  <si>
    <t>Kai Nemoto</t>
  </si>
  <si>
    <t>Be aware. Be mindful. Your body, your health, your family, community and the world. Our capacity to act is limited but we can be aware and choose our actions wisely. Our priorities are different and that’s okay. You do you. #mentalhealth</t>
  </si>
  <si>
    <t>My name is Kai. Mental and Women’s Health advocate. Back in school to be a dietitian. #bipolar2/#PMDD/#adenomyosis. Winning battle streak. #stopsuicide #AFSP</t>
  </si>
  <si>
    <t>https://society6.com/alightinthedrk</t>
  </si>
  <si>
    <t>Mercy Chagara</t>
  </si>
  <si>
    <t>In Ugandan cultures, they dont want you to say you are depressed. They either pretend not to be seeing it or quarrel, or ignore u all together..they don't actually help the problem. #mentalhealth</t>
  </si>
  <si>
    <t>Kampala,Uganda</t>
  </si>
  <si>
    <t>do wat makes you and God ONLY happy. proud Vet Doc. 2🐕s owner. wildlife conservationist. LUO. MUFC forever😍🔊 UG patriot. belongs to NO PARTY. just a tweep💞</t>
  </si>
  <si>
    <t>Bunch Of Dudes (+Guests)</t>
  </si>
  <si>
    <t>#HockeyTalks is a great start and good for visibility on the issue, but we need to continue the sentiment every day of our lives. It's ok to not be ok. Don't suffer in silence. There are people out there to help. #MentalHealthAwareness #MentalHealthMatters #Mentalhealth</t>
  </si>
  <si>
    <t>A group of fun-loving idiots that enjoy a good drink and a game. Accepting applications to join.</t>
  </si>
  <si>
    <t>Hypertension Conclave</t>
  </si>
  <si>
    <t>Share your Ideas to #cure #hypertension and be a part of our #conference "International Conclave on Hypertension and Healthcare". Be the frontiers of #hypertension conclave 2020. #Healthcare #Mentalhealth #renalhypertension @LongdomMeets</t>
  </si>
  <si>
    <t>https://pbs.twimg.com/media/EOic8tFUwAATYuw.jpg</t>
  </si>
  <si>
    <t>It’s An Adult Thing</t>
  </si>
  <si>
    <t>The Taal Eruption is a highly stressful time for Filipinos. Here's a special episode on HOW TO BE MENTALLY PREPARED FOR CALAMITIES featuring Dr. Ronald Del Castillo of @diwamh :  #TaalEruption #Mentalhealth #MentalHealthMatters</t>
  </si>
  <si>
    <t>https://spoti.fi/30u7sYZ</t>
  </si>
  <si>
    <t>Philippines</t>
  </si>
  <si>
    <t>A podcast on #Adulting | Let’s figure out adult life together because it wasn’t taught in school! | Join Nica, Carla &amp; Azl every week on It’s An Adult Thing!</t>
  </si>
  <si>
    <t>https://spoti.fi/2QguaQQ</t>
  </si>
  <si>
    <t>Powell Associates</t>
  </si>
  <si>
    <t>Even if you're doing OK financially, looking at your balance can be incredibly fraught. #mentalhealth #money #finlit</t>
  </si>
  <si>
    <t>http://bit.ly/30pyIIg</t>
  </si>
  <si>
    <t>NB, PEI, &amp; NS, Canada</t>
  </si>
  <si>
    <t>We understand and can help take action to fix debt issues and the problems they create. Licensed Insolvency Trustee (LIT). Talk to us. It's free. #FinLit #life</t>
  </si>
  <si>
    <t>http://www.maritimetrustee.ca</t>
  </si>
  <si>
    <t>Dra Valentina Ovalles</t>
  </si>
  <si>
    <t xml:space="preserve">Clínica Leopoldo Aguerrevere </t>
  </si>
  <si>
    <t>Piel de Dermatologo y corazón de Internista Contactos (0212)907-2044-(0212)975-3850</t>
  </si>
  <si>
    <t>CrayDimensional</t>
  </si>
  <si>
    <t>2020 Goal Progress * 2.6k/ 25k words toward #wip (writing) * 71.9 / 1.5k run/walked miles * 1/2 through 1st of 9 online video courses for certification * 46% of 1st of 3 crochet Afghans complete Interesting plot twist tonight Day 17 of Jan ‘20 #mentalhealth #WritingCommunity</t>
  </si>
  <si>
    <t>Author: https://www.amazon.com/-/e/B07QR67MJN Work include Psych Wars draft published in 2019 and in-progress Reunion: The Lost Shuttle.</t>
  </si>
  <si>
    <t>Shi</t>
  </si>
  <si>
    <t>From taboo to top topic: 3 ways to improve #Mentalhealth at work  By @wef #wef20 #MentalHealthAwareness @JudgeWren @iron_light @morgfair @katesandison @LarsJohanL @The_News_DIVA @theresamax @northwind1ndn @IdeaGov @AuntCole22</t>
  </si>
  <si>
    <t>https://wef.ch/2R2YoqR</t>
  </si>
  <si>
    <t>https://pbs.twimg.com/media/EOgwacEX4As6lKk.jpg</t>
  </si>
  <si>
    <t>WORLD CITIZEN💙 DM-FREE ZONE</t>
  </si>
  <si>
    <t>MSc. Climate Change | Environment | Energy | Sustainability. Proud supporter of change-makers. #AI #Science #Art #Photography #SocialJustice #CyberSecurity💙</t>
  </si>
  <si>
    <t>CurtisJD</t>
  </si>
  <si>
    <t>It could’ve been a mass tragedy but ended up an unfortunate situation. My heart is with the Cane Bay High community and the family of the young life lossed. #mentalhealth #MentalHealthMatters</t>
  </si>
  <si>
    <t>South Carolina, USA</t>
  </si>
  <si>
    <t>🙏🏽 ‘08, 🐓 ⚖️’13,🤙🏾 F’18, Geechie B-D.</t>
  </si>
  <si>
    <t>MentalHealthPlatform</t>
  </si>
  <si>
    <t>Anxiety disorders: signs, symptoms and treatment tips- #mentalhealth #anxiety #mentalillness #mhstigmafighter</t>
  </si>
  <si>
    <t>https://www.netdoctor.co.uk/conditions/depression/a624/anxiety-disorders/</t>
  </si>
  <si>
    <t>Canada 🇨🇦</t>
  </si>
  <si>
    <t>Top 100 #MentalHealth Twitter Influencers~Karen B @mentalperspect created out of empathy for people who've a #mentalillness. #faith #MHStigmaFighter Rts#endorse</t>
  </si>
  <si>
    <t>http://mentalhealthplatform.com</t>
  </si>
  <si>
    <t>Caring Hands Sarcoid</t>
  </si>
  <si>
    <t>Sarcoidosis Will Not Win!💜❄️💜 #sarcoidosis #mentalhealth #butyoudontlooksick #thestruggleisreal #spoonie</t>
  </si>
  <si>
    <t>https://www.instagram.com/p/B7crP0Egphl/?igshid=r7pduytskf3s</t>
  </si>
  <si>
    <t>Rochester Hills, MI</t>
  </si>
  <si>
    <t>501c3 nonprofit that connects, empowers and mobilizes the Sarcoidosis community.</t>
  </si>
  <si>
    <t>http://about.me/caringhandsofmi</t>
  </si>
  <si>
    <t>"Impt to talk abt our insecurities and our #pain, the things that are hard...Everyone is struggling w something. If we’re all putting out a false narrative of perfection, the world seems a lot more #lonely”:  @TheMightySite #NotAlone #MentalHealth #advocate</t>
  </si>
  <si>
    <t>https://buff.ly/2Vu1unW</t>
  </si>
  <si>
    <t>😈Schiz0_d👿</t>
  </si>
  <si>
    <t>It’s a PARTY tonight! Lets gooooo!!! Grab whatever cup you want to grab tonight because it’s party time. Come get hype and have fun with your favorite MisFit!  @FlyRts @FearRTs @rtsmallstreams #mentalhealth #MentalHealthMatters #smallstreamer #twitchtv</t>
  </si>
  <si>
    <t>http://Twitch.tv/schiz0_d</t>
  </si>
  <si>
    <t>Affiliate @Twitch|Variety streamer|Engaged 💍, Father of 2 beautiful girls| Sponsored by @TheRogueEnergy use code “SCHIZ” at checkout| QHV72P</t>
  </si>
  <si>
    <t>https://linktr.ee/agcschiz0_d</t>
  </si>
  <si>
    <t>Make yourself a priority. Fill yourself up so that you can give more to others. #houston #texas #mentalhealth #mindfulness #wellness</t>
  </si>
  <si>
    <t>Wondering what happened this week? Check out these top #mentalhealth moments! 📽</t>
  </si>
  <si>
    <t>pic.twitter.com/1oj3KApAoO</t>
  </si>
  <si>
    <t>Michelle (Africans United)</t>
  </si>
  <si>
    <t>I’ve been studying the work of Carol Dweck #GrowthMindset Recommended Reading! #SystemsLeadership “We find comfort among those who agree with us &amp; growth among those who don't.” Frank A.Clark #mentalhealth #systemsleadership #growthmindset #sdgs #shapingourfuture #africansunited</t>
  </si>
  <si>
    <t>https://pbs.twimg.com/media/EOiZgAHX0AAgvlN.jpg</t>
  </si>
  <si>
    <t>South Africa</t>
  </si>
  <si>
    <t>During the day I create risk management interventions. At night I’m a professional coach and MBSR practitioner. I use my skills to creatively serve @UN #SDGs.</t>
  </si>
  <si>
    <t>https://youtu.be/QhXfI4imVJc</t>
  </si>
  <si>
    <t>Anne B ⭐⭐⭐I AM FLYNN text TRUMP 88022</t>
  </si>
  <si>
    <t>Mississippi/Texas</t>
  </si>
  <si>
    <t>Love God ✝family, USA Husband WW2 PT106Navy ♥️MAGA🌹 @ScottBaio #Trump2020🦋 @GenFlynn @SidneyPowell1 CULT 45 mikeflynndefencefund.o F4T #WWG1WGA_WORLDWIDE</t>
  </si>
  <si>
    <t>itismystory</t>
  </si>
  <si>
    <t>“people's reasons for turning to online communities around #selfharm focus on receiving and providing peer #support, in the context of limited offline #mentalhealth resources or access; feeling stigmatised; and being unable to speak to people ‘in real life’” #itismystory RT @AnnaLavis: Narrative Matters: Two decades of support: a brief history of online self‐harm content</t>
  </si>
  <si>
    <t>https://twitter.com/annalavis/status/1218337901471326208
https://onlinelibrary.wiley.com/doi/abs/10.1111/camh.12356?af=R#.XiJZJroPjG0.twitter</t>
  </si>
  <si>
    <t>Project investigating the power of stories to construct identities, give insight into personal experiences, and shape public debates. Tweets by @lisabortolotti</t>
  </si>
  <si>
    <t>http://www.itisyourstory.co.uk</t>
  </si>
  <si>
    <t>Girish A. Jahagirdar</t>
  </si>
  <si>
    <t>Dharwad, India</t>
  </si>
  <si>
    <t>Sean S. Smith, M.S., MHC💫💥💫</t>
  </si>
  <si>
    <t>Looking for clients (E-Therapy).....well trained, empathic therapist specializing in personality disorders may look young but have 30 plus yrs experience in psychiatry. Book your first appt with me at 800-505-3430 #depression #mentalhealth #MusicToImpeachBy #bpdchat #anxiety</t>
  </si>
  <si>
    <t>Sunny Florida🌴</t>
  </si>
  <si>
    <t>#Psychoth. ,🤔#Ph.D in 6 Mos.,🤗 #MHAdvoc. 💫✌️ 🚸 NYU Edu., #Harvard MS, @Toriamos,💞 @Sia 😍#CatLover 🐱#AcademicWriter ☕📚 #LGBTQ,⚣#Artsy, (^_-) 🎨 #Stigma</t>
  </si>
  <si>
    <t>http://freedomfromdistress.com</t>
  </si>
  <si>
    <t>West Yorkshire</t>
  </si>
  <si>
    <t>Missing my boy Schäfer. NOT politically correct. I speak my mind.If I upset you, unfollow or block me. Support all Police apart from WYP_Hx. NFA is the default</t>
  </si>
  <si>
    <t>10 outta 10. Would tweet again 🐦</t>
  </si>
  <si>
    <t>Just finished up 4 weeks in a hospital psych ward out patient program cuz #mentalhealth issues I'm not ashamed. I learnt so much. I'm still learning. All this below is true Via @justiceaudre @theLLAG #IDidTheBestICouldWithWhatIHad</t>
  </si>
  <si>
    <t>https://pbs.twimg.com/media/EOiYMo_U8AI20Bg.jpg</t>
  </si>
  <si>
    <t>Not Los Angeles, Not New York.</t>
  </si>
  <si>
    <t>Scourge. Nerd. Mimic. Chronic sketcher scribbler. Social Justice Senpai. Yes, I have noticed you. Epic side-eye. Comedy like a bat to the face. she/her💖</t>
  </si>
  <si>
    <t>https://Instagram.com/guiltyx</t>
  </si>
  <si>
    <t>William Mark</t>
  </si>
  <si>
    <t>Lets Join:  Integrated mental health and substance abuse treatment for severe psychiatric disorders #Mentalhealth #Psychiatry #Bipolardisorder #Addiction #MentalIllness #ClinicalNeuropsychology #Childabuse #Stress #Autism #Neurology</t>
  </si>
  <si>
    <t>https://mentalhealth.peersalleyconferences.com</t>
  </si>
  <si>
    <t>https://pbs.twimg.com/media/EOiYGXHU8AUrkaV.jpg</t>
  </si>
  <si>
    <t>Vancouver BC Canada</t>
  </si>
  <si>
    <t>“Euro Mental Health Congress” which is going to be held in attractive city Paris, France during March 26-27, 2020</t>
  </si>
  <si>
    <t>https://mentalhealth.peersalleyconferences.com/</t>
  </si>
  <si>
    <t>Aziz Mohammad</t>
  </si>
  <si>
    <t>Peshawar, Pakistan</t>
  </si>
  <si>
    <t>Consultant Psychiatrist</t>
  </si>
  <si>
    <t>angela edwards</t>
  </si>
  <si>
    <t>Will you be funding accredited child psychologists to help with their trauma responses??? #auspol #AustralianBushfireDisaster #Mentalhealth RT @ScottMorrisonMP: A quick update. 46,877 claims for Federal Gov Disaster Recovery Payments have been paid, totalling $55.8m in assistance. This includes payments for 23,101 children. From Monday, an additional $400 will be paid to families for these children as many prepare to go back to school.</t>
  </si>
  <si>
    <t>https://twitter.com/ScottMorrisonMP/status/1218322485738782721</t>
  </si>
  <si>
    <t xml:space="preserve">west wyalong nsw </t>
  </si>
  <si>
    <t>Public School teacher. Proud of all that I have achieved so far in life. Book lover, coffee lover, dirt road lover All views expressed here are my own</t>
  </si>
  <si>
    <t>http://angelafromtheblock.wordpress.com</t>
  </si>
  <si>
    <t>Mike Veny</t>
  </si>
  <si>
    <t>See this article =&gt; How Do We Fix Mental Health in Schools? #mentalhealthawareness #mentalhealth #youth</t>
  </si>
  <si>
    <t>https://bit.ly/2u7LhvI</t>
  </si>
  <si>
    <t>Leading mental health speaker &amp; teamwork facilitator whose messages inspire the Diversity &amp; Inclusion of all. 🙂 #YouTube: http://www.YouTube.com/mikeveny.</t>
  </si>
  <si>
    <t>https://www.mikeveny.com</t>
  </si>
  <si>
    <t>MailMyStatements 🛡📬</t>
  </si>
  <si>
    <t>Cigna: Uniting Medical, Drug And #MentalHealth Saves $850 Per Enrollee  via @Forbes #healthcare</t>
  </si>
  <si>
    <t>http://bit.ly/2Qu5QeE</t>
  </si>
  <si>
    <t>Transform your #printing &amp; mailing process into tech-driven #patientstatements billing &amp; #patientpayment solutions that improve RCM performance.</t>
  </si>
  <si>
    <t>https://httpslink.com/home_t</t>
  </si>
  <si>
    <t>Ahana Hospitals</t>
  </si>
  <si>
    <t>When you suddenly stop or cut back on your #drinking after chronic or prolonged use of #alcohol, you may experience #physical and #psychological symptoms of alcohol withdrawal. #AhanaHospitals #MentalHealthMatters #MentalHealth #Addiction #Drug #SubstanceUse</t>
  </si>
  <si>
    <t>https://pbs.twimg.com/media/EOZNu0eUUAUQSRr.png</t>
  </si>
  <si>
    <t>Madurai, India</t>
  </si>
  <si>
    <t>The state-of-the-art neuropsychiatric and de-addiction hospital in India. HelpLine: 1800 3000 2233</t>
  </si>
  <si>
    <t>http://www.ahanahospitals.in</t>
  </si>
  <si>
    <t>Billy Franklin</t>
  </si>
  <si>
    <t>Keeping life simple, Parramatta Eels 💙💛 #Parra2k20</t>
  </si>
  <si>
    <t>🇲🇽México</t>
  </si>
  <si>
    <t xml:space="preserve">Veracruz, Veracruz de Ignacio </t>
  </si>
  <si>
    <t>pensador humanista</t>
  </si>
  <si>
    <t>Seema Khan,M.D.</t>
  </si>
  <si>
    <t>4 Fantastic Foods You Can Eat in Bigger Portions  via @clevelandclinic #Berries #Greenleafyvegetables #walnuts #starcyvegetables #healthychoices #Mentalhealth #Hearthealth</t>
  </si>
  <si>
    <t>https://health.clevelandclinic.org/4-foods-you-can-eat-in-bigger-portions/</t>
  </si>
  <si>
    <t>Adult, Child and Adolescent Psychiatrist.</t>
  </si>
  <si>
    <t>Family man, Parramatta fan, Eel for Life, NY Mets, NY Giants, Don’t like what I write ? Simple ! don’t follow me #ibleedblueandgold #LGM #NYGiants</t>
  </si>
  <si>
    <t>Self Care is important! #bathbomb #selfcare #mentalhealth #relax #beauty #BeautyDays #Miami #Orlando #Jacksonville</t>
  </si>
  <si>
    <t>pic.twitter.com/8EJtrai1pu</t>
  </si>
  <si>
    <t>Nathan Rufty</t>
  </si>
  <si>
    <t>https://buff.ly/2Ql7vkM</t>
  </si>
  <si>
    <t>https://pbs.twimg.com/media/EOiWKLnWAAAPX8L.jpg</t>
  </si>
  <si>
    <t>California and Arizona</t>
  </si>
  <si>
    <t>Mortgage Loan Officer for over 20 years assisting with purchase and refinance home loans utilizing FHA, VA, USDA &amp; Conventional - NMLS #292056</t>
  </si>
  <si>
    <t>http://www.NathanRufty.com</t>
  </si>
  <si>
    <t>NurseSalgado</t>
  </si>
  <si>
    <t>In A Stressed Society, Where Are Psychiatric Nurses?' #Nurses who have encountered violence in the workplace, or know a colleague whose career has been irrevocably altered by a patient w/ unmet #MentalHealth needs, this topic can be very personal.</t>
  </si>
  <si>
    <t>http://boards.medscape.com/forums/?128@@.2a83e317!comment=1</t>
  </si>
  <si>
    <t>Registered Nurse School Nurse Opinions are my own. Retweets do not necessarily mean endorsement.</t>
  </si>
  <si>
    <t>https://sites.google.com/friscoisd.org/allennurse/home</t>
  </si>
  <si>
    <t>"Prohibition was a public health success." #Recovery #Addiction #Mentalhealth #yyc RT @driibe: .@maddow - Prohibition was not a wholesale failure. It was an enforcement failure indeed, but a public health success. The untold story was in lives saved. Sadly, shift has been to increase profits for Big Alcohol at expense of the health of a nation. Not much success in that.</t>
  </si>
  <si>
    <t>https://twitter.com/driibe/status/1218368493495771137</t>
  </si>
  <si>
    <t>i l k a</t>
  </si>
  <si>
    <t>PURGING . . . #poetry #poetsofinstagram #poemsofinstagram #wordsmith #writersofinstagram #poets #poetsociety #writer #writerslife #poetryisnotdead #poetryislife #poetrycommunity #mentalhealth #addiction #loss…</t>
  </si>
  <si>
    <t>https://www.instagram.com/p/B7coz-sgKl8/?igshid=lylkpqqenzty</t>
  </si>
  <si>
    <t>in outer space</t>
  </si>
  <si>
    <t>spicy. disillusionment.</t>
  </si>
  <si>
    <t>Hope Atlas a.k.a QuoteHope®</t>
  </si>
  <si>
    <t>#happiness #mentalhealth #mentalhealthmatters #realistic #writing #blog #writingcommunity #selfcare #selfawareness I just published HOW TO FIND HAPPINESS INSTEAD OF PINK CLOUDS.</t>
  </si>
  <si>
    <t>https://link.medium.com/innkbff8k3</t>
  </si>
  <si>
    <t>#Publishedpoet https://www.linkedin.com/in/quotehope #Lifequotes #addiction #grief #mentalhealth http://zazzle.com/quotehope POET/QUOTE WRITER /BLOG/ QUOTE STORE</t>
  </si>
  <si>
    <t>http://www.quotehope.com</t>
  </si>
  <si>
    <t>m͇u͇s͇l͇i͇m͇a͇h͇s͇t͇r͇o͇n͇g͇ 👑</t>
  </si>
  <si>
    <t>Kota Bengkulu, Bengkulu</t>
  </si>
  <si>
    <t>A person who is very interested in beauty (mosque, flowers, motivational quotes, creativity, etc.)</t>
  </si>
  <si>
    <t>Good Morning everyone, have a great weekend 🌞. #gardening #photography #BeKind #winter #art #savethebees #love #mentalhealth #weekendvibes</t>
  </si>
  <si>
    <t>https://pbs.twimg.com/media/EOiU-l7XkAAnOXU.jpg</t>
  </si>
  <si>
    <t>Hope Center for Wellness</t>
  </si>
  <si>
    <t>Read along with us. This month we are reading @TaraBrach #RadicalCompassion and we are totally hooked. Read our review.  #wellness #mentalhealth #mindfulness #bookclub</t>
  </si>
  <si>
    <t>http://hopecenterforwellness.com/blog.html#!/posts/What-We-Are-Reading---Radical-Compassion-/41</t>
  </si>
  <si>
    <t>We are a multicultural and bilingual wellness and behavioral health practice focused on holistic healing. If you are in crisis or have an emergency, call 911.</t>
  </si>
  <si>
    <t>http://hopecenterforwellness.com</t>
  </si>
  <si>
    <t>Dean McBee</t>
  </si>
  <si>
    <t>Seattle, Washington</t>
  </si>
  <si>
    <t>Social &amp; Political</t>
  </si>
  <si>
    <t>6 Ways To Protect Your Mental Health From Social Media's Dangers. #socialmedia #mentalhealth #protectyourself #selfprotection #innerpeace: More than one-third of American adults view social media as harmful to their mental health, according to a new survey</t>
  </si>
  <si>
    <t>http://tinyurl.com/y3qes8n3</t>
  </si>
  <si>
    <t>https://pbs.twimg.com/media/EOiUm1rXUAA3sx4.jpg</t>
  </si>
  <si>
    <t>Florida &amp; Nova Scotia</t>
  </si>
  <si>
    <t>InnerSelf's Social &amp; Political topics include climate, democracy, the economy, inequality, hostilities, and justice.</t>
  </si>
  <si>
    <t>http://Innerself.com/content/social.html</t>
  </si>
  <si>
    <t>InnerSelf.com</t>
  </si>
  <si>
    <t>https://pbs.twimg.com/media/EOiUmjgWkAYmn5U.jpg</t>
  </si>
  <si>
    <t>http://InnerSelf.com is a 30 year old lifestyle magazine with emphasis on Personal Development, Living In Harmony, and pertinent Social &amp; Political issues</t>
  </si>
  <si>
    <t>http://InnerSelf.com</t>
  </si>
  <si>
    <t>CentreForEffectiveLiving</t>
  </si>
  <si>
    <t>"Never say anything about yourself that you do not want to come true."- Brian Tracy #mentalhealth #positivethinking #wellness</t>
  </si>
  <si>
    <t>https://pbs.twimg.com/media/EOiT3m8XkAEaASU.jpg</t>
  </si>
  <si>
    <t>The official Twitter account for the Centre For Effective Living- a Psychology and Well-Being Centre located in Gordon (Sydney) NSW.</t>
  </si>
  <si>
    <t>Anxiety's #YinYang: Live the #Balance &amp; Be at #Peace  #mentalhealth #healthyplace #anxiety #anxietyrelief</t>
  </si>
  <si>
    <t>http://bit.ly/2SlHNfK</t>
  </si>
  <si>
    <t>Godwin Mbogo🇹🇿🇮🇱</t>
  </si>
  <si>
    <t>Social Entrepreneur | Bookworm.</t>
  </si>
  <si>
    <t>https://www.facebook.com/godwin.mbogo</t>
  </si>
  <si>
    <t>Tati</t>
  </si>
  <si>
    <t>Arizona State University'19 Alumna |New Orleans |AZ|Insta :tatianarjacques</t>
  </si>
  <si>
    <t>Jenny Laurello</t>
  </si>
  <si>
    <t>1 in 5 older adults are dealing with a #mentalhealth issue. Need better coordination of home care &amp; mental health services, personal connections w/ patients (same w/ primary care &amp;amp; #behavioralhealth) #humanizehealthcare</t>
  </si>
  <si>
    <t>Washington, D.C.</t>
  </si>
  <si>
    <t>#DigitalHealth/#HealthIT #marcomm consultant. #HITsm, #content strategy, writing, #thoughtleadership. Lover of karaoke. Deep appreciation for @KellyClarkson.</t>
  </si>
  <si>
    <t>http://www.linkedin.com/in/jennylaurello/</t>
  </si>
  <si>
    <t>Never ever let the Fear of not being enough stop you from your destiny. Ultimately your Faith will pull you through the finish! #Destiny #desire #Champions #Mentalhealth #Grateful #Hope #Emotions</t>
  </si>
  <si>
    <t>kirtikanth</t>
  </si>
  <si>
    <t>Studies BTech at IIT MADRAS.Interested in data science, machine http://learning.Fan of superstar Mahesh Babu,MSD, Hrithik Roshan, Rajnikanth</t>
  </si>
  <si>
    <t>Dr. Kim Chronister</t>
  </si>
  <si>
    <t>My friend &amp; rap legend Keith Murray just released an impactful song about suicide prevention. Share with someone who needs to hear these lyrics #Mentalhealth #MentalHealthAwareness #hiphop #RareListeningParty #weekend</t>
  </si>
  <si>
    <t>pic.twitter.com/Da4pNGGqUy</t>
  </si>
  <si>
    <t>YouTuber and TikToker | Psychologist in Beverly Hills | Author | Seen in @NBC @Forbes @Access @DiscoveryID</t>
  </si>
  <si>
    <t>https://www.youtube.com/user/KimChron2</t>
  </si>
  <si>
    <t>Lenny-bo-benny</t>
  </si>
  <si>
    <t>I wrote this today to remind myself that I don’t have to live in self loathing. I can allow myself to exist in the reality of love. #mentalhealth #depressionhelp #love</t>
  </si>
  <si>
    <t>https://www.instagram.com/p/B7cnBIOHmMh/?igshid=1ewrwuqocwx3v</t>
  </si>
  <si>
    <t>A webcomic about Paige and Evan and their adventures with mental illness, recovery, and relationships. It's funny, really. pronouns: he/him</t>
  </si>
  <si>
    <t>http://ourmadlife.com</t>
  </si>
  <si>
    <t>Akata</t>
  </si>
  <si>
    <t>Exhaustion + depression = Unmotivated as hell... Remember to eat and drink some water everyone! Self care is important. Lots of love and I'm proud of you ❤ #selfcare #mentalhealth #yougotthis #selflove #selfworth #MentalHealthAwareness</t>
  </si>
  <si>
    <t>Cosplayer•|•Artist•|•Author She/Her ~ Mother and Wife Tiktok: @akatawolf Wattpad: @Amalia_Akata Ko-Fi: http://ko-fi.com/akatawolf524 PayPal: http://paypal.me/Akata524</t>
  </si>
  <si>
    <t>Paul Smith</t>
  </si>
  <si>
    <t>Cranbourne, Melbourne</t>
  </si>
  <si>
    <t>Love my family, punt &amp; Carlton Draught</t>
  </si>
  <si>
    <t>Good night #RecoveryPosse #mentalhealth and all you other voices in my head. Be safe, be strong, be blessed.</t>
  </si>
  <si>
    <t>Padham Health News</t>
  </si>
  <si>
    <t>Destress and unwind the right way, this new year.  #Stress #MentalHealth</t>
  </si>
  <si>
    <t>http://padhamhealthnews.org/easy-ways-to-relieve-stress-lead-a-happy-life/</t>
  </si>
  <si>
    <t>Exclusive health website to spread awareness- find expert articles on good #health, #food, #nutrition, #exercise &amp; #wellness on http://padhamhealthnews.org</t>
  </si>
  <si>
    <t>https://linktr.ee/padhamhealthnews</t>
  </si>
  <si>
    <t>sheismusic_ro</t>
  </si>
  <si>
    <t>🎧 ~ There comes a time when you get turned around Life itself just wears you out You keep getting ready for the big parade ~ Paper Moon ~ Our Lady Peace 🎶 #lyricsaboutlife #anxiety #mentalillness #depression #mentalhealth #musicislife #lyrics #amlistening</t>
  </si>
  <si>
    <t>Call me Ro. Music is saving my life. 🎧 Always reading. Mental health is health. I ❤️ Lilo &amp; Stitch, Lyra &amp; Pantalaimon, C3PO &amp; R2D2, Harry &amp; Hedwig.</t>
  </si>
  <si>
    <t>Farrukh Tanvir Chaudhary</t>
  </si>
  <si>
    <t>پاکستان</t>
  </si>
  <si>
    <t>Business Student | Horse rider |Sufi Soul| Music, animal &amp; coffee lover | Neo Marxist | Travel Enthusiast</t>
  </si>
  <si>
    <t>Rahul Seth</t>
  </si>
  <si>
    <t>This is a brilliant article on the importance of #community care, not just self care. I firmly believe in the importance of community for #mentalhealth, which is why I started &amp; continue to lead @ActivateMH. #perthmentalhealth #supportgroup</t>
  </si>
  <si>
    <t>https://mashable.com/article/community-care-versus-self-care/</t>
  </si>
  <si>
    <t>Perth</t>
  </si>
  <si>
    <t>Mental health change-maker. Chartered accountant. F1 Fanatic🏁🏎. Amateur photographer. Graphic maker. Founder @ActivateMH🇨🇭Born 🇦🇺Raised</t>
  </si>
  <si>
    <t>http://linktr.ee/rahulsethau</t>
  </si>
  <si>
    <t>Dr. Lena</t>
  </si>
  <si>
    <t>What a progressive approach! Hats off to acknowledging that people differ... BBC News - Does your company nurture neurodiverse talent?  #innovation #ADHD #Dyslexia #Autism #PDD #diversity #acceptance #mentalhealth #belonging #psychology #neuropsychology</t>
  </si>
  <si>
    <t>https://www.bbc.co.uk/news/uk-51014028</t>
  </si>
  <si>
    <t>Boca Raton, FL</t>
  </si>
  <si>
    <t>Doctor &amp; neuroscientist ⚜ Opinions expressed are my own ⚜ Follow me on Instagram: Dr_Dobson.</t>
  </si>
  <si>
    <t>http://www.scandicneuro.com</t>
  </si>
  <si>
    <t>Better Me Healthcare</t>
  </si>
  <si>
    <t>Looking after your mental health is a constant ongoing process. . . #mentalhealthawareness #recovery #mentalhealth #mentalhealthsupport #help #year #mind #mentalhealthmatters #anxiety #delhi #affirmations #bettermehealthcare #health #depression #india</t>
  </si>
  <si>
    <t>https://pbs.twimg.com/media/EOiQhUxXkAAsANZ.jpg</t>
  </si>
  <si>
    <t>Better Me is a centre for comprehensive psychological healthcare. I- 49, West Patel Nagar, Balraj Khanna Marg, New Delhi, Delhi 110008</t>
  </si>
  <si>
    <t>http://www.bettermementalhealth.com</t>
  </si>
  <si>
    <t>White Swan Foundation</t>
  </si>
  <si>
    <t>Why are some #relationships harder than others? Why do some couples fight more than others? Dr Rathna Isaac explains relationship conflict, what causes it, and what to do about it.  #mentalillness #mentalhealth #mentalhealthawareness #relationshipadvice</t>
  </si>
  <si>
    <t>https://www.youtube.com/watch?v=lX9RjyNJ_9g&amp;list=PL3LYCEMgJ1uooBTit-HLCRnAGQSBogR95&amp;index=10&amp;platform=hootsuite&amp;utm_campaign=HSCampaign</t>
  </si>
  <si>
    <t>White Swan Foundation is India's first repository offering knowledge services in the areas of #mentalhealth &amp; #wellbeing.</t>
  </si>
  <si>
    <t>http://www.whiteswanfoundation.org</t>
  </si>
  <si>
    <t>Colin Potts</t>
  </si>
  <si>
    <t>If I follow back it does not mean I endorse your comments. All opinions are my own. Golf..Waratahs..Red Wine..Philly Eagles NFL..</t>
  </si>
  <si>
    <t>Nik Rocks</t>
  </si>
  <si>
    <t>#MENTELLECT 🐍RADIO IS LIVE FEATURING THE INTELLECTUAL NUBEN MENKARAYAZZ🔥🔥🔥 #LITTY #FridayThoughts #Friday #mentalhealth #bright_race #144 #theELECT #NextLevel</t>
  </si>
  <si>
    <t>https://pbs.twimg.com/media/EOiQVMmWAAAEHLj.jpg</t>
  </si>
  <si>
    <t>PROUD REGISTERED MEMBER of R.O.M I AM A BRONZE MENTELLYN🐍 WOMAN OF AHMENIC DECENT💎 ⚡⚡</t>
  </si>
  <si>
    <t>Andrew Saunders</t>
  </si>
  <si>
    <t>Don’t just advocate for yourself, advocate for the whole damn crew. #mentalhealth #advocate #SpeakUp 💯 How%2520to%2520Create%2520a%2520Company%2520Culture%2520That%2520Supports%2520Mental%2520Health%2520@andrewthomas%2520%2520  via @Inc</t>
  </si>
  <si>
    <t>https://www.inc.com/andrew-thomas/how-to-create-a-company-culture-that-supports-mental-health-and-thrives-as-a-result.html</t>
  </si>
  <si>
    <t xml:space="preserve">St Louis, MO </t>
  </si>
  <si>
    <t>Behavioral Neuroscience | Clinical Neuropsychology</t>
  </si>
  <si>
    <t>MedicineBallLs3</t>
  </si>
  <si>
    <t>Latest Episode of Medicine Ball Ep.24 Mamba Menatality In this episode the season finale of Medicine Ball we talk about @kobebryant and the mentality of a champion chasing greatness #mentalhealth #MentalHealthMatters #mentalawareness #medicineball</t>
  </si>
  <si>
    <t>https://anchor.fm/lorenzo-scott-iii/episodes/Ep--24-Mamba-Mentality-ea8lri</t>
  </si>
  <si>
    <t>Host of #Medicineball podcast diagnosed bipolar mental health advocate and survivor 💪🏾🧠💪🏾 forced to change how I think and live to live more peacefully</t>
  </si>
  <si>
    <t>https://play.google.com/music/m/Irswsi6wzsvq4sh5gztuviabpwi?t=Medicine_Ball</t>
  </si>
  <si>
    <t>Check out Coach Arnie's video! #TikTok  #mentalhealth</t>
  </si>
  <si>
    <t>https://vm.tiktok.com/48Ug2L/</t>
  </si>
  <si>
    <t>Almir Lima</t>
  </si>
  <si>
    <t>Weston, FL</t>
  </si>
  <si>
    <t>O segredo para ter uma vida feliz é simplesmente querer ser feliz.</t>
  </si>
  <si>
    <t>Ericson Ruky</t>
  </si>
  <si>
    <t>Katie Maniaci</t>
  </si>
  <si>
    <t>Waterford, MI</t>
  </si>
  <si>
    <t>Now let’s get this damn thing started.</t>
  </si>
  <si>
    <t>http://linkedin.com/in/katie-maniaci-45999014</t>
  </si>
  <si>
    <t>Sandi George</t>
  </si>
  <si>
    <t>Blessed wife, mom, grandmother, daughter, sister, friend ❤️ @gigemaggies #MAGA</t>
  </si>
  <si>
    <t>I really should get my arse to bed. I'm extra tired &amp; worn out for some reason tonight. I guess pushing a mop, plus, cleaning a section of another janitor's area could be the culprit. 😂 Be blessed my beautiful #mentalhealth family &amp;amp; #friends. See y'all tomorrow. ✌️💚🤗☘️</t>
  </si>
  <si>
    <t>pic.twitter.com/SC8skOn0ks</t>
  </si>
  <si>
    <t>Paul</t>
  </si>
  <si>
    <t>Positive affirmations, for more motivational quotes and reiki follow mistri.reiki (ig/fb). Little Things . #selfcare #selflove #love #loveyourself #skincare #wellness #health #mentalhealth #beauty #motivation #fitness #healing #inspiration #happy #mentalhealthawareness #cmns105</t>
  </si>
  <si>
    <t>https://pbs.twimg.com/media/EOiNyBYUUAAfz_o.jpg</t>
  </si>
  <si>
    <t>CMNS-105 Student</t>
  </si>
  <si>
    <t>Virginia Manning</t>
  </si>
  <si>
    <t>Happy FriYAy‼️⠀ Let us shot out your accomplishments, dreams or wins with the GMC community. Send requests to info@ginmanconsulting.com⠀ #GMC #PushPassLife #Counselor #Blogger #MentalHealth #SpotLight #Recognition #Fridaze #Support #Strength #Love ❤️</t>
  </si>
  <si>
    <t>https://pbs.twimg.com/media/EOiNuENXUAAtdAj.jpg</t>
  </si>
  <si>
    <t>2020 is your year to shift out of doubts, fears and worry‼️Develop a Lifestyle of More @ http://bit.ly/WIWchallenge</t>
  </si>
  <si>
    <t>http://www.ginmanconsulting.com</t>
  </si>
  <si>
    <t>Check out Coach Arnie's video! #TikTok  #adventure #grandcanyon #mentalhealth #epic</t>
  </si>
  <si>
    <t>https://vm.tiktok.com/4Rs76U/</t>
  </si>
  <si>
    <t>Resident Bolde</t>
  </si>
  <si>
    <t>Residency programs can create such a toxic work environment that they try to reframe normal response to abuse as a psychiatric condition. This puts residents at risk for not even getting a license. Call it out as “weaponized psychiatry”. #MeToo #Gaslighting #Mentalhealth RT @2023drmeowmeow: My fav thing about med school is learning about how a lot of doctors pay cash and use fake names to seek mental help bc if boards find out you can possibly lose your license. Lol can I speak to the manager please</t>
  </si>
  <si>
    <t>https://twitter.com/2023drmeowmeow/status/1218308486217576448</t>
  </si>
  <si>
    <t>Destroying gender bias towards women in residency training. Email info@residentbolde.org if you are experiencing microaggressions/harassment. http://bit.ly/RB_FAQ</t>
  </si>
  <si>
    <t>https://residentbolde.org/</t>
  </si>
  <si>
    <t>10 ways to stop giving people #power over you, according to a psychotherapist #Mentalhealth #HR</t>
  </si>
  <si>
    <t>https://www.businessinsider.com/psychotherapist-10-ways-to-stop-giving-people-power-over-you-2020-1</t>
  </si>
  <si>
    <t>What causes Avoidant Personality Disorder  #mentalhealth #mentalillness</t>
  </si>
  <si>
    <t>http://psy.pub/1jnqtSc</t>
  </si>
  <si>
    <t>Hey all ive created a new website with loads of free links for #mentalhealth sufferers. Support for at work issues E.g amended duties etc, support numbers and free counselling sessions  Please share.</t>
  </si>
  <si>
    <t>https://www.dexteroustime.com/privacy-policy/</t>
  </si>
  <si>
    <t>I am increasingly convinced that every high school student should enter a solution based goal-setting program, and be taught basic theories and practices of cognitive behavioral psychology as well. The best #MentalHealth intervention is the proactive one.</t>
  </si>
  <si>
    <t>Parenting is no easy feat. But as mentally taxing as it can be, a mindful, purposeful parenting approach can help bring out the best in your child and you.  #parenting #mentalhealth #mindfulness #therapy #StLouis #Missouri</t>
  </si>
  <si>
    <t>https://sparlinmentalhealth.com/how-to-approach-purposeful-parenting/</t>
  </si>
  <si>
    <t>James Frankie</t>
  </si>
  <si>
    <t xml:space="preserve">wmca </t>
  </si>
  <si>
    <t>🌈Love forever reinvents itself 🦄 I’m Living with a #dementia aged 58 🧠</t>
  </si>
  <si>
    <t>Shonell Bacon</t>
  </si>
  <si>
    <t>#loveaday friday God will provide you with the means to get through circumstances. #jesusgirl #godschild #selfcare #selflove #mentalhealth #anxiety #chronicstress #depression #healing #mindbodyspirit #wellness #journaling #HUGSlove #plannerinspiration #plannercommunitywatch</t>
  </si>
  <si>
    <t>https://pbs.twimg.com/media/EOiMtDbW4AArLQN.jpg</t>
  </si>
  <si>
    <t>Lake Charles, LA</t>
  </si>
  <si>
    <t>#Writing Evangelist. Lover of good #coffee &amp; #tea. Passionate about helping people become better #writers &amp; selves. #amwriting #amediting #selflove #HUGSlove</t>
  </si>
  <si>
    <t>http://chicklitgurrl.com</t>
  </si>
  <si>
    <t>I hate it when I’m sick, been sick for a while, and my guard feels weak. That might sound weird but I think there might be some of you who get it. #chronicillness #Mentalhealth #PTSD</t>
  </si>
  <si>
    <t>Mulligan G. Pearce</t>
  </si>
  <si>
    <t>The eyes are useless when the mind is blind... #mindfulness #leadership #mentalhealth</t>
  </si>
  <si>
    <t>https://pbs.twimg.com/media/EOiMUi4WoAEaOOp.jpg</t>
  </si>
  <si>
    <t>ÜT: -26.1666948,28.0781557</t>
  </si>
  <si>
    <t>Passion for Brands, Marketing, Communication and Social Media... Inspired by everything outside the norm... #leadership #mentalhealth #humility #mindfulness</t>
  </si>
  <si>
    <t>Marquise de Nonsens</t>
  </si>
  <si>
    <t>Read this. #caregivers #cdnhealth #mentalhealth #healthsystem RT @kate_macdonald: There are lots of things that it's important to know before you take on the role of a full-time caregiver for a loved one but that most people never get to hear. Allow me...</t>
  </si>
  <si>
    <t>https://twitter.com/kate_macdonald/status/1217993368376172544
http://morelikespace.blogspot.com/2020/01/sht-no-one-tells-you-about-being.html</t>
  </si>
  <si>
    <t>Was it something I said? Probably. Started #WhyILoveYouIn4Words. No longer amused.</t>
  </si>
  <si>
    <t>Every choice gives you a chance to pave your own road. Keep moving. Full speed ahead.#charity #storytelling #houston #texas #mentalhealth</t>
  </si>
  <si>
    <t>New year, new #mentalhealth goals? If you're looking for some new mental health practices, take a look at this article from @CNN. Get inspired by their suggestions to think more optimistically, start volunteering, &amp; connect yourself to a sense of purpose.</t>
  </si>
  <si>
    <t>https://www.cnn.com/2020/01/03/health/mental-health-2020-wellness/index.html</t>
  </si>
  <si>
    <t>DeckApe</t>
  </si>
  <si>
    <t>Hey everybody! I just went LIVE! Come join in the fun at  #supportsmallstreamers #twitchaffiliate #twitch #live #mentalhealth #videogames</t>
  </si>
  <si>
    <t>https://twitch.tv/deckape</t>
  </si>
  <si>
    <t>https://twitch.tv/deckape Active Navy ⚓ Streamer for @PredominanceTV</t>
  </si>
  <si>
    <t>No matter how cool you believe you are, how you treat people tells the truth about you. So be a good person &amp; think about how you wish to be treated. Treat others this way. Imagine if everyone did this. What a wonderful world it would be! #StarfishClub #mentalhealth</t>
  </si>
  <si>
    <t>https://pbs.twimg.com/media/EOiKu9OXkAAbfJB.jpg</t>
  </si>
  <si>
    <t>jerry</t>
  </si>
  <si>
    <t>Twitter sucks #TruthBeTold #lola #foodwaste #HappyBirthdayBettyWhite #Obamacare #WhatAManGottaDo #Starbucks #BearDown #Satire #Funko #FunFactFriday #GoldenDiscAwards #SilverTheHedgehog #colors #BlueJays #Hurricanes #WhatsappGue #IdentityV #women #Mentalhealth #hashtags #hashtag3</t>
  </si>
  <si>
    <t>The trauma stops with you. #DiscoverYourLight @ayan_mukherjee_ #TheLightHouse #lighthousearabia #TLH #trauma #nextgeneration #mindfulliving #psychologydubai #mentalhealth #dubai</t>
  </si>
  <si>
    <t>https://pbs.twimg.com/media/EOiKfPcWAAIX47v.png</t>
  </si>
  <si>
    <t>We bring free summer camp programs to children affected by #mentalhealth issues. #donations welcome. #nonprofitjobs #nonprofitradio</t>
  </si>
  <si>
    <t>Through Gods Grace we’ve all been given a clean canvas. Now let’s return the favor and paint our masterpiece! #Mentalhealth #gratitude #Grateful #kindness #gift #joy</t>
  </si>
  <si>
    <t>Benefits of sleep: Sleep Improves Your Memory Good rest is very important for better functioning of your brain and helps you remember better. We help you sleep better -&gt;  #selfcare #sleep #wellness #mentalhealth #help #night #self #care #sleeping</t>
  </si>
  <si>
    <t>NARESH PATEL</t>
  </si>
  <si>
    <t>vadodara,Gujarat, India</t>
  </si>
  <si>
    <t>Indian !! Dreamer !! Fan of game shows !! Interested in Indian politics !! fully supports NRC,,CAA,,NPR !! Believes in BJP !!</t>
  </si>
  <si>
    <t>https://pbs.twimg.com/media/EOiJU9lX4AEzaZK.jpg</t>
  </si>
  <si>
    <t>I attended a new support group for my #addiction #mentalhealth</t>
  </si>
  <si>
    <t>@nuridrodriguez</t>
  </si>
  <si>
    <t>sranugece@hotmail.com</t>
  </si>
  <si>
    <t>Administradora, Madre, Abuelita enamorada, Venezolana, restreada con la Libertad de Venezuela</t>
  </si>
  <si>
    <t>OS Mental Illness</t>
  </si>
  <si>
    <t>You can find our #mentalhealth handbooks as ebooks on Leanpub:  #osmi</t>
  </si>
  <si>
    <t>https://leanpub.com/u/osmi</t>
  </si>
  <si>
    <t>https://pbs.twimg.com/media/EOhbG2ZWAAAKfcr.jpg</t>
  </si>
  <si>
    <t>Open Sourcing Mental Illness – raising awareness and ending the stigma of mental illness in the developer/tech community.</t>
  </si>
  <si>
    <t>http://OSMIhelp.org</t>
  </si>
  <si>
    <t>me bitch</t>
  </si>
  <si>
    <t>watching the #aaronhernandeznetflix episodes, at the end you can clearly say no matter what diagnosis you have, you make the decisions you make period. can't make any excuses. own up to that shit. #mentalhealth</t>
  </si>
  <si>
    <t>Fuck with me</t>
  </si>
  <si>
    <t>DareU_App</t>
  </si>
  <si>
    <t>And don't forget it 💪Have a nice, relaxing weekend. Don't forget that it's okay to unplug 🔌⁣ ⁣ #emotionalintelligence #mentalhealth #weekend</t>
  </si>
  <si>
    <t>https://pbs.twimg.com/media/EOiH2XeWAAA5yxG.jpg</t>
  </si>
  <si>
    <t>DareU is an interactive app consciously connecting you with your thoughts, emotions, and actions on a daily basis.</t>
  </si>
  <si>
    <t>https://simplyshrocking.kartra.com/page/dareu-app</t>
  </si>
  <si>
    <t>Bipolarmedstudent</t>
  </si>
  <si>
    <t>What about triggers? Have you identify them? I got a list at my mood journal and help look partners What about you guys? #bipolar #mentalhealth #medstudenttwitter #anxiety #MentalHealthMatters #moods</t>
  </si>
  <si>
    <t>Honduras</t>
  </si>
  <si>
    <t>The life of a bipolar Medstudent with a Kaleidoscopic mind #medstudent #poet #mentalhealtmatters #mentalhealthadvocate #dislexic #medlife #resiliance</t>
  </si>
  <si>
    <t>http://bipolarmedstudent97.blogspot.com</t>
  </si>
  <si>
    <t>Puerto Rican Belle 👩🏽</t>
  </si>
  <si>
    <t>Unapologetic</t>
  </si>
  <si>
    <t>Mets 💙🧡⚾️ Steelers 💛🖤🏈 Golden State 💙💛🏀</t>
  </si>
  <si>
    <t>Dipendra Mastana</t>
  </si>
  <si>
    <t>Dehradun, India</t>
  </si>
  <si>
    <t>राष्ट्रवादी : जीत निश्चित हो तो कोई भी अर्जुन बन सकता है । परन्तु मृत्यु निश्चित हो तो , अभिमन्यु बनने का साहस प्रभु मुझे देना ! 🙏</t>
  </si>
  <si>
    <t>The Hikikomori Pact</t>
  </si>
  <si>
    <t>#mentalhealth #hikikomori Just a gentle reminder, take care of yourselves! Life can be much more difficult when we forget to take care of ourselves. Eat well, sleep well, go for a run, and the art will make itself!</t>
  </si>
  <si>
    <t>https://pbs.twimg.com/media/EOiHKB2WsAAD0of.jpg</t>
  </si>
  <si>
    <t>Virginia, USA</t>
  </si>
  <si>
    <t>The Hikikomori Pact is a Multi-Instrument Musician, Producer, Mix Engineer, and Songwriter. #Vegan #Animalrights</t>
  </si>
  <si>
    <t>https://www.thehikikomoripact.com</t>
  </si>
  <si>
    <t>Health &amp; Wellness</t>
  </si>
  <si>
    <t>Aging Well: yoga provides gentle exercise for seniors #YogaHeals #Antiaging #MentalHealth …</t>
  </si>
  <si>
    <t>https://buff.ly/3aqrB79</t>
  </si>
  <si>
    <t>https://pbs.twimg.com/media/EOiHBvxXsAIMYHp.jpg</t>
  </si>
  <si>
    <t>Ottawa, Canada 🇨🇦</t>
  </si>
  <si>
    <t>Trainer/Teacher 40 + yrs - Healthy eating habits/lifestyle as a way to improve overall health #Exercise #Mindfulness #Nutrition #MentalHealth #Zen #Bodybuilding</t>
  </si>
  <si>
    <t>Brenda Irwin</t>
  </si>
  <si>
    <t>Jennie 🐕 was pleased with our objective setting today. @creativedlab @tombotrobotics #robots #Tombot #health #mentalhealth #loneliness #anxiety #Alzheimers #dementia</t>
  </si>
  <si>
    <t>pic.twitter.com/b78duOiUfH</t>
  </si>
  <si>
    <t>Vancouver, BC</t>
  </si>
  <si>
    <t>Managing Partner, Relentless Venture Fund | #VC | #HealthTech | #PreventativeHealth #ProactiveHealth |#RelentlessVentureFund | #TeamRelentlessRVF</t>
  </si>
  <si>
    <t>http://www.relentlesspursuitpartners.com</t>
  </si>
  <si>
    <t>For international athletes #Mentalhealth is as important as being Physically fit. No one is immune to #Mentalhealth issues, so keep #Mentalhealth on priority By:@NiacinDoc @BCCI @BadmintonScot @imVkohli @Gmaxi_32 @ANI @cricbuzz @Abhinav_Bindra @Pvsindhu1 @akshaykumar @YUVSTRONG12 RT @NiacinDoc: An attempt to look into the problems facing Indian badminton👇</t>
  </si>
  <si>
    <t>https://twitter.com/NiacinDoc/status/1218362113275510785
https://firstsportz.com/dear-bai-india-is-not-on-the-rise-anymore/</t>
  </si>
  <si>
    <t>yogaretreatsireland</t>
  </si>
  <si>
    <t>This will be me tomorrow! If you see me don't start chatting as I need to focus! #yogaforall #mentalhealth #healyourheart #overcomeanxiety #balanc#asanapractice #8limbsofyoga #healyourheart</t>
  </si>
  <si>
    <t>https://www.instagram.com/p/B7cgxKaHoLb/?igshid=6trvhf6x044f</t>
  </si>
  <si>
    <t>Bringing my loves together. Yoga and Ireland. If you need to step away from your life to restore and balance . Join me for a while in Ireland</t>
  </si>
  <si>
    <t>http://Yogaretreatsireland.com</t>
  </si>
  <si>
    <t>Going live in 5 with Layers of Fear!  #SupportSmallStreamers #twitch #twitchstreamer #twitchstream #spoonie #Fibromyalgia #ChronicPain #chronicillness #Gastroparesis #pots #mobilityaid #depression #anxiety #mentalhealth #selfcare #videogames</t>
  </si>
  <si>
    <t>http://twitch.tv/chronically_meg</t>
  </si>
  <si>
    <t>writer. Asexual. spoonie. twitch streamer and affiliate. she/her they/them</t>
  </si>
  <si>
    <t>Times Next</t>
  </si>
  <si>
    <t>Times Next is not times 'present', we are not 'paid', biased, never one sided</t>
  </si>
  <si>
    <t>Me: An energy drink should perk me up, get me doing something. *1 energy drink later...* Anxiety: AAAAAAHHHHHH! ADHD: IDK WHAT TO DO BUT I WANT TO DO ALL THE THINGS! Depression: Meh. I can still nope to all you. Me: I give up. #depression #ADHD #Anxiety #Mentalhealth</t>
  </si>
  <si>
    <t>https://www.lnk.xyz/HkdcPy-eU?aduc=M9pyNLb1579317150301</t>
  </si>
  <si>
    <t>Everything #changes, all it requires is a beginning. #Motorism #Life #Quote #Philosophy #Quotes #Wise #Wisdom #Motivation #Inspiration #victory #triumph #Defeat #Frustration #Stress #MentalHealth #Anxiety #Debacle #Flop #Blunder #destiny #Spirituality #success #successquotes</t>
  </si>
  <si>
    <t>https://pbs.twimg.com/media/EOiFbc7VUAEaxna.jpg</t>
  </si>
  <si>
    <t>Walk away from all things that are toxic. This is what we all need to work on to achieve optimal #mentalhealth. If it’s toxic, let it go. A good rule of thumb if you ask me. #StarfishClub RT @MrBedford2:</t>
  </si>
  <si>
    <t>https://twitter.com/MrBedford2/status/1218369474698579969</t>
  </si>
  <si>
    <t>https://pbs.twimg.com/media/EOiEk_FXUAAL9q6.jpg</t>
  </si>
  <si>
    <t>Just some dude</t>
  </si>
  <si>
    <t>“They're hoping to see me completely broken emotionally But how in the fuck am I not supposed to be When these fuckers just keep poking me!!!“ -Eminem Leaving Heaven This line 💯💯💯🙏🏼 #Mentalhealth #mentalillness #MentalHealthMatters #Eminem #Darkness #MusicToGetMurderedBy</t>
  </si>
  <si>
    <t>Politics-Dem,✌🏻🐶🐶, Atheist, Music, Dallas Cowboys &amp; Florida Gators 🏈- 🇮🇹🇺🇸U.S.A. 4️⃣2️⃣0️⃣ #voteblue #biden2020🚫follow/unfollowers</t>
  </si>
  <si>
    <t>Pinch Me Dough</t>
  </si>
  <si>
    <t>Meet me where the sky touches the sea. 🌊🌞🌅 . .  . . #onelove #amor #horizon #ocean #sea #beach #nature #aromatherapy #holistichealth #mentalhealth #happiness #harmony #tranquility #serenity</t>
  </si>
  <si>
    <t>http://Pinchmedough.com</t>
  </si>
  <si>
    <t>https://pbs.twimg.com/media/EOiE04YWoAAWCSk.jpg</t>
  </si>
  <si>
    <t>I'm Nancy Rothner, clinical hypnotherapist &amp; creator of Pinch Me Therapy Dough, a squishable compound designed to channel relief through the senses, naturally.</t>
  </si>
  <si>
    <t>http://pinchmedough.com/</t>
  </si>
  <si>
    <t>Vidya Krishna Swamy</t>
  </si>
  <si>
    <t>Healing begins when you are ready to talk &amp; not hide behind the 'all is okay' mask.  #someonecares #MentalHealthAwareness #obsessivecompulsivedisorder #depression #bpd #MENTALHEALTH #feelingalone #hope #healing #ptsd #suicideawareness #healing #counseling</t>
  </si>
  <si>
    <t>https://facebook.com/unlockyourmindcounselingservice/photos/a.240320360188085/464763321077120/#youarenotalone</t>
  </si>
  <si>
    <t>https://pbs.twimg.com/media/EOiEzmNUYAAi-2X.jpg</t>
  </si>
  <si>
    <t>Bengaluru</t>
  </si>
  <si>
    <t>An OCD recovery specialist (ERP, CBT &amp; mindfulness),a blogger, active on online support groups. My work on http://quora-quora.com/profile/विद्या-के-Vidya-K</t>
  </si>
  <si>
    <t>Lacey London</t>
  </si>
  <si>
    <t>BOOK ALERT! 🔊 For a limited time only, you can now download the entire Anxiety Girl trilogy in one bumper box set! FREE preview here 👇  #amwriting #KindleUnlimited #BookBoost #amreading #mentalhealth #anxiety #MentalHealthMatters #Kindle #kindledeals</t>
  </si>
  <si>
    <t>https://read.amazon.com/kp/embed?asin=B01N7PVJPR&amp;preview=newtab&amp;linkCode=kpe&amp;ref_=cm_sw_r_kb_dp_38eTDbDW7CYM6</t>
  </si>
  <si>
    <t>Alderley Edge</t>
  </si>
  <si>
    <t>Best-selling author of the Clara, Anxiety Girl and Mollie Series. Clara Bounces Back is currently FREE - http://amazon.co.uk/dp/B07596M2GB #KindleUnlimited</t>
  </si>
  <si>
    <t>http://laceylondon.co.uk</t>
  </si>
  <si>
    <t>Conner</t>
  </si>
  <si>
    <t>Milwaukee, WI</t>
  </si>
  <si>
    <t>Straight Edge. Religion causes chaos.</t>
  </si>
  <si>
    <t>Malika</t>
  </si>
  <si>
    <t>So excited for this!!! ✨ It will be my first time hosting an event and I’ll make sure you all have a good time! Limited spaces so get booking! #spokenword #mentalhealth</t>
  </si>
  <si>
    <t>https://pbs.twimg.com/media/EOiEOFGXsAACq9d.jpg</t>
  </si>
  <si>
    <t>Spoken Word Artist | Poet Laureate Peterborough 2019/2020 | Peterborough Telegraph columnist</t>
  </si>
  <si>
    <t>https://www.youtube.com/channel/UC_6UEEIJ7V37Xu0xrrULLkw</t>
  </si>
  <si>
    <t>Understanding Autism -  #autism #ASD #mentalhealth</t>
  </si>
  <si>
    <t>http://www.durham-autism.org/what-is-autism/</t>
  </si>
  <si>
    <t>Me: I can paint, draw, put on music... Depression: That's too much effort. Anxiety: What should we draw? Do we paint or draw? What music? AAHHHH! ADHD: Let's paint&amp;draw at the sa- wait! Let's go for a walk! Depression: Nope to all. #depression #ADHD #Anxiety #Mentalhealth</t>
  </si>
  <si>
    <t>Nena Lavonne</t>
  </si>
  <si>
    <t>Anyone else looking forward to the weekend??? 😊🦋💚 #mentalhealth #selfcare #nature #weekend #lawofattraction #PositiveVibes @DawnHollopeter @Themagicmuir @melanie_korach @DannyGautama @dreamer984 @opus_knight @PardueSuzanne @inspired_pen @JBTeller1 @balance2018 @iCrushGoals</t>
  </si>
  <si>
    <t>https://pbs.twimg.com/media/EOiDK4YWkAAHNS7.jpg</t>
  </si>
  <si>
    <t>Certified Life Coach and author specializing in self growth and emotional well-being 🦋PODCAST: Pathways to Happiness ✨ YOUTUBE CHANNEL: Link Below👇</t>
  </si>
  <si>
    <t>https://www.youtube.com/channel/UCwMspONz0YVvWJLO8C8XzxA?sub_confirmation=1</t>
  </si>
  <si>
    <t>Laini👸🏽♥️🌹💗</t>
  </si>
  <si>
    <t>So thankful. I deserve all things beautiful. @ruellemusic  #Happiness #PositiveVibes #bodypositivity #mentalhealth #love #Engaged #married #model #mnbride #weddings #bride #newyork #minnesota #actress #actorslife #singer #filmmaker #femaleentrepreneur</t>
  </si>
  <si>
    <t>https://youtu.be/-3BkDESKFSA</t>
  </si>
  <si>
    <t>https://pbs.twimg.com/media/EOiC_vqXkAE9ugt.jpg</t>
  </si>
  <si>
    <t>#StopChildAbuse Harmless. Troubled. Genius. #Actress http://youtu.be/2ZiVH_f3G_0 🎬 #Marketing http://bit.ly/2zwhlu5 💦 #Skincare http://facebook.com/BeautyByLaini 💄</t>
  </si>
  <si>
    <t>http://www.imdb.me/lainimoreno</t>
  </si>
  <si>
    <t>Bulger Media</t>
  </si>
  <si>
    <t>The latest The Social media Daily!  Thanks to @abhirj87 @Neptunetrader1 @BURKE11530 #dropthehightops #mentalhealth</t>
  </si>
  <si>
    <t>https://paper.li/e-1513738567?edition_id=c6f4a800-399e-11ea-a278-0cc47a0d1605</t>
  </si>
  <si>
    <t>New Jersey, USA</t>
  </si>
  <si>
    <t>social media marketing firm specializing in twitter,Facebook,LinkedIn,Pinterest and instagram marketing. online content monitoring. company branding...</t>
  </si>
  <si>
    <t>http://www.facebook.com/bulgermedia</t>
  </si>
  <si>
    <t>Lifeline</t>
  </si>
  <si>
    <t>Find practical ways to help cope with the effects of #bushfires and resources on strategies to help you manage the stress. Visit our website  #mentalhealth</t>
  </si>
  <si>
    <t>http://bit.ly/2RaQrPp</t>
  </si>
  <si>
    <t>https://pbs.twimg.com/media/EOiCu8XXsAAkodO.jpg</t>
  </si>
  <si>
    <t>24/7 crisis support &amp; suicide prevention services. Call on 13 11 14 or Text, 0477 13 11 14, 6pm-midnight (AEDT). We are unable to provide support via Twitter.</t>
  </si>
  <si>
    <t>http://www.lifeline.org.au/gethelp</t>
  </si>
  <si>
    <t>Brian H. Gill</t>
  </si>
  <si>
    <t>"Misusing Opioids"  Today's issue, remembering laudanum and nitrous oxide. #health #history #medicine #mentalhealth #science</t>
  </si>
  <si>
    <t>http://ow.ly/YXfY30doMsb</t>
  </si>
  <si>
    <t>central Minnesota</t>
  </si>
  <si>
    <t>Writer, blogger, artist: in the heart of Darkest Minnesota. Catholic convert, husband, father of 4 surviving kids. Recovering English teacher.</t>
  </si>
  <si>
    <t>http://brianhgill.com/</t>
  </si>
  <si>
    <t>HeavenJrBeatz</t>
  </si>
  <si>
    <t>Know Its Been A Min, But Im Still Here. Stayin Dangerous, Not Lettin Em See Me React Nigga #photography #photooftheday #instagood #instapic #pictureoftheday #brand #atlanta #newyork #selfie #mentalhealth…</t>
  </si>
  <si>
    <t>https://www.instagram.com/p/B7cfOAkAPmE/?igshid=pzz3yyj9z4tk</t>
  </si>
  <si>
    <t>U.S.A Global</t>
  </si>
  <si>
    <t>World Wide Top Teir Producer💯 Producer,Engineer,Song Writer Serious Inquiries Only Contact: Heavenjrbeatz@gmail.com</t>
  </si>
  <si>
    <t>http://www.soundcloud.com/prodigyforever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</si>
</sst>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m&quot;/&quot;yyyy&quot; &quot;hh&quot;:&quot;mm"/>
    <numFmt numFmtId="165" formatCode="m/d/yyyy h:mm:ss"/>
  </numFmts>
  <fonts count="8">
    <font>
      <sz val="10.0"/>
      <color rgb="FF000000"/>
      <name val="Arial"/>
    </font>
    <font>
      <sz val="10.0"/>
      <color rgb="FFFFFFFF"/>
      <name val="Droid Sans"/>
    </font>
    <font>
      <sz val="8.0"/>
      <color rgb="FFFFFFFF"/>
      <name val="Droid Sans"/>
    </font>
    <font>
      <sz val="8.0"/>
      <name val="Droid Sans"/>
    </font>
    <font>
      <u/>
      <sz val="8.0"/>
      <color rgb="FF0000FF"/>
      <name val="Droid Sans"/>
    </font>
    <font>
      <u/>
      <sz val="8.0"/>
      <color rgb="FF0000FF"/>
      <name val="Droid Sans"/>
    </font>
    <font>
      <sz val="8.0"/>
      <color theme="1"/>
      <name val="Droid Sans"/>
    </font>
    <font>
      <u/>
      <sz val="8.0"/>
      <color rgb="FF0000FF"/>
      <name val="Droid Sans"/>
    </font>
  </fonts>
  <fills count="3">
    <fill>
      <patternFill patternType="none"/>
    </fill>
    <fill>
      <patternFill patternType="lightGray"/>
    </fill>
    <fill>
      <patternFill patternType="solid">
        <fgColor rgb="FF3C78D8"/>
        <bgColor rgb="FF3C78D8"/>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164" xfId="0" applyAlignment="1" applyFont="1" applyNumberFormat="1">
      <alignment horizontal="center" vertical="center"/>
    </xf>
    <xf borderId="0" fillId="0" fontId="1" numFmtId="0" xfId="0" applyAlignment="1" applyFont="1">
      <alignment readingOrder="0" vertical="center"/>
    </xf>
    <xf borderId="0" fillId="0" fontId="1" numFmtId="0" xfId="0" applyAlignment="1" applyFont="1">
      <alignment vertical="center"/>
    </xf>
    <xf borderId="0" fillId="0" fontId="1" numFmtId="0" xfId="0" applyAlignment="1" applyFont="1">
      <alignment horizontal="center" vertical="center"/>
    </xf>
    <xf borderId="0" fillId="2" fontId="2" numFmtId="0" xfId="0" applyAlignment="1" applyFill="1" applyFont="1">
      <alignment horizontal="center" readingOrder="0" vertical="center"/>
    </xf>
    <xf borderId="0" fillId="2" fontId="2" numFmtId="0" xfId="0" applyAlignment="1" applyFont="1">
      <alignment readingOrder="0" vertical="center"/>
    </xf>
    <xf borderId="0" fillId="2" fontId="2" numFmtId="0" xfId="0" applyAlignment="1" applyFont="1">
      <alignment vertical="center"/>
    </xf>
    <xf borderId="0" fillId="0" fontId="3" numFmtId="164" xfId="0" applyAlignment="1" applyFont="1" applyNumberFormat="1">
      <alignment horizontal="center" readingOrder="0" vertical="center"/>
    </xf>
    <xf borderId="0" fillId="0" fontId="4" numFmtId="0" xfId="0" applyAlignment="1" applyFont="1">
      <alignment vertical="center"/>
    </xf>
    <xf borderId="0" fillId="0" fontId="3" numFmtId="0" xfId="0" applyAlignment="1" applyFont="1">
      <alignment readingOrder="0" vertical="center"/>
    </xf>
    <xf borderId="0" fillId="0" fontId="5" numFmtId="0" xfId="0" applyAlignment="1" applyFont="1">
      <alignment readingOrder="0" vertical="center"/>
    </xf>
    <xf borderId="0" fillId="0" fontId="6" numFmtId="0" xfId="0" applyAlignment="1" applyFont="1">
      <alignment readingOrder="0" vertical="center"/>
    </xf>
    <xf borderId="0" fillId="0" fontId="6" numFmtId="0" xfId="0" applyAlignment="1" applyFont="1">
      <alignment vertical="center"/>
    </xf>
    <xf borderId="0" fillId="0" fontId="3" numFmtId="0" xfId="0" applyAlignment="1" applyFont="1">
      <alignment readingOrder="0" vertical="center"/>
    </xf>
    <xf borderId="0" fillId="0" fontId="3" numFmtId="0" xfId="0" applyAlignment="1" applyFont="1">
      <alignment horizontal="center" readingOrder="0" vertical="center"/>
    </xf>
    <xf borderId="0" fillId="0" fontId="6" numFmtId="0" xfId="0" applyAlignment="1" applyFont="1">
      <alignment horizontal="center" vertical="center"/>
    </xf>
    <xf borderId="0" fillId="0" fontId="3" numFmtId="14" xfId="0" applyAlignment="1" applyFont="1" applyNumberFormat="1">
      <alignment horizontal="center" readingOrder="0" vertical="center"/>
    </xf>
    <xf borderId="0" fillId="0" fontId="7" numFmtId="0" xfId="0" applyAlignment="1" applyFont="1">
      <alignment horizontal="center" vertical="center"/>
    </xf>
    <xf borderId="0" fillId="0" fontId="3" numFmtId="0" xfId="0" applyAlignment="1" applyFont="1">
      <alignment vertical="center"/>
    </xf>
    <xf borderId="0" fillId="0" fontId="3" numFmtId="165" xfId="0" applyAlignment="1" applyFont="1" applyNumberFormat="1">
      <alignment readingOrder="0" vertical="center"/>
    </xf>
    <xf borderId="0" fillId="0" fontId="3" numFmtId="0" xfId="0" applyAlignment="1" applyFont="1">
      <alignment horizontal="center" readingOrder="0" vertical="center"/>
    </xf>
    <xf quotePrefix="1" borderId="0" fillId="0" fontId="3" numFmtId="0" xfId="0" applyAlignment="1" applyFont="1">
      <alignment readingOrder="0" vertical="center"/>
    </xf>
    <xf borderId="0" fillId="0" fontId="3" numFmtId="0" xfId="0" applyAlignment="1" applyFont="1">
      <alignment readingOrder="0" vertical="center"/>
    </xf>
    <xf borderId="0" fillId="0" fontId="3" numFmtId="164" xfId="0" applyAlignment="1" applyFont="1" applyNumberFormat="1">
      <alignment horizontal="center" vertical="center"/>
    </xf>
    <xf borderId="0" fillId="0" fontId="3" numFmtId="0" xfId="0" applyAlignment="1" applyFont="1">
      <alignment horizontal="center" vertical="center"/>
    </xf>
  </cellXfs>
  <cellStyles count="1">
    <cellStyle xfId="0" name="Normal" builtinId="0"/>
  </cellStyles>
  <dxfs count="6">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1155CC"/>
          <bgColor rgb="FF1155CC"/>
        </patternFill>
      </fill>
      <border/>
    </dxf>
    <dxf>
      <font/>
      <fill>
        <patternFill patternType="solid">
          <fgColor rgb="FFE8F0FE"/>
          <bgColor rgb="FFE8F0FE"/>
        </patternFill>
      </fill>
      <border/>
    </dxf>
  </dxfs>
  <tableStyles count="2">
    <tableStyle count="3" pivot="0" name="Twitter Archiver Logs-style">
      <tableStyleElement dxfId="1" type="headerRow"/>
      <tableStyleElement dxfId="2" type="firstRowStripe"/>
      <tableStyleElement dxfId="3" type="secondRowStripe"/>
    </tableStyle>
    <tableStyle count="3" pivot="0" name="#mentalhealth langen -filterret-style">
      <tableStyleElement dxfId="4" type="headerRow"/>
      <tableStyleElement dxfId="2"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Z3593" display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mentalhealth langen -filterret-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Z1000"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witter Archiver Log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talkspace.com/" TargetMode="External"/><Relationship Id="rId391" Type="http://schemas.openxmlformats.org/officeDocument/2006/relationships/hyperlink" Target="http://bit.ly/2FXEZRT" TargetMode="External"/><Relationship Id="rId390" Type="http://schemas.openxmlformats.org/officeDocument/2006/relationships/hyperlink" Target="https://medium.com/@djemal.ua" TargetMode="External"/><Relationship Id="rId2180" Type="http://schemas.openxmlformats.org/officeDocument/2006/relationships/hyperlink" Target="https://www.talkspace.com/blog/exposure-therapy-what-is/" TargetMode="External"/><Relationship Id="rId2181" Type="http://schemas.openxmlformats.org/officeDocument/2006/relationships/hyperlink" Target="https://mdsc.ca/" TargetMode="External"/><Relationship Id="rId2182" Type="http://schemas.openxmlformats.org/officeDocument/2006/relationships/hyperlink" Target="https://pbs.twimg.com/media/EOkuNoDXkAUt7Wc.jpg" TargetMode="External"/><Relationship Id="rId2183" Type="http://schemas.openxmlformats.org/officeDocument/2006/relationships/hyperlink" Target="https://buff.ly/2TagCs1" TargetMode="External"/><Relationship Id="rId385" Type="http://schemas.openxmlformats.org/officeDocument/2006/relationships/hyperlink" Target="https://themovehappy.com/blog/" TargetMode="External"/><Relationship Id="rId2184" Type="http://schemas.openxmlformats.org/officeDocument/2006/relationships/hyperlink" Target="https://pbs.twimg.com/media/EOkuIwvX4AEIPIS.jpg" TargetMode="External"/><Relationship Id="rId384" Type="http://schemas.openxmlformats.org/officeDocument/2006/relationships/hyperlink" Target="http://www.mhaky.org" TargetMode="External"/><Relationship Id="rId2185" Type="http://schemas.openxmlformats.org/officeDocument/2006/relationships/hyperlink" Target="http://www.jimhawkins.co.uk" TargetMode="External"/><Relationship Id="rId383" Type="http://schemas.openxmlformats.org/officeDocument/2006/relationships/hyperlink" Target="https://pbs.twimg.com/media/EOmfrFBUEAAwj7Y.jpg" TargetMode="External"/><Relationship Id="rId2186" Type="http://schemas.openxmlformats.org/officeDocument/2006/relationships/hyperlink" Target="https://www.instagram.com/p/B7d03ezpqmG/?igshid=1mnn1a7ievb6s" TargetMode="External"/><Relationship Id="rId382" Type="http://schemas.openxmlformats.org/officeDocument/2006/relationships/hyperlink" Target="https://www.mhaky.org/valentines-day-project.html" TargetMode="External"/><Relationship Id="rId2187" Type="http://schemas.openxmlformats.org/officeDocument/2006/relationships/hyperlink" Target="https://askashocd.wordpress.com" TargetMode="External"/><Relationship Id="rId389" Type="http://schemas.openxmlformats.org/officeDocument/2006/relationships/hyperlink" Target="https://link.medium.com/iY9Smw2kL2" TargetMode="External"/><Relationship Id="rId2188" Type="http://schemas.openxmlformats.org/officeDocument/2006/relationships/hyperlink" Target="https://bit.ly/2s8o1wT" TargetMode="External"/><Relationship Id="rId388" Type="http://schemas.openxmlformats.org/officeDocument/2006/relationships/hyperlink" Target="https://www.instagram.com/p/B7etO7Xoz52/?igshid=sli1afku9aul" TargetMode="External"/><Relationship Id="rId2189" Type="http://schemas.openxmlformats.org/officeDocument/2006/relationships/hyperlink" Target="https://bit.ly/34loQQn" TargetMode="External"/><Relationship Id="rId387" Type="http://schemas.openxmlformats.org/officeDocument/2006/relationships/hyperlink" Target="https://themovehappy.com" TargetMode="External"/><Relationship Id="rId386" Type="http://schemas.openxmlformats.org/officeDocument/2006/relationships/hyperlink" Target="http://pic.twitter.com/N0AuNYBn8A" TargetMode="External"/><Relationship Id="rId381" Type="http://schemas.openxmlformats.org/officeDocument/2006/relationships/hyperlink" Target="http://kissmedicaco.com" TargetMode="External"/><Relationship Id="rId380" Type="http://schemas.openxmlformats.org/officeDocument/2006/relationships/hyperlink" Target="https://linktr.ee/dshorbauthor" TargetMode="External"/><Relationship Id="rId379" Type="http://schemas.openxmlformats.org/officeDocument/2006/relationships/hyperlink" Target="https://www.lnk.xyz/r1BbKs2lL?aduc=idTfq8q1579391322871" TargetMode="External"/><Relationship Id="rId2170" Type="http://schemas.openxmlformats.org/officeDocument/2006/relationships/hyperlink" Target="http://peersupportspace.org" TargetMode="External"/><Relationship Id="rId2171" Type="http://schemas.openxmlformats.org/officeDocument/2006/relationships/hyperlink" Target="https://www.nytimes.com/2020/01/17/upshot/mothers-choices-work-family.html?smid=fb-nytimes&amp;smtyp=cur" TargetMode="External"/><Relationship Id="rId2172" Type="http://schemas.openxmlformats.org/officeDocument/2006/relationships/hyperlink" Target="http://www.helpisherede.com" TargetMode="External"/><Relationship Id="rId374" Type="http://schemas.openxmlformats.org/officeDocument/2006/relationships/hyperlink" Target="http://www.truthaboutabs.com/vegan-confesses-health-problems.html" TargetMode="External"/><Relationship Id="rId2173" Type="http://schemas.openxmlformats.org/officeDocument/2006/relationships/hyperlink" Target="https://medium.com/med-daily/conquer-your-goals-with-this-super-simple-technique-f3e67e34f44e" TargetMode="External"/><Relationship Id="rId373" Type="http://schemas.openxmlformats.org/officeDocument/2006/relationships/hyperlink" Target="http://drmelaniacanavan.co.uk" TargetMode="External"/><Relationship Id="rId2174" Type="http://schemas.openxmlformats.org/officeDocument/2006/relationships/hyperlink" Target="https://linktr.ee/chrisoldcorn" TargetMode="External"/><Relationship Id="rId372" Type="http://schemas.openxmlformats.org/officeDocument/2006/relationships/hyperlink" Target="https://www.drmelaniacanavan.co.uk/virtual-reality-subconscious" TargetMode="External"/><Relationship Id="rId2175" Type="http://schemas.openxmlformats.org/officeDocument/2006/relationships/hyperlink" Target="https://app.wysa.io/install" TargetMode="External"/><Relationship Id="rId371" Type="http://schemas.openxmlformats.org/officeDocument/2006/relationships/hyperlink" Target="http://thedepressionfiles.com" TargetMode="External"/><Relationship Id="rId2176" Type="http://schemas.openxmlformats.org/officeDocument/2006/relationships/hyperlink" Target="https://pbs.twimg.com/media/EOkuY3kX4AA-FPA.jpg" TargetMode="External"/><Relationship Id="rId378" Type="http://schemas.openxmlformats.org/officeDocument/2006/relationships/hyperlink" Target="https://pbs.twimg.com/media/DxOi7l5VsAAy_VV.jpg" TargetMode="External"/><Relationship Id="rId2177" Type="http://schemas.openxmlformats.org/officeDocument/2006/relationships/hyperlink" Target="https://app.wysa.io/install" TargetMode="External"/><Relationship Id="rId377" Type="http://schemas.openxmlformats.org/officeDocument/2006/relationships/hyperlink" Target="https://twitter.com/ayeshaslair/status/1086391110740504577" TargetMode="External"/><Relationship Id="rId2178" Type="http://schemas.openxmlformats.org/officeDocument/2006/relationships/hyperlink" Target="http://www.consultinghealth.com/is-group-therapy-for-you/" TargetMode="External"/><Relationship Id="rId376" Type="http://schemas.openxmlformats.org/officeDocument/2006/relationships/hyperlink" Target="https://pbs.twimg.com/media/EOmhEUaXsAY-Z3g.jpg" TargetMode="External"/><Relationship Id="rId2179" Type="http://schemas.openxmlformats.org/officeDocument/2006/relationships/hyperlink" Target="http://journalpsyche.org/" TargetMode="External"/><Relationship Id="rId375" Type="http://schemas.openxmlformats.org/officeDocument/2006/relationships/hyperlink" Target="http://www.elygantthings.com" TargetMode="External"/><Relationship Id="rId2190" Type="http://schemas.openxmlformats.org/officeDocument/2006/relationships/hyperlink" Target="https://pbs.twimg.com/media/EOktyWXWoAEruQv.jpg" TargetMode="External"/><Relationship Id="rId2191" Type="http://schemas.openxmlformats.org/officeDocument/2006/relationships/hyperlink" Target="http://www.alphabetsandanimals.com" TargetMode="External"/><Relationship Id="rId2192" Type="http://schemas.openxmlformats.org/officeDocument/2006/relationships/hyperlink" Target="https://mentalhealthfactsfiguresfascination.wordpress.com/2020/01/18/526/" TargetMode="External"/><Relationship Id="rId2193" Type="http://schemas.openxmlformats.org/officeDocument/2006/relationships/hyperlink" Target="https://pbs.twimg.com/media/EOktmjGXUAIIXxo.jpg" TargetMode="External"/><Relationship Id="rId2194" Type="http://schemas.openxmlformats.org/officeDocument/2006/relationships/hyperlink" Target="https://mentalhealthfactsfiguresfascination.wordpress.com" TargetMode="External"/><Relationship Id="rId396" Type="http://schemas.openxmlformats.org/officeDocument/2006/relationships/hyperlink" Target="http://www.tylernorris.com" TargetMode="External"/><Relationship Id="rId2195" Type="http://schemas.openxmlformats.org/officeDocument/2006/relationships/hyperlink" Target="https://torontosun.com/opinion/columnists/towhey-canada-should-allow-assisted-suicide-for-those-with-mental-illness/" TargetMode="External"/><Relationship Id="rId395" Type="http://schemas.openxmlformats.org/officeDocument/2006/relationships/hyperlink" Target="https://pbs.twimg.com/media/EOgBQQ4WkAEKWB4.png" TargetMode="External"/><Relationship Id="rId2196" Type="http://schemas.openxmlformats.org/officeDocument/2006/relationships/hyperlink" Target="http://www.torontosun.com" TargetMode="External"/><Relationship Id="rId394" Type="http://schemas.openxmlformats.org/officeDocument/2006/relationships/hyperlink" Target="http://www.langleygroup.com.au" TargetMode="External"/><Relationship Id="rId2197" Type="http://schemas.openxmlformats.org/officeDocument/2006/relationships/hyperlink" Target="https://pbs.twimg.com/media/EOktPPMX0AEa7VR.jpg" TargetMode="External"/><Relationship Id="rId393" Type="http://schemas.openxmlformats.org/officeDocument/2006/relationships/hyperlink" Target="https://nyti.ms/2FRPhmw" TargetMode="External"/><Relationship Id="rId2198" Type="http://schemas.openxmlformats.org/officeDocument/2006/relationships/hyperlink" Target="https://twitter.com/KariJoys/status/1218552995912138752" TargetMode="External"/><Relationship Id="rId2199" Type="http://schemas.openxmlformats.org/officeDocument/2006/relationships/hyperlink" Target="https://pbs.twimg.com/media/DsxsgYKUwAE7WqP.jpg" TargetMode="External"/><Relationship Id="rId399" Type="http://schemas.openxmlformats.org/officeDocument/2006/relationships/hyperlink" Target="http://bit.ly/39QVXPB" TargetMode="External"/><Relationship Id="rId398" Type="http://schemas.openxmlformats.org/officeDocument/2006/relationships/hyperlink" Target="https://cheofoundation.donordrive.com/index.cfm?fuseaction=donorDrive.event&amp;eventID=633" TargetMode="External"/><Relationship Id="rId397" Type="http://schemas.openxmlformats.org/officeDocument/2006/relationships/hyperlink" Target="https://pbs.twimg.com/media/EOmdvU1UYAYe7V2.jpg" TargetMode="External"/><Relationship Id="rId1730" Type="http://schemas.openxmlformats.org/officeDocument/2006/relationships/hyperlink" Target="https://pbs.twimg.com/media/EOlKw_rWkAAhsMR.jpg" TargetMode="External"/><Relationship Id="rId1731" Type="http://schemas.openxmlformats.org/officeDocument/2006/relationships/hyperlink" Target="https://open.spotify.com/artist/0V0ql1sJBEXhir9SAoH0Ln?si=cvtEhicKQFmbt3PSy3-AXg" TargetMode="External"/><Relationship Id="rId1732" Type="http://schemas.openxmlformats.org/officeDocument/2006/relationships/hyperlink" Target="https://pbs.twimg.com/media/EOlKuSKVAAAQ92V.jpg" TargetMode="External"/><Relationship Id="rId1733" Type="http://schemas.openxmlformats.org/officeDocument/2006/relationships/hyperlink" Target="https://snd.click/crystalflow" TargetMode="External"/><Relationship Id="rId1734" Type="http://schemas.openxmlformats.org/officeDocument/2006/relationships/hyperlink" Target="https://lnkd.in/gXQNCXj" TargetMode="External"/><Relationship Id="rId1735" Type="http://schemas.openxmlformats.org/officeDocument/2006/relationships/hyperlink" Target="http://bit.ly/2trZlQK" TargetMode="External"/><Relationship Id="rId1736" Type="http://schemas.openxmlformats.org/officeDocument/2006/relationships/hyperlink" Target="https://pbs.twimg.com/media/EOlKe3XXkAAg4jd.jpg" TargetMode="External"/><Relationship Id="rId1737" Type="http://schemas.openxmlformats.org/officeDocument/2006/relationships/hyperlink" Target="https://pbs.twimg.com/media/EOlKbeBX0AAlkgk.jpg" TargetMode="External"/><Relationship Id="rId1738" Type="http://schemas.openxmlformats.org/officeDocument/2006/relationships/hyperlink" Target="https://wellc.me/2N1LR4A" TargetMode="External"/><Relationship Id="rId1739" Type="http://schemas.openxmlformats.org/officeDocument/2006/relationships/hyperlink" Target="https://pbs.twimg.com/media/EOlKSj0W4AA5ofF.jpg" TargetMode="External"/><Relationship Id="rId1720" Type="http://schemas.openxmlformats.org/officeDocument/2006/relationships/hyperlink" Target="http://www.talkoutloud.info" TargetMode="External"/><Relationship Id="rId1721" Type="http://schemas.openxmlformats.org/officeDocument/2006/relationships/hyperlink" Target="http://psy.pub/1MMabmz" TargetMode="External"/><Relationship Id="rId1722" Type="http://schemas.openxmlformats.org/officeDocument/2006/relationships/hyperlink" Target="http://bit.ly/1w8MLNg" TargetMode="External"/><Relationship Id="rId1723" Type="http://schemas.openxmlformats.org/officeDocument/2006/relationships/hyperlink" Target="http://www.travelers-care.com" TargetMode="External"/><Relationship Id="rId1724" Type="http://schemas.openxmlformats.org/officeDocument/2006/relationships/hyperlink" Target="http://pic.twitter.com/wzd3Cpwsbr" TargetMode="External"/><Relationship Id="rId1725" Type="http://schemas.openxmlformats.org/officeDocument/2006/relationships/hyperlink" Target="http://www.travelers-care.com" TargetMode="External"/><Relationship Id="rId1726" Type="http://schemas.openxmlformats.org/officeDocument/2006/relationships/hyperlink" Target="https://pbs.twimg.com/media/EOlLEC2X0AAcVws.jpg" TargetMode="External"/><Relationship Id="rId1727" Type="http://schemas.openxmlformats.org/officeDocument/2006/relationships/hyperlink" Target="https://www.researchgate.net/profile/Maureen_Busby" TargetMode="External"/><Relationship Id="rId1728" Type="http://schemas.openxmlformats.org/officeDocument/2006/relationships/hyperlink" Target="https://bit.ly/35FsWUz" TargetMode="External"/><Relationship Id="rId1729" Type="http://schemas.openxmlformats.org/officeDocument/2006/relationships/hyperlink" Target="http://www.stopstigmasacramento.org" TargetMode="External"/><Relationship Id="rId1752" Type="http://schemas.openxmlformats.org/officeDocument/2006/relationships/hyperlink" Target="http://www.cbdnutritiononline.com/" TargetMode="External"/><Relationship Id="rId1753" Type="http://schemas.openxmlformats.org/officeDocument/2006/relationships/hyperlink" Target="http://www.lindseyboylan.com" TargetMode="External"/><Relationship Id="rId1754" Type="http://schemas.openxmlformats.org/officeDocument/2006/relationships/hyperlink" Target="https://pbs.twimg.com/media/EOlJ2xJX4AA_s68.jpg" TargetMode="External"/><Relationship Id="rId1755" Type="http://schemas.openxmlformats.org/officeDocument/2006/relationships/hyperlink" Target="http://flawlessfoundation.org" TargetMode="External"/><Relationship Id="rId1756" Type="http://schemas.openxmlformats.org/officeDocument/2006/relationships/hyperlink" Target="https://app.wysa.io/install" TargetMode="External"/><Relationship Id="rId1757" Type="http://schemas.openxmlformats.org/officeDocument/2006/relationships/hyperlink" Target="https://pbs.twimg.com/media/EOlJ2bPWkAAp0q7.jpg" TargetMode="External"/><Relationship Id="rId1758" Type="http://schemas.openxmlformats.org/officeDocument/2006/relationships/hyperlink" Target="https://app.wysa.io/install" TargetMode="External"/><Relationship Id="rId1759" Type="http://schemas.openxmlformats.org/officeDocument/2006/relationships/hyperlink" Target="https://bit.ly/2tcgRIq" TargetMode="External"/><Relationship Id="rId1750" Type="http://schemas.openxmlformats.org/officeDocument/2006/relationships/hyperlink" Target="https://www.diabeticcyborg.com" TargetMode="External"/><Relationship Id="rId1751" Type="http://schemas.openxmlformats.org/officeDocument/2006/relationships/hyperlink" Target="https://pbs.twimg.com/media/EOlJ6SkWAAEDJh8.png" TargetMode="External"/><Relationship Id="rId1741" Type="http://schemas.openxmlformats.org/officeDocument/2006/relationships/hyperlink" Target="http://peaceinartwork.org" TargetMode="External"/><Relationship Id="rId1742" Type="http://schemas.openxmlformats.org/officeDocument/2006/relationships/hyperlink" Target="http://pic.twitter.com/1EhjqsfTks" TargetMode="External"/><Relationship Id="rId1743" Type="http://schemas.openxmlformats.org/officeDocument/2006/relationships/hyperlink" Target="https://www.instagram.com/believingbruce360/" TargetMode="External"/><Relationship Id="rId1744" Type="http://schemas.openxmlformats.org/officeDocument/2006/relationships/hyperlink" Target="https://www.youtube.com/believingbruce" TargetMode="External"/><Relationship Id="rId1745" Type="http://schemas.openxmlformats.org/officeDocument/2006/relationships/hyperlink" Target="https://wp.me/p65a4h-FY?utm_source=ReviveOldPost&amp;utm_medium=social&amp;utm_campaign=ReviveOldPost" TargetMode="External"/><Relationship Id="rId1746" Type="http://schemas.openxmlformats.org/officeDocument/2006/relationships/hyperlink" Target="http://katieroseguestpryal.com" TargetMode="External"/><Relationship Id="rId1747" Type="http://schemas.openxmlformats.org/officeDocument/2006/relationships/hyperlink" Target="https://pbs.twimg.com/media/EOlKCQBXkAA0wv6.jpg" TargetMode="External"/><Relationship Id="rId1748" Type="http://schemas.openxmlformats.org/officeDocument/2006/relationships/hyperlink" Target="http://www.theasianbeautyblog.com" TargetMode="External"/><Relationship Id="rId1749" Type="http://schemas.openxmlformats.org/officeDocument/2006/relationships/hyperlink" Target="https://link.medium.com/6T1F1Z0Vl3" TargetMode="External"/><Relationship Id="rId1740" Type="http://schemas.openxmlformats.org/officeDocument/2006/relationships/hyperlink" Target="http://www.wellcome.ac.uk" TargetMode="External"/><Relationship Id="rId1710" Type="http://schemas.openxmlformats.org/officeDocument/2006/relationships/hyperlink" Target="http://www.jacquelinechartierfreelance.com" TargetMode="External"/><Relationship Id="rId1711" Type="http://schemas.openxmlformats.org/officeDocument/2006/relationships/hyperlink" Target="https://deborahjross.blogspot.com/2020/01/in-troubled-times-rumors-of-war.html?spref=tw" TargetMode="External"/><Relationship Id="rId1712" Type="http://schemas.openxmlformats.org/officeDocument/2006/relationships/hyperlink" Target="http://www.deborahjross.blogspot.com/" TargetMode="External"/><Relationship Id="rId1713" Type="http://schemas.openxmlformats.org/officeDocument/2006/relationships/hyperlink" Target="https://www.edp24.co.uk/news/norwich-mental-health-event-to-mark-time-to-talk-day-1-6472341" TargetMode="External"/><Relationship Id="rId1714" Type="http://schemas.openxmlformats.org/officeDocument/2006/relationships/hyperlink" Target="https://pbs.twimg.com/media/EOlLm0tWoAADm6_.jpg" TargetMode="External"/><Relationship Id="rId1715" Type="http://schemas.openxmlformats.org/officeDocument/2006/relationships/hyperlink" Target="https://linktr.ee/the_calculating_mind" TargetMode="External"/><Relationship Id="rId1716" Type="http://schemas.openxmlformats.org/officeDocument/2006/relationships/hyperlink" Target="https://pbs.twimg.com/media/EOlLWcNXsAU6X9U.jpg" TargetMode="External"/><Relationship Id="rId1717" Type="http://schemas.openxmlformats.org/officeDocument/2006/relationships/hyperlink" Target="https://pbs.twimg.com/media/EOlLU37WsAAU_zr.jpg" TargetMode="External"/><Relationship Id="rId1718" Type="http://schemas.openxmlformats.org/officeDocument/2006/relationships/hyperlink" Target="http://mindovermatterldn.com/tickets/" TargetMode="External"/><Relationship Id="rId1719" Type="http://schemas.openxmlformats.org/officeDocument/2006/relationships/hyperlink" Target="https://pbs.twimg.com/media/EOlLNjRX4AAsZlv.jpg" TargetMode="External"/><Relationship Id="rId1700" Type="http://schemas.openxmlformats.org/officeDocument/2006/relationships/hyperlink" Target="http://pic.twitter.com/Jicc7a1CBz" TargetMode="External"/><Relationship Id="rId1701" Type="http://schemas.openxmlformats.org/officeDocument/2006/relationships/hyperlink" Target="http://www.psyfy.net" TargetMode="External"/><Relationship Id="rId1702" Type="http://schemas.openxmlformats.org/officeDocument/2006/relationships/hyperlink" Target="https://pbs.twimg.com/media/EOlML4OWkAEr28v.jpg" TargetMode="External"/><Relationship Id="rId1703" Type="http://schemas.openxmlformats.org/officeDocument/2006/relationships/hyperlink" Target="https://www.eatmovethinkpodcast.com/" TargetMode="External"/><Relationship Id="rId1704" Type="http://schemas.openxmlformats.org/officeDocument/2006/relationships/hyperlink" Target="http://pic.twitter.com/GXas5VW15K" TargetMode="External"/><Relationship Id="rId1705" Type="http://schemas.openxmlformats.org/officeDocument/2006/relationships/hyperlink" Target="http://www.psyfy.net" TargetMode="External"/><Relationship Id="rId1706" Type="http://schemas.openxmlformats.org/officeDocument/2006/relationships/hyperlink" Target="https://pineapplesummit.org/stigma/" TargetMode="External"/><Relationship Id="rId1707" Type="http://schemas.openxmlformats.org/officeDocument/2006/relationships/hyperlink" Target="http://pineapplesupport.org" TargetMode="External"/><Relationship Id="rId1708" Type="http://schemas.openxmlformats.org/officeDocument/2006/relationships/hyperlink" Target="https://twitter.com/WildatFaith/status/1175799905568378880" TargetMode="External"/><Relationship Id="rId1709" Type="http://schemas.openxmlformats.org/officeDocument/2006/relationships/hyperlink" Target="https://www.theglobeandmail.com/canada/article-half-of-canadians-have-too-few-local-psychiatrists-or-none-at-all/?utm_medium=Referrer:+Social+Network+/+Media&amp;utm_campaign=Shared+Web+Article+Links" TargetMode="External"/><Relationship Id="rId40" Type="http://schemas.openxmlformats.org/officeDocument/2006/relationships/hyperlink" Target="https://www.psychiatrictimes.com/article/lgbtq-mental-health-what-every-clinician-needs-know" TargetMode="External"/><Relationship Id="rId3513" Type="http://schemas.openxmlformats.org/officeDocument/2006/relationships/hyperlink" Target="http://www.christinahollis.com" TargetMode="External"/><Relationship Id="rId3512" Type="http://schemas.openxmlformats.org/officeDocument/2006/relationships/hyperlink" Target="https://pbs.twimg.com/media/EOjK_-6WkAEtGvo.jpg" TargetMode="External"/><Relationship Id="rId42" Type="http://schemas.openxmlformats.org/officeDocument/2006/relationships/hyperlink" Target="https://pbs.twimg.com/media/EOnMNf6X0AEPz01.jpg" TargetMode="External"/><Relationship Id="rId3515" Type="http://schemas.openxmlformats.org/officeDocument/2006/relationships/hyperlink" Target="https://www.theguardian.com/education/2020/jan/17/schools-converting-toilet-blocks-into-isolation-booths?CMP=share_btn_tw" TargetMode="External"/><Relationship Id="rId41" Type="http://schemas.openxmlformats.org/officeDocument/2006/relationships/hyperlink" Target="https://www.thecanary.co/uk/analysis/2020/01/18/dwp-complaints-now-up-over-1400-since-2013/" TargetMode="External"/><Relationship Id="rId3514" Type="http://schemas.openxmlformats.org/officeDocument/2006/relationships/hyperlink" Target="http://www.ko-fi.com/thelola" TargetMode="External"/><Relationship Id="rId44" Type="http://schemas.openxmlformats.org/officeDocument/2006/relationships/hyperlink" Target="http://www.adhdsnap.com" TargetMode="External"/><Relationship Id="rId3517" Type="http://schemas.openxmlformats.org/officeDocument/2006/relationships/hyperlink" Target="http://www.sunriseacademytx.com" TargetMode="External"/><Relationship Id="rId43" Type="http://schemas.openxmlformats.org/officeDocument/2006/relationships/hyperlink" Target="https://pbs.twimg.com/media/EOnMKNeWAAYGWSQ.jpg" TargetMode="External"/><Relationship Id="rId3516" Type="http://schemas.openxmlformats.org/officeDocument/2006/relationships/hyperlink" Target="http://www.roslynbyfieldcounselling.co.uk" TargetMode="External"/><Relationship Id="rId46" Type="http://schemas.openxmlformats.org/officeDocument/2006/relationships/hyperlink" Target="http://www.apothicentertainmentbooks.com" TargetMode="External"/><Relationship Id="rId3519" Type="http://schemas.openxmlformats.org/officeDocument/2006/relationships/hyperlink" Target="https://buff.ly/2TagCs1" TargetMode="External"/><Relationship Id="rId45" Type="http://schemas.openxmlformats.org/officeDocument/2006/relationships/hyperlink" Target="https://pbs.twimg.com/media/EOnMClsU4AEbwPq.jpg" TargetMode="External"/><Relationship Id="rId3518" Type="http://schemas.openxmlformats.org/officeDocument/2006/relationships/hyperlink" Target="http://spsr.me/e2RU" TargetMode="External"/><Relationship Id="rId48" Type="http://schemas.openxmlformats.org/officeDocument/2006/relationships/hyperlink" Target="http://kp.org/mydoctor/najehahmad" TargetMode="External"/><Relationship Id="rId47" Type="http://schemas.openxmlformats.org/officeDocument/2006/relationships/hyperlink" Target="http://pic.twitter.com/CmpENFBzSh" TargetMode="External"/><Relationship Id="rId49" Type="http://schemas.openxmlformats.org/officeDocument/2006/relationships/hyperlink" Target="https://thebreakdown.ca/007" TargetMode="External"/><Relationship Id="rId3511" Type="http://schemas.openxmlformats.org/officeDocument/2006/relationships/hyperlink" Target="http://www.themoodcards.com" TargetMode="External"/><Relationship Id="rId3510" Type="http://schemas.openxmlformats.org/officeDocument/2006/relationships/hyperlink" Target="https://www.amazon.co.uk/dp/1859064566/ref=cm_sw_r_tw_dp_U_x_Z6RiEbPY5THDH" TargetMode="External"/><Relationship Id="rId3502" Type="http://schemas.openxmlformats.org/officeDocument/2006/relationships/hyperlink" Target="http://pic.twitter.com/YpX4AopV94" TargetMode="External"/><Relationship Id="rId3501" Type="http://schemas.openxmlformats.org/officeDocument/2006/relationships/hyperlink" Target="http://tutorintinseltown.com" TargetMode="External"/><Relationship Id="rId31" Type="http://schemas.openxmlformats.org/officeDocument/2006/relationships/hyperlink" Target="http://geekysciencemom.tumblr.com/" TargetMode="External"/><Relationship Id="rId3504" Type="http://schemas.openxmlformats.org/officeDocument/2006/relationships/hyperlink" Target="http://ajmh.co.uk" TargetMode="External"/><Relationship Id="rId30" Type="http://schemas.openxmlformats.org/officeDocument/2006/relationships/hyperlink" Target="https://theaspieteacher.wordpress.com/2020/01/19/autistic-energy-a-depletion-of-a-person/" TargetMode="External"/><Relationship Id="rId3503" Type="http://schemas.openxmlformats.org/officeDocument/2006/relationships/hyperlink" Target="https://www.pressandjournal.co.uk/fp/news/north-east/1909505/mental-health-first-aid-training-to-help-start-conversations-at-work/" TargetMode="External"/><Relationship Id="rId33" Type="http://schemas.openxmlformats.org/officeDocument/2006/relationships/hyperlink" Target="https://pbs.twimg.com/media/EOmsu92U4AEBXN7.jpg" TargetMode="External"/><Relationship Id="rId3506" Type="http://schemas.openxmlformats.org/officeDocument/2006/relationships/hyperlink" Target="https://pbs.twimg.com/media/EOjLyqmXUAEZK6x.jpg" TargetMode="External"/><Relationship Id="rId32" Type="http://schemas.openxmlformats.org/officeDocument/2006/relationships/hyperlink" Target="https://namica.org/campaign-to-end-stigma/" TargetMode="External"/><Relationship Id="rId3505" Type="http://schemas.openxmlformats.org/officeDocument/2006/relationships/hyperlink" Target="https://pbs.twimg.com/media/EOjL-r1XUAAYYXG.jpg" TargetMode="External"/><Relationship Id="rId35" Type="http://schemas.openxmlformats.org/officeDocument/2006/relationships/hyperlink" Target="http://day2dayinsanity.wordpress.com" TargetMode="External"/><Relationship Id="rId3508" Type="http://schemas.openxmlformats.org/officeDocument/2006/relationships/hyperlink" Target="https://m.facebook.com/RelaxKidsNorthCornwallSophie/" TargetMode="External"/><Relationship Id="rId34" Type="http://schemas.openxmlformats.org/officeDocument/2006/relationships/hyperlink" Target="http://www.namica.org" TargetMode="External"/><Relationship Id="rId3507" Type="http://schemas.openxmlformats.org/officeDocument/2006/relationships/hyperlink" Target="https://pbs.twimg.com/media/EOjLfU0X0AAMY1r.jpg" TargetMode="External"/><Relationship Id="rId3509" Type="http://schemas.openxmlformats.org/officeDocument/2006/relationships/hyperlink" Target="https://www.instagram.com/p/B7dDjpKpnDe/?igshid=eo6zlzrc1hg4" TargetMode="External"/><Relationship Id="rId37" Type="http://schemas.openxmlformats.org/officeDocument/2006/relationships/hyperlink" Target="https://youtu.be/YF8QIqj9hNM" TargetMode="External"/><Relationship Id="rId36" Type="http://schemas.openxmlformats.org/officeDocument/2006/relationships/hyperlink" Target="https://pbs.twimg.com/media/EOka7JnWAAMb3kT.jpg" TargetMode="External"/><Relationship Id="rId39" Type="http://schemas.openxmlformats.org/officeDocument/2006/relationships/hyperlink" Target="https://flowcharts.llnl.gov/content/assets/images/energy/us/Energy_US_2018.png" TargetMode="External"/><Relationship Id="rId38" Type="http://schemas.openxmlformats.org/officeDocument/2006/relationships/hyperlink" Target="https://www.facebook.com/groups/578036245967821/?source_id=307683486733860" TargetMode="External"/><Relationship Id="rId3500" Type="http://schemas.openxmlformats.org/officeDocument/2006/relationships/hyperlink" Target="https://tutorintinseltown.com/open-when-youre-stressing-over-grades/?utm_source=ReviveOldPost&amp;utm_medium=social&amp;utm_campaign=ReviveOldPost" TargetMode="External"/><Relationship Id="rId2203" Type="http://schemas.openxmlformats.org/officeDocument/2006/relationships/hyperlink" Target="https://bit.ly/36PSXBi" TargetMode="External"/><Relationship Id="rId3535" Type="http://schemas.openxmlformats.org/officeDocument/2006/relationships/hyperlink" Target="https://pbs.twimg.com/media/EOgy60VWsAA-hlK.jpg" TargetMode="External"/><Relationship Id="rId2204" Type="http://schemas.openxmlformats.org/officeDocument/2006/relationships/hyperlink" Target="https://pbs.twimg.com/media/EOKPZUvWsAALbwZ.jpg" TargetMode="External"/><Relationship Id="rId3534" Type="http://schemas.openxmlformats.org/officeDocument/2006/relationships/hyperlink" Target="https://twitter.com/healthyhappy50/status/1218279695659274246" TargetMode="External"/><Relationship Id="rId20" Type="http://schemas.openxmlformats.org/officeDocument/2006/relationships/hyperlink" Target="https://pbs.twimg.com/media/EOnOwsRXUAEcZKG.jpg" TargetMode="External"/><Relationship Id="rId2205" Type="http://schemas.openxmlformats.org/officeDocument/2006/relationships/hyperlink" Target="http://www.andrewsimscentre.nhs.uk" TargetMode="External"/><Relationship Id="rId3537" Type="http://schemas.openxmlformats.org/officeDocument/2006/relationships/hyperlink" Target="https://www.bipolarindia.com/resources-2/acts-and-laws/" TargetMode="External"/><Relationship Id="rId2206" Type="http://schemas.openxmlformats.org/officeDocument/2006/relationships/hyperlink" Target="https://pbs.twimg.com/media/EOks5rIW4AAbUpX.jpg" TargetMode="External"/><Relationship Id="rId3536" Type="http://schemas.openxmlformats.org/officeDocument/2006/relationships/hyperlink" Target="http://healthyhappy50.com" TargetMode="External"/><Relationship Id="rId22" Type="http://schemas.openxmlformats.org/officeDocument/2006/relationships/hyperlink" Target="https://pbs.twimg.com/media/EOnN79tU4AAp8CO.jpg" TargetMode="External"/><Relationship Id="rId2207" Type="http://schemas.openxmlformats.org/officeDocument/2006/relationships/hyperlink" Target="https://birdload.com/931060a13e465dc9" TargetMode="External"/><Relationship Id="rId3539" Type="http://schemas.openxmlformats.org/officeDocument/2006/relationships/hyperlink" Target="https://www.bipolarindia.com/" TargetMode="External"/><Relationship Id="rId21" Type="http://schemas.openxmlformats.org/officeDocument/2006/relationships/hyperlink" Target="http://www.shelter-int.org" TargetMode="External"/><Relationship Id="rId2208" Type="http://schemas.openxmlformats.org/officeDocument/2006/relationships/hyperlink" Target="https://pbs.twimg.com/media/EOksxmzXsAIt5Xf.png" TargetMode="External"/><Relationship Id="rId3538" Type="http://schemas.openxmlformats.org/officeDocument/2006/relationships/hyperlink" Target="https://pbs.twimg.com/media/EOjIJzDUYAAg_bB.jpg" TargetMode="External"/><Relationship Id="rId24" Type="http://schemas.openxmlformats.org/officeDocument/2006/relationships/hyperlink" Target="https://www.instagram.com/p/B7fC8oznkom/" TargetMode="External"/><Relationship Id="rId2209" Type="http://schemas.openxmlformats.org/officeDocument/2006/relationships/hyperlink" Target="http://pic.twitter.com/9NgUNNN0wD" TargetMode="External"/><Relationship Id="rId23" Type="http://schemas.openxmlformats.org/officeDocument/2006/relationships/hyperlink" Target="http://www.shamahwellness.com" TargetMode="External"/><Relationship Id="rId26" Type="http://schemas.openxmlformats.org/officeDocument/2006/relationships/hyperlink" Target="https://holistickeys.com" TargetMode="External"/><Relationship Id="rId25" Type="http://schemas.openxmlformats.org/officeDocument/2006/relationships/hyperlink" Target="https://pbs.twimg.com/media/EOnN7G_WoAAyKk-.jpg" TargetMode="External"/><Relationship Id="rId28" Type="http://schemas.openxmlformats.org/officeDocument/2006/relationships/hyperlink" Target="http://writingsandworship.com/instagram-links/" TargetMode="External"/><Relationship Id="rId27" Type="http://schemas.openxmlformats.org/officeDocument/2006/relationships/hyperlink" Target="https://writingsandworship.com/2020/01/18/5-ways-to-physically-combat-anxiety/" TargetMode="External"/><Relationship Id="rId3531" Type="http://schemas.openxmlformats.org/officeDocument/2006/relationships/hyperlink" Target="https://pbs.twimg.com/media/EOjIv4gXsAAwFDX.jpg" TargetMode="External"/><Relationship Id="rId29" Type="http://schemas.openxmlformats.org/officeDocument/2006/relationships/hyperlink" Target="https://pbs.twimg.com/media/EOnNmm6W4AUw7Ja.jpg" TargetMode="External"/><Relationship Id="rId2200" Type="http://schemas.openxmlformats.org/officeDocument/2006/relationships/hyperlink" Target="https://bit.ly/2EGEhYA" TargetMode="External"/><Relationship Id="rId3530" Type="http://schemas.openxmlformats.org/officeDocument/2006/relationships/hyperlink" Target="https://pbs.twimg.com/media/EOjI5M9W4AA7bUE.jpg" TargetMode="External"/><Relationship Id="rId2201" Type="http://schemas.openxmlformats.org/officeDocument/2006/relationships/hyperlink" Target="https://pbs.twimg.com/media/EOktCTkXkAIxY9i.png" TargetMode="External"/><Relationship Id="rId3533" Type="http://schemas.openxmlformats.org/officeDocument/2006/relationships/hyperlink" Target="http://www.lifeandloom.co.uk" TargetMode="External"/><Relationship Id="rId2202" Type="http://schemas.openxmlformats.org/officeDocument/2006/relationships/hyperlink" Target="http://www.hearthandmade.co.uk" TargetMode="External"/><Relationship Id="rId3532" Type="http://schemas.openxmlformats.org/officeDocument/2006/relationships/hyperlink" Target="https://rxe.me/3HYZ2M" TargetMode="External"/><Relationship Id="rId3524" Type="http://schemas.openxmlformats.org/officeDocument/2006/relationships/hyperlink" Target="http://www.evelynmarinoff.com/30-day-confidence-bootcamp/" TargetMode="External"/><Relationship Id="rId3523" Type="http://schemas.openxmlformats.org/officeDocument/2006/relationships/hyperlink" Target="https://elemental.medium.com/is-sharing-your-feelings-always-healthy-a6be3579c4ae" TargetMode="External"/><Relationship Id="rId3526" Type="http://schemas.openxmlformats.org/officeDocument/2006/relationships/hyperlink" Target="https://pbs.twimg.com/media/EOjJb18U4AAAS6U.png" TargetMode="External"/><Relationship Id="rId3525" Type="http://schemas.openxmlformats.org/officeDocument/2006/relationships/hyperlink" Target="http://bit.ly/38jjZ4a" TargetMode="External"/><Relationship Id="rId11" Type="http://schemas.openxmlformats.org/officeDocument/2006/relationships/hyperlink" Target="https://www.linkedin.com/in/drgurdeepparhar/" TargetMode="External"/><Relationship Id="rId3528" Type="http://schemas.openxmlformats.org/officeDocument/2006/relationships/hyperlink" Target="https://adolescentmentalhealth.uk/Home" TargetMode="External"/><Relationship Id="rId10" Type="http://schemas.openxmlformats.org/officeDocument/2006/relationships/hyperlink" Target="https://bhive.nectar.social/Rnj1QZ" TargetMode="External"/><Relationship Id="rId3527" Type="http://schemas.openxmlformats.org/officeDocument/2006/relationships/hyperlink" Target="https://pbs.twimg.com/media/EOjI-OiWsAAoTqP.jpg" TargetMode="External"/><Relationship Id="rId13" Type="http://schemas.openxmlformats.org/officeDocument/2006/relationships/hyperlink" Target="https://www.drchriscarreira.com" TargetMode="External"/><Relationship Id="rId12" Type="http://schemas.openxmlformats.org/officeDocument/2006/relationships/hyperlink" Target="http://bit.ly/1GApVUO" TargetMode="External"/><Relationship Id="rId3529" Type="http://schemas.openxmlformats.org/officeDocument/2006/relationships/hyperlink" Target="http://news.sky.com/story/call-for-all-new-fathers-to-be-routinely-checked-for-post-natal-depression-11911277" TargetMode="External"/><Relationship Id="rId15" Type="http://schemas.openxmlformats.org/officeDocument/2006/relationships/hyperlink" Target="http://www.awaken-mind.com" TargetMode="External"/><Relationship Id="rId14" Type="http://schemas.openxmlformats.org/officeDocument/2006/relationships/hyperlink" Target="http://bit.ly/1GAqYnV" TargetMode="External"/><Relationship Id="rId17" Type="http://schemas.openxmlformats.org/officeDocument/2006/relationships/hyperlink" Target="http://www.awaken-mind.com" TargetMode="External"/><Relationship Id="rId16" Type="http://schemas.openxmlformats.org/officeDocument/2006/relationships/hyperlink" Target="http://psy.pub/1jnqtS7" TargetMode="External"/><Relationship Id="rId19" Type="http://schemas.openxmlformats.org/officeDocument/2006/relationships/hyperlink" Target="http://www.dreampositive.info" TargetMode="External"/><Relationship Id="rId3520" Type="http://schemas.openxmlformats.org/officeDocument/2006/relationships/hyperlink" Target="https://www.facebook.com/pages/Pop-Up-Chat-Together/311177515713413" TargetMode="External"/><Relationship Id="rId18" Type="http://schemas.openxmlformats.org/officeDocument/2006/relationships/hyperlink" Target="http://bit.ly/1GApVUO" TargetMode="External"/><Relationship Id="rId3522" Type="http://schemas.openxmlformats.org/officeDocument/2006/relationships/hyperlink" Target="http://www.beyoumindfulness.com" TargetMode="External"/><Relationship Id="rId3521" Type="http://schemas.openxmlformats.org/officeDocument/2006/relationships/hyperlink" Target="https://pbs.twimg.com/media/EOjJyQuXUAAD3uF.jpg" TargetMode="External"/><Relationship Id="rId84" Type="http://schemas.openxmlformats.org/officeDocument/2006/relationships/hyperlink" Target="http://pic.twitter.com/f5A3AjfCCT" TargetMode="External"/><Relationship Id="rId1774" Type="http://schemas.openxmlformats.org/officeDocument/2006/relationships/hyperlink" Target="https://www.twitch.tv/casual_h3ro" TargetMode="External"/><Relationship Id="rId83" Type="http://schemas.openxmlformats.org/officeDocument/2006/relationships/hyperlink" Target="https://twitter.com/WomensHealthMag/status/1218633659567099904" TargetMode="External"/><Relationship Id="rId1775" Type="http://schemas.openxmlformats.org/officeDocument/2006/relationships/hyperlink" Target="https://pbs.twimg.com/media/EOlHXpFW4AgCUJQ.jpg" TargetMode="External"/><Relationship Id="rId86" Type="http://schemas.openxmlformats.org/officeDocument/2006/relationships/hyperlink" Target="http://amzn.to/1sUGwJM" TargetMode="External"/><Relationship Id="rId1776" Type="http://schemas.openxmlformats.org/officeDocument/2006/relationships/hyperlink" Target="https://cheriewhite.blog/2020/01/18/i-struggle-to-find-the-words-of-comfort-for-family-friends-affected-by-bullycide/" TargetMode="External"/><Relationship Id="rId85" Type="http://schemas.openxmlformats.org/officeDocument/2006/relationships/hyperlink" Target="http://lorilynn.usana.com" TargetMode="External"/><Relationship Id="rId1777" Type="http://schemas.openxmlformats.org/officeDocument/2006/relationships/hyperlink" Target="https://authorcheriewhite.com/" TargetMode="External"/><Relationship Id="rId88" Type="http://schemas.openxmlformats.org/officeDocument/2006/relationships/hyperlink" Target="http://www.sexybrilliant.com" TargetMode="External"/><Relationship Id="rId1778" Type="http://schemas.openxmlformats.org/officeDocument/2006/relationships/hyperlink" Target="https://pbs.twimg.com/media/EOlG7UNXUAAfXSC.jpg" TargetMode="External"/><Relationship Id="rId87" Type="http://schemas.openxmlformats.org/officeDocument/2006/relationships/hyperlink" Target="http://www.whereismadmax.com" TargetMode="External"/><Relationship Id="rId1779" Type="http://schemas.openxmlformats.org/officeDocument/2006/relationships/hyperlink" Target="https://pbs.twimg.com/media/EOlGr1SVUAAzDLG.jpg" TargetMode="External"/><Relationship Id="rId89" Type="http://schemas.openxmlformats.org/officeDocument/2006/relationships/hyperlink" Target="https://pbs.twimg.com/media/EOnF6KhWAAAQ4a0.jpg" TargetMode="External"/><Relationship Id="rId80" Type="http://schemas.openxmlformats.org/officeDocument/2006/relationships/hyperlink" Target="http://www.liberomagazine.com" TargetMode="External"/><Relationship Id="rId82" Type="http://schemas.openxmlformats.org/officeDocument/2006/relationships/hyperlink" Target="http://www.linkedin.com/in/wjwade" TargetMode="External"/><Relationship Id="rId81" Type="http://schemas.openxmlformats.org/officeDocument/2006/relationships/hyperlink" Target="https://pbs.twimg.com/media/EOnGzuQXsAMuvuz.jpg" TargetMode="External"/><Relationship Id="rId1770" Type="http://schemas.openxmlformats.org/officeDocument/2006/relationships/hyperlink" Target="https://dwordslayer.blogspot.com/2019/04/open-book-mental-illness-and-phone-rings.html?spref=tw" TargetMode="External"/><Relationship Id="rId1771" Type="http://schemas.openxmlformats.org/officeDocument/2006/relationships/hyperlink" Target="https://www.thriveglobal.com/authors/59-lisa-gallagher" TargetMode="External"/><Relationship Id="rId1772" Type="http://schemas.openxmlformats.org/officeDocument/2006/relationships/hyperlink" Target="https://pbs.twimg.com/media/EOlH3uNWsAITejJ.jpg" TargetMode="External"/><Relationship Id="rId1773" Type="http://schemas.openxmlformats.org/officeDocument/2006/relationships/hyperlink" Target="https://pbs.twimg.com/media/EOlH1WfWAAE2MLd.jpg" TargetMode="External"/><Relationship Id="rId73" Type="http://schemas.openxmlformats.org/officeDocument/2006/relationships/hyperlink" Target="https://pbs.twimg.com/media/EOnIhiDWAAEUfLF.png" TargetMode="External"/><Relationship Id="rId1763" Type="http://schemas.openxmlformats.org/officeDocument/2006/relationships/hyperlink" Target="https://pbs.twimg.com/media/EOlJDziX4AMopt3.jpg" TargetMode="External"/><Relationship Id="rId72" Type="http://schemas.openxmlformats.org/officeDocument/2006/relationships/hyperlink" Target="http://www.karenrsw.com" TargetMode="External"/><Relationship Id="rId1764" Type="http://schemas.openxmlformats.org/officeDocument/2006/relationships/hyperlink" Target="http://www.thelegislationstation.com" TargetMode="External"/><Relationship Id="rId75" Type="http://schemas.openxmlformats.org/officeDocument/2006/relationships/hyperlink" Target="https://m.facebook.com/captivatinghomecollection" TargetMode="External"/><Relationship Id="rId1765" Type="http://schemas.openxmlformats.org/officeDocument/2006/relationships/hyperlink" Target="https://www.thewisefamily.com/group-therapy/" TargetMode="External"/><Relationship Id="rId74" Type="http://schemas.openxmlformats.org/officeDocument/2006/relationships/hyperlink" Target="http://celestethetherapist.com/" TargetMode="External"/><Relationship Id="rId1766" Type="http://schemas.openxmlformats.org/officeDocument/2006/relationships/hyperlink" Target="http://www.thewisefamily.com" TargetMode="External"/><Relationship Id="rId77" Type="http://schemas.openxmlformats.org/officeDocument/2006/relationships/hyperlink" Target="http://www.whereismadmax.com" TargetMode="External"/><Relationship Id="rId1767" Type="http://schemas.openxmlformats.org/officeDocument/2006/relationships/hyperlink" Target="https://www.linkedin.com/in/john-severine-meela-99b85237/?originalSubdomain=tz" TargetMode="External"/><Relationship Id="rId76" Type="http://schemas.openxmlformats.org/officeDocument/2006/relationships/hyperlink" Target="http://www.whereismadmax.com" TargetMode="External"/><Relationship Id="rId1768" Type="http://schemas.openxmlformats.org/officeDocument/2006/relationships/hyperlink" Target="https://twitter.com/canariestrust/status/1218541277387554816" TargetMode="External"/><Relationship Id="rId79" Type="http://schemas.openxmlformats.org/officeDocument/2006/relationships/hyperlink" Target="https://pbs.twimg.com/media/EOnHQoNWoAAuiI7.png" TargetMode="External"/><Relationship Id="rId1769" Type="http://schemas.openxmlformats.org/officeDocument/2006/relationships/hyperlink" Target="https://pbs.twimg.com/media/EOkg06IW4AA88Pa.jpg" TargetMode="External"/><Relationship Id="rId78" Type="http://schemas.openxmlformats.org/officeDocument/2006/relationships/hyperlink" Target="https://ift.tt/2G2qrAt" TargetMode="External"/><Relationship Id="rId71" Type="http://schemas.openxmlformats.org/officeDocument/2006/relationships/hyperlink" Target="https://pbs.twimg.com/media/EOnIoiRXUAED33t.jpg" TargetMode="External"/><Relationship Id="rId70" Type="http://schemas.openxmlformats.org/officeDocument/2006/relationships/hyperlink" Target="https://buff.ly/2FrIlMK" TargetMode="External"/><Relationship Id="rId1760" Type="http://schemas.openxmlformats.org/officeDocument/2006/relationships/hyperlink" Target="http://www.healthyplace.com" TargetMode="External"/><Relationship Id="rId1761" Type="http://schemas.openxmlformats.org/officeDocument/2006/relationships/hyperlink" Target="https://www.optimalc.com/symptoms-of-scurvy.html" TargetMode="External"/><Relationship Id="rId1762" Type="http://schemas.openxmlformats.org/officeDocument/2006/relationships/hyperlink" Target="https://www.optimalc.com" TargetMode="External"/><Relationship Id="rId62" Type="http://schemas.openxmlformats.org/officeDocument/2006/relationships/hyperlink" Target="http://instagram.com/tonys_creatures" TargetMode="External"/><Relationship Id="rId1796" Type="http://schemas.openxmlformats.org/officeDocument/2006/relationships/hyperlink" Target="http://youtube.com/DanielCarcillo13" TargetMode="External"/><Relationship Id="rId61" Type="http://schemas.openxmlformats.org/officeDocument/2006/relationships/hyperlink" Target="http://pic.twitter.com/V3vRPbjbEe" TargetMode="External"/><Relationship Id="rId1797" Type="http://schemas.openxmlformats.org/officeDocument/2006/relationships/hyperlink" Target="http://www.aorra.org/2020/01/18/childhood-trauma-creates-addiction/" TargetMode="External"/><Relationship Id="rId64" Type="http://schemas.openxmlformats.org/officeDocument/2006/relationships/hyperlink" Target="http://www.shamahwellness.com" TargetMode="External"/><Relationship Id="rId1798" Type="http://schemas.openxmlformats.org/officeDocument/2006/relationships/hyperlink" Target="https://pbs.twimg.com/media/EOlGSYcWkAEe8d6.png" TargetMode="External"/><Relationship Id="rId63" Type="http://schemas.openxmlformats.org/officeDocument/2006/relationships/hyperlink" Target="https://pbs.twimg.com/media/EOnKVjDVUAE4SBo.jpg" TargetMode="External"/><Relationship Id="rId1799" Type="http://schemas.openxmlformats.org/officeDocument/2006/relationships/hyperlink" Target="http://www.aorra.org" TargetMode="External"/><Relationship Id="rId66" Type="http://schemas.openxmlformats.org/officeDocument/2006/relationships/hyperlink" Target="http://www.christofwittig.com" TargetMode="External"/><Relationship Id="rId65" Type="http://schemas.openxmlformats.org/officeDocument/2006/relationships/hyperlink" Target="https://medium.com/@kylerobertson41/why-we-launched-cerebral-a-mental-health-telemedicine-company-f6593ff22f2a" TargetMode="External"/><Relationship Id="rId68" Type="http://schemas.openxmlformats.org/officeDocument/2006/relationships/hyperlink" Target="https://pbs.twimg.com/media/EOnJlfZWAAAkhAD.jpg" TargetMode="External"/><Relationship Id="rId67" Type="http://schemas.openxmlformats.org/officeDocument/2006/relationships/hyperlink" Target="http://tbihotline.org" TargetMode="External"/><Relationship Id="rId60" Type="http://schemas.openxmlformats.org/officeDocument/2006/relationships/hyperlink" Target="https://www.youtube.com/channel/UCEWmLI3diGEgNYHVIHChfOg" TargetMode="External"/><Relationship Id="rId69" Type="http://schemas.openxmlformats.org/officeDocument/2006/relationships/hyperlink" Target="https://www.tbihotline.org" TargetMode="External"/><Relationship Id="rId1790" Type="http://schemas.openxmlformats.org/officeDocument/2006/relationships/hyperlink" Target="https://www.ushagent.com/noor" TargetMode="External"/><Relationship Id="rId1791" Type="http://schemas.openxmlformats.org/officeDocument/2006/relationships/hyperlink" Target="http://csch.uconn.edu" TargetMode="External"/><Relationship Id="rId1792" Type="http://schemas.openxmlformats.org/officeDocument/2006/relationships/hyperlink" Target="https://bit.ly/2R954Tc" TargetMode="External"/><Relationship Id="rId1793" Type="http://schemas.openxmlformats.org/officeDocument/2006/relationships/hyperlink" Target="https://pbs.twimg.com/media/EOlGaCIXsAActnf.jpg" TargetMode="External"/><Relationship Id="rId1794" Type="http://schemas.openxmlformats.org/officeDocument/2006/relationships/hyperlink" Target="http://www.healthyplace.com" TargetMode="External"/><Relationship Id="rId1795" Type="http://schemas.openxmlformats.org/officeDocument/2006/relationships/hyperlink" Target="https://twitter.com/GuardiansMH/status/1218559245609787393" TargetMode="External"/><Relationship Id="rId51" Type="http://schemas.openxmlformats.org/officeDocument/2006/relationships/hyperlink" Target="https://lnkd.in/d7Kdiuq" TargetMode="External"/><Relationship Id="rId1785" Type="http://schemas.openxmlformats.org/officeDocument/2006/relationships/hyperlink" Target="https://alberta.cmha.ca/" TargetMode="External"/><Relationship Id="rId50" Type="http://schemas.openxmlformats.org/officeDocument/2006/relationships/hyperlink" Target="https://thebreakdown.ca" TargetMode="External"/><Relationship Id="rId1786" Type="http://schemas.openxmlformats.org/officeDocument/2006/relationships/hyperlink" Target="https://pbs.twimg.com/media/EOlGchrWsAEvl8V.jpg" TargetMode="External"/><Relationship Id="rId53" Type="http://schemas.openxmlformats.org/officeDocument/2006/relationships/hyperlink" Target="https://www.forbes.com/sites/alankohll/2020/01/02/new-study-reveals-top-workplace-wellbeing-habits-to-embrace-in-2020/" TargetMode="External"/><Relationship Id="rId1787" Type="http://schemas.openxmlformats.org/officeDocument/2006/relationships/hyperlink" Target="http://www.haveringccg.nhs.uk" TargetMode="External"/><Relationship Id="rId52" Type="http://schemas.openxmlformats.org/officeDocument/2006/relationships/hyperlink" Target="https://about.me/rosalynpalmer" TargetMode="External"/><Relationship Id="rId1788" Type="http://schemas.openxmlformats.org/officeDocument/2006/relationships/hyperlink" Target="http://ow.ly/ssZZ50wJdkr" TargetMode="External"/><Relationship Id="rId55" Type="http://schemas.openxmlformats.org/officeDocument/2006/relationships/hyperlink" Target="https://pbs.twimg.com/media/EOnFmSjW4AE8y3y.png" TargetMode="External"/><Relationship Id="rId1789" Type="http://schemas.openxmlformats.org/officeDocument/2006/relationships/hyperlink" Target="https://pbs.twimg.com/media/EOlGbtqX4AE8NAD.jpg" TargetMode="External"/><Relationship Id="rId54" Type="http://schemas.openxmlformats.org/officeDocument/2006/relationships/hyperlink" Target="https://www.forbes.com/sites/nicholasfearn/2020/01/16/how-tech-can-help-businesses-improve-staff-mental-wellbeing/" TargetMode="External"/><Relationship Id="rId57" Type="http://schemas.openxmlformats.org/officeDocument/2006/relationships/hyperlink" Target="https://pbs.twimg.com/media/EOnKabWU4AEHWS8.jpg" TargetMode="External"/><Relationship Id="rId56" Type="http://schemas.openxmlformats.org/officeDocument/2006/relationships/hyperlink" Target="https://twitter.com/derekalopez/status/1218727737256370176" TargetMode="External"/><Relationship Id="rId59" Type="http://schemas.openxmlformats.org/officeDocument/2006/relationships/hyperlink" Target="https://pbs.twimg.com/media/EOnKabWU4AEHWS8.jpg" TargetMode="External"/><Relationship Id="rId58" Type="http://schemas.openxmlformats.org/officeDocument/2006/relationships/hyperlink" Target="http://www.standupourkids.com" TargetMode="External"/><Relationship Id="rId1780" Type="http://schemas.openxmlformats.org/officeDocument/2006/relationships/hyperlink" Target="https://www.youtube.com/channel/UCrlFs4lmABOgVFUisMdPVaA?view_as=subscriber" TargetMode="External"/><Relationship Id="rId1781" Type="http://schemas.openxmlformats.org/officeDocument/2006/relationships/hyperlink" Target="http://sewi.org" TargetMode="External"/><Relationship Id="rId1782" Type="http://schemas.openxmlformats.org/officeDocument/2006/relationships/hyperlink" Target="https://pbs.twimg.com/media/EOlGckgWkAEHQSq.jpg" TargetMode="External"/><Relationship Id="rId1783" Type="http://schemas.openxmlformats.org/officeDocument/2006/relationships/hyperlink" Target="http://linktr.ee/sewinitiative" TargetMode="External"/><Relationship Id="rId1784" Type="http://schemas.openxmlformats.org/officeDocument/2006/relationships/hyperlink" Target="https://www.theglobeandmail.com/canada/alberta/article-fentanyl-overdoses-in-alberta-begin-to-decline/" TargetMode="External"/><Relationship Id="rId2269" Type="http://schemas.openxmlformats.org/officeDocument/2006/relationships/hyperlink" Target="http://wellbeingtrust.org" TargetMode="External"/><Relationship Id="rId349" Type="http://schemas.openxmlformats.org/officeDocument/2006/relationships/hyperlink" Target="http://www.thedoctorweighsin.com" TargetMode="External"/><Relationship Id="rId348" Type="http://schemas.openxmlformats.org/officeDocument/2006/relationships/hyperlink" Target="https://pbs.twimg.com/media/EOmjQarWkAAIZYS.jpg" TargetMode="External"/><Relationship Id="rId347" Type="http://schemas.openxmlformats.org/officeDocument/2006/relationships/hyperlink" Target="http://ow.ly/ZtJN50xo50v" TargetMode="External"/><Relationship Id="rId346" Type="http://schemas.openxmlformats.org/officeDocument/2006/relationships/hyperlink" Target="http://www.fernhomeandfashion.etsy.com" TargetMode="External"/><Relationship Id="rId3591" Type="http://schemas.openxmlformats.org/officeDocument/2006/relationships/hyperlink" Target="http://ow.ly/YEJh50xVRYW" TargetMode="External"/><Relationship Id="rId2260" Type="http://schemas.openxmlformats.org/officeDocument/2006/relationships/hyperlink" Target="https://archiveofourown.org/users/RiverM_Hathaway" TargetMode="External"/><Relationship Id="rId3590" Type="http://schemas.openxmlformats.org/officeDocument/2006/relationships/hyperlink" Target="https://www.hellofaread.com" TargetMode="External"/><Relationship Id="rId341" Type="http://schemas.openxmlformats.org/officeDocument/2006/relationships/hyperlink" Target="https://pbs.twimg.com/media/EOmjlmTXsAEps87.jpg" TargetMode="External"/><Relationship Id="rId2261" Type="http://schemas.openxmlformats.org/officeDocument/2006/relationships/hyperlink" Target="https://www.theglobeandmail.com/canada/article-half-of-canadians-have-too-few-local-psychiatrists-or-none-at-all/" TargetMode="External"/><Relationship Id="rId3593" Type="http://schemas.openxmlformats.org/officeDocument/2006/relationships/hyperlink" Target="http://www.carolynspring.com" TargetMode="External"/><Relationship Id="rId340" Type="http://schemas.openxmlformats.org/officeDocument/2006/relationships/hyperlink" Target="https://blogmhad.wordpress.com/2020/01/19/continuous-pain/" TargetMode="External"/><Relationship Id="rId2262" Type="http://schemas.openxmlformats.org/officeDocument/2006/relationships/hyperlink" Target="https://www.theglobeandmail.com/canada/article-half-of-canadians-have-too-few-local-psychiatrists-or-none-at-all/" TargetMode="External"/><Relationship Id="rId3592" Type="http://schemas.openxmlformats.org/officeDocument/2006/relationships/hyperlink" Target="https://pbs.twimg.com/media/EOjAjgLXkAENOch.jpg" TargetMode="External"/><Relationship Id="rId2263" Type="http://schemas.openxmlformats.org/officeDocument/2006/relationships/hyperlink" Target="http://www.vibrantcalgary.com" TargetMode="External"/><Relationship Id="rId3595" Type="http://schemas.openxmlformats.org/officeDocument/2006/relationships/hyperlink" Target="https://pbs.twimg.com/media/EOjAAxEXkAAV7Bo.jpg" TargetMode="External"/><Relationship Id="rId2264" Type="http://schemas.openxmlformats.org/officeDocument/2006/relationships/hyperlink" Target="http://sydney.edu.au/bmri" TargetMode="External"/><Relationship Id="rId3594" Type="http://schemas.openxmlformats.org/officeDocument/2006/relationships/hyperlink" Target="http://www.resonsindiyo.com" TargetMode="External"/><Relationship Id="rId345" Type="http://schemas.openxmlformats.org/officeDocument/2006/relationships/hyperlink" Target="https://pbs.twimg.com/media/EOmjSs7VAAATEHh.jpg" TargetMode="External"/><Relationship Id="rId2265" Type="http://schemas.openxmlformats.org/officeDocument/2006/relationships/hyperlink" Target="https://buff.ly/2TvqcpB" TargetMode="External"/><Relationship Id="rId3597" Type="http://schemas.openxmlformats.org/officeDocument/2006/relationships/hyperlink" Target="https://www.breitbart.com/europe/2019/08/24/study-78-per-cent-of-trans-non-binary-students-mentally-disordered/" TargetMode="External"/><Relationship Id="rId344" Type="http://schemas.openxmlformats.org/officeDocument/2006/relationships/hyperlink" Target="http://www.eastvantherapy.ca" TargetMode="External"/><Relationship Id="rId2266" Type="http://schemas.openxmlformats.org/officeDocument/2006/relationships/hyperlink" Target="https://pbs.twimg.com/media/EOkopdGWsAcurUm.jpg" TargetMode="External"/><Relationship Id="rId3596" Type="http://schemas.openxmlformats.org/officeDocument/2006/relationships/hyperlink" Target="http://instagram.com/fibutton_" TargetMode="External"/><Relationship Id="rId343" Type="http://schemas.openxmlformats.org/officeDocument/2006/relationships/hyperlink" Target="https://www.instagram.com/p/B7evkOiBA-e/?igshid=nt79xuc4n2im" TargetMode="External"/><Relationship Id="rId2267" Type="http://schemas.openxmlformats.org/officeDocument/2006/relationships/hyperlink" Target="http://www.tmshelps.com" TargetMode="External"/><Relationship Id="rId3599" Type="http://schemas.openxmlformats.org/officeDocument/2006/relationships/hyperlink" Target="https://pbs.twimg.com/media/EOi_jZaXkAEtA5a.jpg" TargetMode="External"/><Relationship Id="rId342" Type="http://schemas.openxmlformats.org/officeDocument/2006/relationships/hyperlink" Target="http://blogmhad.wordpress.com" TargetMode="External"/><Relationship Id="rId2268" Type="http://schemas.openxmlformats.org/officeDocument/2006/relationships/hyperlink" Target="https://www.pressherald.com/2020/01/17/maine-lawmakers-urged-to-tackle-mental-health-crisis-in-jails/" TargetMode="External"/><Relationship Id="rId3598" Type="http://schemas.openxmlformats.org/officeDocument/2006/relationships/hyperlink" Target="https://youtu.be/tHsZxJlxHYw" TargetMode="External"/><Relationship Id="rId2258" Type="http://schemas.openxmlformats.org/officeDocument/2006/relationships/hyperlink" Target="https://twitter.com/LatestFreeStuff/status/1218548649107644418" TargetMode="External"/><Relationship Id="rId2259" Type="http://schemas.openxmlformats.org/officeDocument/2006/relationships/hyperlink" Target="https://pbs.twimg.com/media/EOknieBX0AEASxD.jpg" TargetMode="External"/><Relationship Id="rId3589" Type="http://schemas.openxmlformats.org/officeDocument/2006/relationships/hyperlink" Target="https://www.hellofaread.com/royal/prince-harry-says-theres-no-need-to-grin-and-bear-it-as-he-hosts-rugby-league-world-cup-draw-after-quitting-royal-life/" TargetMode="External"/><Relationship Id="rId338" Type="http://schemas.openxmlformats.org/officeDocument/2006/relationships/hyperlink" Target="https://pbs.twimg.com/media/EOmjnNRUwAAqJgT.jpg" TargetMode="External"/><Relationship Id="rId337" Type="http://schemas.openxmlformats.org/officeDocument/2006/relationships/hyperlink" Target="http://instagram.com/shaka.brown" TargetMode="External"/><Relationship Id="rId336" Type="http://schemas.openxmlformats.org/officeDocument/2006/relationships/hyperlink" Target="https://www.instagram.com/p/B7ev66Yhdwq/?igshid=km93n5j1eki6" TargetMode="External"/><Relationship Id="rId335" Type="http://schemas.openxmlformats.org/officeDocument/2006/relationships/hyperlink" Target="https://pbs.twimg.com/media/EOmkRniXsAAHmSC.jpg" TargetMode="External"/><Relationship Id="rId3580" Type="http://schemas.openxmlformats.org/officeDocument/2006/relationships/hyperlink" Target="https://www.youtube.com/c/WizardWay" TargetMode="External"/><Relationship Id="rId339" Type="http://schemas.openxmlformats.org/officeDocument/2006/relationships/hyperlink" Target="http://www.azemotionalhealth.com" TargetMode="External"/><Relationship Id="rId330" Type="http://schemas.openxmlformats.org/officeDocument/2006/relationships/hyperlink" Target="http://www.namica.org" TargetMode="External"/><Relationship Id="rId2250" Type="http://schemas.openxmlformats.org/officeDocument/2006/relationships/hyperlink" Target="http://twitch.tv/bucknuttygames" TargetMode="External"/><Relationship Id="rId3582" Type="http://schemas.openxmlformats.org/officeDocument/2006/relationships/hyperlink" Target="https://www.amazon.com/Sudesna-Ghosh/e/B00AOPT3Z4" TargetMode="External"/><Relationship Id="rId2251" Type="http://schemas.openxmlformats.org/officeDocument/2006/relationships/hyperlink" Target="https://www.instagram.com/p/B7dygEMJGuE/?igshid=kglw0zvyr2qe" TargetMode="External"/><Relationship Id="rId3581" Type="http://schemas.openxmlformats.org/officeDocument/2006/relationships/hyperlink" Target="https://sueghosh.wordpress.com/2020/01/17/anxiety/" TargetMode="External"/><Relationship Id="rId2252" Type="http://schemas.openxmlformats.org/officeDocument/2006/relationships/hyperlink" Target="http://bit.ly/2NdqUE4" TargetMode="External"/><Relationship Id="rId3584" Type="http://schemas.openxmlformats.org/officeDocument/2006/relationships/hyperlink" Target="http://www.azemotionalhealth.com" TargetMode="External"/><Relationship Id="rId2253" Type="http://schemas.openxmlformats.org/officeDocument/2006/relationships/hyperlink" Target="https://therooftop.news/" TargetMode="External"/><Relationship Id="rId3583" Type="http://schemas.openxmlformats.org/officeDocument/2006/relationships/hyperlink" Target="https://m.youtube.com/watch?v=fjwWjx7Cw8I" TargetMode="External"/><Relationship Id="rId334" Type="http://schemas.openxmlformats.org/officeDocument/2006/relationships/hyperlink" Target="https://pbs.twimg.com/media/EOmjQarWkAAIZYS.jpg" TargetMode="External"/><Relationship Id="rId2254" Type="http://schemas.openxmlformats.org/officeDocument/2006/relationships/hyperlink" Target="https://pbs.twimg.com/media/EOkpF0zXUAEawAM.jpg" TargetMode="External"/><Relationship Id="rId3586" Type="http://schemas.openxmlformats.org/officeDocument/2006/relationships/hyperlink" Target="http://www.azemotionalhealth.com" TargetMode="External"/><Relationship Id="rId333" Type="http://schemas.openxmlformats.org/officeDocument/2006/relationships/hyperlink" Target="http://www.lintonlanecentre.com" TargetMode="External"/><Relationship Id="rId2255" Type="http://schemas.openxmlformats.org/officeDocument/2006/relationships/hyperlink" Target="http://www.thecrimitalk.com" TargetMode="External"/><Relationship Id="rId3585" Type="http://schemas.openxmlformats.org/officeDocument/2006/relationships/hyperlink" Target="https://pbs.twimg.com/media/EOjBsVnWsAEJHBB.jpg" TargetMode="External"/><Relationship Id="rId332" Type="http://schemas.openxmlformats.org/officeDocument/2006/relationships/hyperlink" Target="https://pbs.twimg.com/media/EOmkbdcVUAEzw74.png" TargetMode="External"/><Relationship Id="rId2256" Type="http://schemas.openxmlformats.org/officeDocument/2006/relationships/hyperlink" Target="http://pic.twitter.com/7NhcGL7DEC" TargetMode="External"/><Relationship Id="rId3588" Type="http://schemas.openxmlformats.org/officeDocument/2006/relationships/hyperlink" Target="http://instagram.com/ve_ek" TargetMode="External"/><Relationship Id="rId331" Type="http://schemas.openxmlformats.org/officeDocument/2006/relationships/hyperlink" Target="http://www.samscafe.org.uk/" TargetMode="External"/><Relationship Id="rId2257" Type="http://schemas.openxmlformats.org/officeDocument/2006/relationships/hyperlink" Target="http://www.facebook.com/fabislei7" TargetMode="External"/><Relationship Id="rId3587" Type="http://schemas.openxmlformats.org/officeDocument/2006/relationships/hyperlink" Target="http://www.sunriseacademytx.com" TargetMode="External"/><Relationship Id="rId370" Type="http://schemas.openxmlformats.org/officeDocument/2006/relationships/hyperlink" Target="http://pic.twitter.com/C5PPCLusjL" TargetMode="External"/><Relationship Id="rId369" Type="http://schemas.openxmlformats.org/officeDocument/2006/relationships/hyperlink" Target="http://bit.ly/2jit0Ch" TargetMode="External"/><Relationship Id="rId368" Type="http://schemas.openxmlformats.org/officeDocument/2006/relationships/hyperlink" Target="https://medium.com/@yaelwolfe" TargetMode="External"/><Relationship Id="rId2280" Type="http://schemas.openxmlformats.org/officeDocument/2006/relationships/hyperlink" Target="https://diffusingthetension.com/follow-me/" TargetMode="External"/><Relationship Id="rId2281" Type="http://schemas.openxmlformats.org/officeDocument/2006/relationships/hyperlink" Target="https://pbs.twimg.com/media/EOkn5oXX4AUejD_.jpg" TargetMode="External"/><Relationship Id="rId2282" Type="http://schemas.openxmlformats.org/officeDocument/2006/relationships/hyperlink" Target="http://500px.com/dowlingnfl" TargetMode="External"/><Relationship Id="rId363" Type="http://schemas.openxmlformats.org/officeDocument/2006/relationships/hyperlink" Target="http://www.instagram.com/iamnottomgreen" TargetMode="External"/><Relationship Id="rId2283" Type="http://schemas.openxmlformats.org/officeDocument/2006/relationships/hyperlink" Target="http://bit.ly/387DjBA" TargetMode="External"/><Relationship Id="rId362" Type="http://schemas.openxmlformats.org/officeDocument/2006/relationships/hyperlink" Target="http://blurredthoughts.net" TargetMode="External"/><Relationship Id="rId2284" Type="http://schemas.openxmlformats.org/officeDocument/2006/relationships/hyperlink" Target="https://www.talkspace.com/" TargetMode="External"/><Relationship Id="rId361" Type="http://schemas.openxmlformats.org/officeDocument/2006/relationships/hyperlink" Target="http://instagram.com/shaka.brown" TargetMode="External"/><Relationship Id="rId2285" Type="http://schemas.openxmlformats.org/officeDocument/2006/relationships/hyperlink" Target="https://pbs.twimg.com/media/EOknkxwXUAArhQw.jpg" TargetMode="External"/><Relationship Id="rId360" Type="http://schemas.openxmlformats.org/officeDocument/2006/relationships/hyperlink" Target="http://instagram.com/shaka.brown" TargetMode="External"/><Relationship Id="rId2286" Type="http://schemas.openxmlformats.org/officeDocument/2006/relationships/hyperlink" Target="http://www.tandemmediausa.com" TargetMode="External"/><Relationship Id="rId367" Type="http://schemas.openxmlformats.org/officeDocument/2006/relationships/hyperlink" Target="https://medium.com/wilder-with-yael-wolfe/let-the-light-in-bfb24b3fc881?source=friends_link&amp;sk=b822b9f0a14181d64f762c1d2bad3c14" TargetMode="External"/><Relationship Id="rId2287" Type="http://schemas.openxmlformats.org/officeDocument/2006/relationships/hyperlink" Target="https://youtu.be/3SJ_ETaxo9c" TargetMode="External"/><Relationship Id="rId366" Type="http://schemas.openxmlformats.org/officeDocument/2006/relationships/hyperlink" Target="https://twitchy.com/brettt-3136/2020/01/18/and-the-rapist-is-you-protesters-perform-global-feminist-anthem-a-rapist-in-your-path-during-womensmarch2020/" TargetMode="External"/><Relationship Id="rId2288" Type="http://schemas.openxmlformats.org/officeDocument/2006/relationships/hyperlink" Target="http://www.twitch.tv/vamproy" TargetMode="External"/><Relationship Id="rId365" Type="http://schemas.openxmlformats.org/officeDocument/2006/relationships/hyperlink" Target="http://pic.twitter.com/m9gotgsQJp" TargetMode="External"/><Relationship Id="rId2289" Type="http://schemas.openxmlformats.org/officeDocument/2006/relationships/hyperlink" Target="http://www.sicknotweak.com" TargetMode="External"/><Relationship Id="rId364" Type="http://schemas.openxmlformats.org/officeDocument/2006/relationships/hyperlink" Target="https://www.gofundme.com/f/send-me-to-spine-week-to-talk-about-mental-health?utm_source=customer&amp;utm_medium=copy_link&amp;utm_campaign=p_cf+share-flow-1&amp;fbclid=IwAR25Ox0w9Ky3ENJsYA_V7gwGD2WBsTxelnr4w9lYKwo12ZxmssSC3d3qU28" TargetMode="External"/><Relationship Id="rId95" Type="http://schemas.openxmlformats.org/officeDocument/2006/relationships/hyperlink" Target="https://buff.ly/2RDO5I3" TargetMode="External"/><Relationship Id="rId94" Type="http://schemas.openxmlformats.org/officeDocument/2006/relationships/hyperlink" Target="https://pbs.twimg.com/media/EOnFW41XUAA9bQ8.jpg" TargetMode="External"/><Relationship Id="rId97" Type="http://schemas.openxmlformats.org/officeDocument/2006/relationships/hyperlink" Target="http://sarahgeringer.com" TargetMode="External"/><Relationship Id="rId96" Type="http://schemas.openxmlformats.org/officeDocument/2006/relationships/hyperlink" Target="https://pbs.twimg.com/media/EOnFbt6XUAEBwE3.jpg" TargetMode="External"/><Relationship Id="rId99" Type="http://schemas.openxmlformats.org/officeDocument/2006/relationships/hyperlink" Target="https://pbs.twimg.com/media/EOnFbmLXUAAenMw.jpg" TargetMode="External"/><Relationship Id="rId98" Type="http://schemas.openxmlformats.org/officeDocument/2006/relationships/hyperlink" Target="https://app.wysa.io/install" TargetMode="External"/><Relationship Id="rId91" Type="http://schemas.openxmlformats.org/officeDocument/2006/relationships/hyperlink" Target="http://www.carvemypath.org" TargetMode="External"/><Relationship Id="rId90" Type="http://schemas.openxmlformats.org/officeDocument/2006/relationships/hyperlink" Target="http://www.sexybrilliant.com" TargetMode="External"/><Relationship Id="rId93" Type="http://schemas.openxmlformats.org/officeDocument/2006/relationships/hyperlink" Target="https://m.facebook.com/BellMarkets4U/" TargetMode="External"/><Relationship Id="rId92" Type="http://schemas.openxmlformats.org/officeDocument/2006/relationships/hyperlink" Target="https://uj3wgtpbr0cyh5phmeatug.now9.site" TargetMode="External"/><Relationship Id="rId359" Type="http://schemas.openxmlformats.org/officeDocument/2006/relationships/hyperlink" Target="http://simplyalvin.wordpress.com" TargetMode="External"/><Relationship Id="rId358" Type="http://schemas.openxmlformats.org/officeDocument/2006/relationships/hyperlink" Target="https://pbs.twimg.com/media/EOmZdeyWsAE5mmZ.png" TargetMode="External"/><Relationship Id="rId357" Type="http://schemas.openxmlformats.org/officeDocument/2006/relationships/hyperlink" Target="http://bit.ly/2Ov0Ov6" TargetMode="External"/><Relationship Id="rId2270" Type="http://schemas.openxmlformats.org/officeDocument/2006/relationships/hyperlink" Target="https://humanperformancepsychology.com/2020/01/03/what-to-do-when-therapy-does-not-work/" TargetMode="External"/><Relationship Id="rId2271" Type="http://schemas.openxmlformats.org/officeDocument/2006/relationships/hyperlink" Target="https://jarrodsdiary.home.blog/" TargetMode="External"/><Relationship Id="rId352" Type="http://schemas.openxmlformats.org/officeDocument/2006/relationships/hyperlink" Target="https://thebillericaycounsellor.com" TargetMode="External"/><Relationship Id="rId2272" Type="http://schemas.openxmlformats.org/officeDocument/2006/relationships/hyperlink" Target="https://pbs.twimg.com/media/EOkoJgpXsAApUDw.jpg" TargetMode="External"/><Relationship Id="rId351" Type="http://schemas.openxmlformats.org/officeDocument/2006/relationships/hyperlink" Target="https://pbs.twimg.com/media/EOmjMfvWAAE5YM1.jpg" TargetMode="External"/><Relationship Id="rId2273" Type="http://schemas.openxmlformats.org/officeDocument/2006/relationships/hyperlink" Target="http://www.nomoremartyrs.org" TargetMode="External"/><Relationship Id="rId350" Type="http://schemas.openxmlformats.org/officeDocument/2006/relationships/hyperlink" Target="http://www.thebillericaycounsellor.com" TargetMode="External"/><Relationship Id="rId2274" Type="http://schemas.openxmlformats.org/officeDocument/2006/relationships/hyperlink" Target="https://twitter.com/KamalaHarris/status/1218192072819298304" TargetMode="External"/><Relationship Id="rId2275" Type="http://schemas.openxmlformats.org/officeDocument/2006/relationships/hyperlink" Target="https://pbs.twimg.com/media/EOa0GWzW4AAOuLZ.jpg" TargetMode="External"/><Relationship Id="rId356" Type="http://schemas.openxmlformats.org/officeDocument/2006/relationships/hyperlink" Target="http://bit.ly/2t1xzdt" TargetMode="External"/><Relationship Id="rId2276" Type="http://schemas.openxmlformats.org/officeDocument/2006/relationships/hyperlink" Target="http://www.innopsych.com" TargetMode="External"/><Relationship Id="rId355" Type="http://schemas.openxmlformats.org/officeDocument/2006/relationships/hyperlink" Target="http://www.actofliving.com.au" TargetMode="External"/><Relationship Id="rId2277" Type="http://schemas.openxmlformats.org/officeDocument/2006/relationships/hyperlink" Target="https://pbs.twimg.com/media/EOkoDpEW4AAidQz.jpg" TargetMode="External"/><Relationship Id="rId354" Type="http://schemas.openxmlformats.org/officeDocument/2006/relationships/hyperlink" Target="https://pbs.twimg.com/media/EOmjGKMXsAQ8Vqc.jpg" TargetMode="External"/><Relationship Id="rId2278" Type="http://schemas.openxmlformats.org/officeDocument/2006/relationships/hyperlink" Target="http://www.compassionatecuppa.co.uk" TargetMode="External"/><Relationship Id="rId353" Type="http://schemas.openxmlformats.org/officeDocument/2006/relationships/hyperlink" Target="https://buff.ly/2R3xjTc" TargetMode="External"/><Relationship Id="rId2279" Type="http://schemas.openxmlformats.org/officeDocument/2006/relationships/hyperlink" Target="https://tinyurl.com/rmz5elb" TargetMode="External"/><Relationship Id="rId2225" Type="http://schemas.openxmlformats.org/officeDocument/2006/relationships/hyperlink" Target="http://www.motoraty.com" TargetMode="External"/><Relationship Id="rId3557" Type="http://schemas.openxmlformats.org/officeDocument/2006/relationships/hyperlink" Target="https://shopfirstaidproducts.com/mental-health-and-sport-in-ireland/" TargetMode="External"/><Relationship Id="rId2226" Type="http://schemas.openxmlformats.org/officeDocument/2006/relationships/hyperlink" Target="https://thriveglobal.com/stories/how-to-set-healthy-boundaries-with-social-media/" TargetMode="External"/><Relationship Id="rId3556" Type="http://schemas.openxmlformats.org/officeDocument/2006/relationships/hyperlink" Target="http://geni.us/BrokenPlacesP" TargetMode="External"/><Relationship Id="rId2227" Type="http://schemas.openxmlformats.org/officeDocument/2006/relationships/hyperlink" Target="https://buff.ly/2FSVJdc" TargetMode="External"/><Relationship Id="rId3559" Type="http://schemas.openxmlformats.org/officeDocument/2006/relationships/hyperlink" Target="https://shopfirstaidproducts.com/shop-online/" TargetMode="External"/><Relationship Id="rId2228" Type="http://schemas.openxmlformats.org/officeDocument/2006/relationships/hyperlink" Target="https://pbs.twimg.com/media/EOkrKbVX0AIjf_H.png" TargetMode="External"/><Relationship Id="rId3558" Type="http://schemas.openxmlformats.org/officeDocument/2006/relationships/hyperlink" Target="https://pbs.twimg.com/media/EOjGPAFWoAA7vf5.jpg" TargetMode="External"/><Relationship Id="rId2229" Type="http://schemas.openxmlformats.org/officeDocument/2006/relationships/hyperlink" Target="http://edimprovement.org" TargetMode="External"/><Relationship Id="rId305" Type="http://schemas.openxmlformats.org/officeDocument/2006/relationships/hyperlink" Target="https://www.youtube.com/channel/UCed9gAtAMokyqyj1hFbVufQ" TargetMode="External"/><Relationship Id="rId304" Type="http://schemas.openxmlformats.org/officeDocument/2006/relationships/hyperlink" Target="https://pbs.twimg.com/media/EOmnWFZWAAAbu9a.jpg" TargetMode="External"/><Relationship Id="rId303" Type="http://schemas.openxmlformats.org/officeDocument/2006/relationships/hyperlink" Target="http://www.lapsychedelicevents.com" TargetMode="External"/><Relationship Id="rId302" Type="http://schemas.openxmlformats.org/officeDocument/2006/relationships/hyperlink" Target="https://www.benzinga.com/markets/cannabis/20/01/15126141/compass-pathways-obtains-patent-for-psilocybin-depression-treatment" TargetMode="External"/><Relationship Id="rId309" Type="http://schemas.openxmlformats.org/officeDocument/2006/relationships/hyperlink" Target="https://kingsumo.com/g/9agctd/giveaway-january-2020/m27d4j7" TargetMode="External"/><Relationship Id="rId308" Type="http://schemas.openxmlformats.org/officeDocument/2006/relationships/hyperlink" Target="https://cheofoundation.donordrive.com/index.cfm?fuseaction=donorDrive.event&amp;eventID=633" TargetMode="External"/><Relationship Id="rId307" Type="http://schemas.openxmlformats.org/officeDocument/2006/relationships/hyperlink" Target="https://pbs.twimg.com/media/EOmm9JnX4AARD6C.jpg" TargetMode="External"/><Relationship Id="rId306" Type="http://schemas.openxmlformats.org/officeDocument/2006/relationships/hyperlink" Target="http://pic.twitter.com/voBLyvKKM6" TargetMode="External"/><Relationship Id="rId3551" Type="http://schemas.openxmlformats.org/officeDocument/2006/relationships/hyperlink" Target="https://www.instagram.com/thehashtag.in" TargetMode="External"/><Relationship Id="rId2220" Type="http://schemas.openxmlformats.org/officeDocument/2006/relationships/hyperlink" Target="http://eds.org.uk/health-and-wellbeing-services" TargetMode="External"/><Relationship Id="rId3550" Type="http://schemas.openxmlformats.org/officeDocument/2006/relationships/hyperlink" Target="https://www.instagram.com/p/B7dBceqHYYy/?igshid=31t24lg2zug6" TargetMode="External"/><Relationship Id="rId301" Type="http://schemas.openxmlformats.org/officeDocument/2006/relationships/hyperlink" Target="http://www.dreampositive.info/" TargetMode="External"/><Relationship Id="rId2221" Type="http://schemas.openxmlformats.org/officeDocument/2006/relationships/hyperlink" Target="https://pbs.twimg.com/media/EOkrY2nWkAQmGCg.png" TargetMode="External"/><Relationship Id="rId3553" Type="http://schemas.openxmlformats.org/officeDocument/2006/relationships/hyperlink" Target="https://m.facebook.com/story.php?story_fbid=10157962229173899&amp;id=615768898" TargetMode="External"/><Relationship Id="rId300" Type="http://schemas.openxmlformats.org/officeDocument/2006/relationships/hyperlink" Target="http://psy.pub/teenage-suicide" TargetMode="External"/><Relationship Id="rId2222" Type="http://schemas.openxmlformats.org/officeDocument/2006/relationships/hyperlink" Target="https://www.leedsccg.nhs.uk/" TargetMode="External"/><Relationship Id="rId3552" Type="http://schemas.openxmlformats.org/officeDocument/2006/relationships/hyperlink" Target="http://justagirl.emyspot.com/" TargetMode="External"/><Relationship Id="rId2223" Type="http://schemas.openxmlformats.org/officeDocument/2006/relationships/hyperlink" Target="https://pbs.twimg.com/media/EOkrOkyUwAEkQUk.jpg" TargetMode="External"/><Relationship Id="rId3555" Type="http://schemas.openxmlformats.org/officeDocument/2006/relationships/hyperlink" Target="https://pbs.twimg.com/media/EOjGPQTXUAALOtH.jpg" TargetMode="External"/><Relationship Id="rId2224" Type="http://schemas.openxmlformats.org/officeDocument/2006/relationships/hyperlink" Target="https://pbs.twimg.com/media/EOkrL2YWoAYA4e9.jpg" TargetMode="External"/><Relationship Id="rId3554" Type="http://schemas.openxmlformats.org/officeDocument/2006/relationships/hyperlink" Target="https://www.positive.news/environment/hope-100-four-projects-cleaning-up-ocean-plastic/" TargetMode="External"/><Relationship Id="rId2214" Type="http://schemas.openxmlformats.org/officeDocument/2006/relationships/hyperlink" Target="https://medium.com/@djemal.ua" TargetMode="External"/><Relationship Id="rId3546" Type="http://schemas.openxmlformats.org/officeDocument/2006/relationships/hyperlink" Target="http://www.solentmind.org.uk" TargetMode="External"/><Relationship Id="rId2215" Type="http://schemas.openxmlformats.org/officeDocument/2006/relationships/hyperlink" Target="https://pbs.twimg.com/media/EOkrfXJWAAE_-51.jpg" TargetMode="External"/><Relationship Id="rId3545" Type="http://schemas.openxmlformats.org/officeDocument/2006/relationships/hyperlink" Target="https://pbs.twimg.com/media/EOjHmPvXUAAIJIc.jpg" TargetMode="External"/><Relationship Id="rId2216" Type="http://schemas.openxmlformats.org/officeDocument/2006/relationships/hyperlink" Target="http://www.searchingforsolidfooting.com" TargetMode="External"/><Relationship Id="rId3548" Type="http://schemas.openxmlformats.org/officeDocument/2006/relationships/hyperlink" Target="http://mymentalhealthsecret.com" TargetMode="External"/><Relationship Id="rId2217" Type="http://schemas.openxmlformats.org/officeDocument/2006/relationships/hyperlink" Target="http://bit.ly/38bzg7g" TargetMode="External"/><Relationship Id="rId3547" Type="http://schemas.openxmlformats.org/officeDocument/2006/relationships/hyperlink" Target="https://ift.tt/1jZSDau" TargetMode="External"/><Relationship Id="rId2218" Type="http://schemas.openxmlformats.org/officeDocument/2006/relationships/hyperlink" Target="http://humanresources.vermont.gov/careers" TargetMode="External"/><Relationship Id="rId2219" Type="http://schemas.openxmlformats.org/officeDocument/2006/relationships/hyperlink" Target="https://facebook.com/groups/ketohelpline" TargetMode="External"/><Relationship Id="rId3549" Type="http://schemas.openxmlformats.org/officeDocument/2006/relationships/hyperlink" Target="http://clickmarkets.in" TargetMode="External"/><Relationship Id="rId3540" Type="http://schemas.openxmlformats.org/officeDocument/2006/relationships/hyperlink" Target="https://www.kategrosvenor.com" TargetMode="External"/><Relationship Id="rId2210" Type="http://schemas.openxmlformats.org/officeDocument/2006/relationships/hyperlink" Target="https://jarrodsdiary.home.blog/" TargetMode="External"/><Relationship Id="rId3542" Type="http://schemas.openxmlformats.org/officeDocument/2006/relationships/hyperlink" Target="http://bit.ly/2TDYxCX" TargetMode="External"/><Relationship Id="rId2211" Type="http://schemas.openxmlformats.org/officeDocument/2006/relationships/hyperlink" Target="https://www.theglobeandmail.com/canada/article-half-of-canadians-have-too-few-local-psychiatrists-or-none-at-all/" TargetMode="External"/><Relationship Id="rId3541" Type="http://schemas.openxmlformats.org/officeDocument/2006/relationships/hyperlink" Target="https://pbs.twimg.com/media/EOjHp-TXUAEAvNA.jpg" TargetMode="External"/><Relationship Id="rId2212" Type="http://schemas.openxmlformats.org/officeDocument/2006/relationships/hyperlink" Target="http://www.javeedsukhera.com" TargetMode="External"/><Relationship Id="rId3544" Type="http://schemas.openxmlformats.org/officeDocument/2006/relationships/hyperlink" Target="http://zenforcevets.carrd.co" TargetMode="External"/><Relationship Id="rId2213" Type="http://schemas.openxmlformats.org/officeDocument/2006/relationships/hyperlink" Target="https://link.medium.com/82VCsL8si3" TargetMode="External"/><Relationship Id="rId3543" Type="http://schemas.openxmlformats.org/officeDocument/2006/relationships/hyperlink" Target="http://zenforcevets.tumblr.com" TargetMode="External"/><Relationship Id="rId2247" Type="http://schemas.openxmlformats.org/officeDocument/2006/relationships/hyperlink" Target="https://pbs.twimg.com/media/EOkpxm8XsAEAir9.jpg" TargetMode="External"/><Relationship Id="rId3579" Type="http://schemas.openxmlformats.org/officeDocument/2006/relationships/hyperlink" Target="http://pic.twitter.com/efwPYBqfeu" TargetMode="External"/><Relationship Id="rId2248" Type="http://schemas.openxmlformats.org/officeDocument/2006/relationships/hyperlink" Target="https://www.health.org.uk/" TargetMode="External"/><Relationship Id="rId3578" Type="http://schemas.openxmlformats.org/officeDocument/2006/relationships/hyperlink" Target="https://linktr.ee/dshorbauthor" TargetMode="External"/><Relationship Id="rId2249" Type="http://schemas.openxmlformats.org/officeDocument/2006/relationships/hyperlink" Target="https://pbs.twimg.com/media/EOkpr4nX0AAZYsq.jpg" TargetMode="External"/><Relationship Id="rId327" Type="http://schemas.openxmlformats.org/officeDocument/2006/relationships/hyperlink" Target="http://www.lupusla.org" TargetMode="External"/><Relationship Id="rId326" Type="http://schemas.openxmlformats.org/officeDocument/2006/relationships/hyperlink" Target="http://pic.twitter.com/DFoFaAb5n3" TargetMode="External"/><Relationship Id="rId325" Type="http://schemas.openxmlformats.org/officeDocument/2006/relationships/hyperlink" Target="http://bit.ly/3anQ7Ws" TargetMode="External"/><Relationship Id="rId324" Type="http://schemas.openxmlformats.org/officeDocument/2006/relationships/hyperlink" Target="http://thedepressionfiles.com" TargetMode="External"/><Relationship Id="rId329" Type="http://schemas.openxmlformats.org/officeDocument/2006/relationships/hyperlink" Target="https://pbs.twimg.com/media/EOmkk-uU4AA8zt2.jpg" TargetMode="External"/><Relationship Id="rId328" Type="http://schemas.openxmlformats.org/officeDocument/2006/relationships/hyperlink" Target="https://namica.org/tax-return/" TargetMode="External"/><Relationship Id="rId3571" Type="http://schemas.openxmlformats.org/officeDocument/2006/relationships/hyperlink" Target="https://buff.ly/2LxfICT" TargetMode="External"/><Relationship Id="rId2240" Type="http://schemas.openxmlformats.org/officeDocument/2006/relationships/hyperlink" Target="https://pbs.twimg.com/media/EOkqXv6X0AADBXR.jpg" TargetMode="External"/><Relationship Id="rId3570" Type="http://schemas.openxmlformats.org/officeDocument/2006/relationships/hyperlink" Target="http://www.sunriseacademytx.com" TargetMode="External"/><Relationship Id="rId2241" Type="http://schemas.openxmlformats.org/officeDocument/2006/relationships/hyperlink" Target="https://twitter.com/lucyashurst1/status/1146668929655246848" TargetMode="External"/><Relationship Id="rId3573" Type="http://schemas.openxmlformats.org/officeDocument/2006/relationships/hyperlink" Target="https://depressionmuse.wordpress.com" TargetMode="External"/><Relationship Id="rId2242" Type="http://schemas.openxmlformats.org/officeDocument/2006/relationships/hyperlink" Target="https://pbs.twimg.com/media/EOkqNAOXsAUu-sO.png" TargetMode="External"/><Relationship Id="rId3572" Type="http://schemas.openxmlformats.org/officeDocument/2006/relationships/hyperlink" Target="http://www.achronicvoice.com" TargetMode="External"/><Relationship Id="rId323" Type="http://schemas.openxmlformats.org/officeDocument/2006/relationships/hyperlink" Target="http://pic.twitter.com/W4KbJc6xC7" TargetMode="External"/><Relationship Id="rId2243" Type="http://schemas.openxmlformats.org/officeDocument/2006/relationships/hyperlink" Target="https://linktr.ee/finntheinfinncible" TargetMode="External"/><Relationship Id="rId3575" Type="http://schemas.openxmlformats.org/officeDocument/2006/relationships/hyperlink" Target="https://www.time-to-change.org.uk/node/101508" TargetMode="External"/><Relationship Id="rId322" Type="http://schemas.openxmlformats.org/officeDocument/2006/relationships/hyperlink" Target="http://bit.ly/2q6NdNr" TargetMode="External"/><Relationship Id="rId2244" Type="http://schemas.openxmlformats.org/officeDocument/2006/relationships/hyperlink" Target="http://bpn.fm/ttp" TargetMode="External"/><Relationship Id="rId3574" Type="http://schemas.openxmlformats.org/officeDocument/2006/relationships/hyperlink" Target="http://www.bbc.co.uk/iplayer/episode/m000df09" TargetMode="External"/><Relationship Id="rId321" Type="http://schemas.openxmlformats.org/officeDocument/2006/relationships/hyperlink" Target="http://instagram.com/shaka.brown" TargetMode="External"/><Relationship Id="rId2245" Type="http://schemas.openxmlformats.org/officeDocument/2006/relationships/hyperlink" Target="https://pbs.twimg.com/media/EOkp9epXUAILVV-.jpg" TargetMode="External"/><Relationship Id="rId3577" Type="http://schemas.openxmlformats.org/officeDocument/2006/relationships/hyperlink" Target="https://www.lnk.xyz/r1BbKs2lL?aduc=dCmaQ321579333347553" TargetMode="External"/><Relationship Id="rId320" Type="http://schemas.openxmlformats.org/officeDocument/2006/relationships/hyperlink" Target="https://youtu.be/YkKrWCLdZhA" TargetMode="External"/><Relationship Id="rId2246" Type="http://schemas.openxmlformats.org/officeDocument/2006/relationships/hyperlink" Target="http://thetheatrepodcast.com" TargetMode="External"/><Relationship Id="rId3576" Type="http://schemas.openxmlformats.org/officeDocument/2006/relationships/hyperlink" Target="https://twitter.com/BofA_News/status/1218348160965320707" TargetMode="External"/><Relationship Id="rId2236" Type="http://schemas.openxmlformats.org/officeDocument/2006/relationships/hyperlink" Target="https://pbs.twimg.com/media/EOkqt0YWAAIf1KH.png" TargetMode="External"/><Relationship Id="rId3568" Type="http://schemas.openxmlformats.org/officeDocument/2006/relationships/hyperlink" Target="https://pbs.twimg.com/media/EOjENcLXUAAWT-X.jpg" TargetMode="External"/><Relationship Id="rId2237" Type="http://schemas.openxmlformats.org/officeDocument/2006/relationships/hyperlink" Target="https://bslm.org.uk/event/movement-the-mind/" TargetMode="External"/><Relationship Id="rId3567" Type="http://schemas.openxmlformats.org/officeDocument/2006/relationships/hyperlink" Target="http://bbc.co.uk/iplayer/episode/m000df09" TargetMode="External"/><Relationship Id="rId2238" Type="http://schemas.openxmlformats.org/officeDocument/2006/relationships/hyperlink" Target="http://pic.twitter.com/3a9ElO1ViS" TargetMode="External"/><Relationship Id="rId2239" Type="http://schemas.openxmlformats.org/officeDocument/2006/relationships/hyperlink" Target="http://www.bindingink.blogspot.com/" TargetMode="External"/><Relationship Id="rId3569" Type="http://schemas.openxmlformats.org/officeDocument/2006/relationships/hyperlink" Target="https://www.time-to-change.org.uk/node/101508" TargetMode="External"/><Relationship Id="rId316" Type="http://schemas.openxmlformats.org/officeDocument/2006/relationships/hyperlink" Target="http://www.recoverycartel.com" TargetMode="External"/><Relationship Id="rId315" Type="http://schemas.openxmlformats.org/officeDocument/2006/relationships/hyperlink" Target="https://link.medium.com/eC6yBp0um3" TargetMode="External"/><Relationship Id="rId314" Type="http://schemas.openxmlformats.org/officeDocument/2006/relationships/hyperlink" Target="https://authorcheriewhite.com/" TargetMode="External"/><Relationship Id="rId313" Type="http://schemas.openxmlformats.org/officeDocument/2006/relationships/hyperlink" Target="https://cheriewhite.blog/2020/01/19/cyber-bullies-cyber-stalkers-and-trolls-should-we-take-them-so-seriously/" TargetMode="External"/><Relationship Id="rId319" Type="http://schemas.openxmlformats.org/officeDocument/2006/relationships/hyperlink" Target="https://pbs.twimg.com/media/EOmk-RHW4AEMXxd.jpg" TargetMode="External"/><Relationship Id="rId318" Type="http://schemas.openxmlformats.org/officeDocument/2006/relationships/hyperlink" Target="http://pic.twitter.com/JKQ7xHawAr" TargetMode="External"/><Relationship Id="rId317" Type="http://schemas.openxmlformats.org/officeDocument/2006/relationships/hyperlink" Target="http://mentalsnapback.com" TargetMode="External"/><Relationship Id="rId3560" Type="http://schemas.openxmlformats.org/officeDocument/2006/relationships/hyperlink" Target="http://www.thesecretpsychiatrist.com" TargetMode="External"/><Relationship Id="rId2230" Type="http://schemas.openxmlformats.org/officeDocument/2006/relationships/hyperlink" Target="https://buff.ly/2sywutv" TargetMode="External"/><Relationship Id="rId3562" Type="http://schemas.openxmlformats.org/officeDocument/2006/relationships/hyperlink" Target="http://www.mcrn.org.au" TargetMode="External"/><Relationship Id="rId2231" Type="http://schemas.openxmlformats.org/officeDocument/2006/relationships/hyperlink" Target="https://pbs.twimg.com/media/EOkq9BxX4AEGd2V.jpg" TargetMode="External"/><Relationship Id="rId3561" Type="http://schemas.openxmlformats.org/officeDocument/2006/relationships/hyperlink" Target="https://pbs.twimg.com/media/EOjGI6pX0AAedh7.jpg" TargetMode="External"/><Relationship Id="rId312" Type="http://schemas.openxmlformats.org/officeDocument/2006/relationships/hyperlink" Target="https://pdmstrong.wordpress.com" TargetMode="External"/><Relationship Id="rId2232" Type="http://schemas.openxmlformats.org/officeDocument/2006/relationships/hyperlink" Target="http://rangewriter.wordpress.com" TargetMode="External"/><Relationship Id="rId3564" Type="http://schemas.openxmlformats.org/officeDocument/2006/relationships/hyperlink" Target="https://pbs.twimg.com/media/EOjEWmlWoAAmXtV.jpg" TargetMode="External"/><Relationship Id="rId311" Type="http://schemas.openxmlformats.org/officeDocument/2006/relationships/hyperlink" Target="https://pdmstrong.wordpress.com" TargetMode="External"/><Relationship Id="rId2233" Type="http://schemas.openxmlformats.org/officeDocument/2006/relationships/hyperlink" Target="http://www.nineteaching.com" TargetMode="External"/><Relationship Id="rId3563" Type="http://schemas.openxmlformats.org/officeDocument/2006/relationships/hyperlink" Target="https://pbs.twimg.com/media/EOjD_b3VUAE6x7x.jpg" TargetMode="External"/><Relationship Id="rId310" Type="http://schemas.openxmlformats.org/officeDocument/2006/relationships/hyperlink" Target="https://www.facebook.com/mike.bratek?ref=tn_tnmn" TargetMode="External"/><Relationship Id="rId2234" Type="http://schemas.openxmlformats.org/officeDocument/2006/relationships/hyperlink" Target="https://pbs.twimg.com/media/EOkque4X0AU6xXX.jpg" TargetMode="External"/><Relationship Id="rId3566" Type="http://schemas.openxmlformats.org/officeDocument/2006/relationships/hyperlink" Target="https://www.instagram.com/lumaatic/" TargetMode="External"/><Relationship Id="rId2235" Type="http://schemas.openxmlformats.org/officeDocument/2006/relationships/hyperlink" Target="http://www.nicolaforshaw.com" TargetMode="External"/><Relationship Id="rId3565" Type="http://schemas.openxmlformats.org/officeDocument/2006/relationships/hyperlink" Target="http://psychaidconsult.com" TargetMode="External"/><Relationship Id="rId297" Type="http://schemas.openxmlformats.org/officeDocument/2006/relationships/hyperlink" Target="http://www.consultinghealth.com/when-is-it-time-to-stop-therapy/" TargetMode="External"/><Relationship Id="rId296" Type="http://schemas.openxmlformats.org/officeDocument/2006/relationships/hyperlink" Target="https://www.linkedin.com/in/vigoldenberg/" TargetMode="External"/><Relationship Id="rId295" Type="http://schemas.openxmlformats.org/officeDocument/2006/relationships/hyperlink" Target="https://pbs.twimg.com/media/EOmofXFU0AAfqnO.jpg" TargetMode="External"/><Relationship Id="rId294" Type="http://schemas.openxmlformats.org/officeDocument/2006/relationships/hyperlink" Target="https://www.instagram.com/goldenberg_therapy/" TargetMode="External"/><Relationship Id="rId299" Type="http://schemas.openxmlformats.org/officeDocument/2006/relationships/hyperlink" Target="https://streamerlinks.com/v00deaux" TargetMode="External"/><Relationship Id="rId298" Type="http://schemas.openxmlformats.org/officeDocument/2006/relationships/hyperlink" Target="http://www.dreampositive.info" TargetMode="External"/><Relationship Id="rId4008" Type="http://schemas.openxmlformats.org/officeDocument/2006/relationships/hyperlink" Target="https://www.instagram.com/p/B7cfOAkAPmE/?igshid=pzz3yyj9z4tk" TargetMode="External"/><Relationship Id="rId4007" Type="http://schemas.openxmlformats.org/officeDocument/2006/relationships/hyperlink" Target="http://brianhgill.com/" TargetMode="External"/><Relationship Id="rId4009" Type="http://schemas.openxmlformats.org/officeDocument/2006/relationships/hyperlink" Target="http://www.soundcloud.com/prodigyforever" TargetMode="External"/><Relationship Id="rId271" Type="http://schemas.openxmlformats.org/officeDocument/2006/relationships/hyperlink" Target="https://hubpages.com/health/The-War-on-Drugs-is-A-War-on-Mental-Health-LSD" TargetMode="External"/><Relationship Id="rId270" Type="http://schemas.openxmlformats.org/officeDocument/2006/relationships/hyperlink" Target="https://www.instagram.com/p/B7ezWUtHKEk/?igshid=vp3607absv2b" TargetMode="External"/><Relationship Id="rId269" Type="http://schemas.openxmlformats.org/officeDocument/2006/relationships/hyperlink" Target="http://shainalovesmilwaukee.blogspot.com/?m=1" TargetMode="External"/><Relationship Id="rId264" Type="http://schemas.openxmlformats.org/officeDocument/2006/relationships/hyperlink" Target="http://www.sunriseacademytx.com" TargetMode="External"/><Relationship Id="rId4000" Type="http://schemas.openxmlformats.org/officeDocument/2006/relationships/hyperlink" Target="http://www.imdb.me/lainimoreno" TargetMode="External"/><Relationship Id="rId263" Type="http://schemas.openxmlformats.org/officeDocument/2006/relationships/hyperlink" Target="https://pbs.twimg.com/media/EOmrhiFX4A4kQnz.jpg" TargetMode="External"/><Relationship Id="rId262" Type="http://schemas.openxmlformats.org/officeDocument/2006/relationships/hyperlink" Target="https://pbs.twimg.com/media/EOmsB_GVAAAzK0b.jpg" TargetMode="External"/><Relationship Id="rId4002" Type="http://schemas.openxmlformats.org/officeDocument/2006/relationships/hyperlink" Target="http://www.facebook.com/bulgermedia" TargetMode="External"/><Relationship Id="rId261" Type="http://schemas.openxmlformats.org/officeDocument/2006/relationships/hyperlink" Target="https://buff.ly/2Rao59j" TargetMode="External"/><Relationship Id="rId4001" Type="http://schemas.openxmlformats.org/officeDocument/2006/relationships/hyperlink" Target="https://paper.li/e-1513738567?edition_id=c6f4a800-399e-11ea-a278-0cc47a0d1605" TargetMode="External"/><Relationship Id="rId268" Type="http://schemas.openxmlformats.org/officeDocument/2006/relationships/hyperlink" Target="http://www.lapsychedelicevents.com" TargetMode="External"/><Relationship Id="rId4004" Type="http://schemas.openxmlformats.org/officeDocument/2006/relationships/hyperlink" Target="https://pbs.twimg.com/media/EOiCu8XXsAAkodO.jpg" TargetMode="External"/><Relationship Id="rId267" Type="http://schemas.openxmlformats.org/officeDocument/2006/relationships/hyperlink" Target="https://link.springer.com/article/10.1007/s00213-019-05445-3" TargetMode="External"/><Relationship Id="rId4003" Type="http://schemas.openxmlformats.org/officeDocument/2006/relationships/hyperlink" Target="http://bit.ly/2RaQrPp" TargetMode="External"/><Relationship Id="rId266" Type="http://schemas.openxmlformats.org/officeDocument/2006/relationships/hyperlink" Target="https://www.raulmoyamula.com/" TargetMode="External"/><Relationship Id="rId4006" Type="http://schemas.openxmlformats.org/officeDocument/2006/relationships/hyperlink" Target="http://ow.ly/YXfY30doMsb" TargetMode="External"/><Relationship Id="rId265" Type="http://schemas.openxmlformats.org/officeDocument/2006/relationships/hyperlink" Target="https://pbs.twimg.com/media/EOmrRqiVAAMgif0.jpg" TargetMode="External"/><Relationship Id="rId4005" Type="http://schemas.openxmlformats.org/officeDocument/2006/relationships/hyperlink" Target="http://www.lifeline.org.au/gethelp" TargetMode="External"/><Relationship Id="rId260" Type="http://schemas.openxmlformats.org/officeDocument/2006/relationships/hyperlink" Target="https://www.facebook.com/robertjesimpson" TargetMode="External"/><Relationship Id="rId259" Type="http://schemas.openxmlformats.org/officeDocument/2006/relationships/hyperlink" Target="https://www.bbc.co.uk/programmes/m000df09" TargetMode="External"/><Relationship Id="rId258" Type="http://schemas.openxmlformats.org/officeDocument/2006/relationships/hyperlink" Target="http://instagram.com/tonys_creatures" TargetMode="External"/><Relationship Id="rId2290" Type="http://schemas.openxmlformats.org/officeDocument/2006/relationships/hyperlink" Target="https://www.lex18.com/news/national/author-hopes-to-tackle-mental-illness-in-african-american-community-with-picture-book" TargetMode="External"/><Relationship Id="rId2291" Type="http://schemas.openxmlformats.org/officeDocument/2006/relationships/hyperlink" Target="http://www.carolmuleta.com" TargetMode="External"/><Relationship Id="rId2292" Type="http://schemas.openxmlformats.org/officeDocument/2006/relationships/hyperlink" Target="http://ow.ly/ZF1t50xWWy0" TargetMode="External"/><Relationship Id="rId2293" Type="http://schemas.openxmlformats.org/officeDocument/2006/relationships/hyperlink" Target="https://pbs.twimg.com/media/EOknxiaXUAApWtn.jpg" TargetMode="External"/><Relationship Id="rId253" Type="http://schemas.openxmlformats.org/officeDocument/2006/relationships/hyperlink" Target="http://totalrecoveryarizona.com/" TargetMode="External"/><Relationship Id="rId2294" Type="http://schemas.openxmlformats.org/officeDocument/2006/relationships/hyperlink" Target="http://www.adhdsnap.com" TargetMode="External"/><Relationship Id="rId252" Type="http://schemas.openxmlformats.org/officeDocument/2006/relationships/hyperlink" Target="http://www.caltalktherapy.com/drjames" TargetMode="External"/><Relationship Id="rId2295" Type="http://schemas.openxmlformats.org/officeDocument/2006/relationships/hyperlink" Target="https://pbs.twimg.com/media/EOknwL7WoAASrgq.jpg" TargetMode="External"/><Relationship Id="rId251" Type="http://schemas.openxmlformats.org/officeDocument/2006/relationships/hyperlink" Target="https://pbs.twimg.com/media/EOmtO3zUUAAgWV2.jpg" TargetMode="External"/><Relationship Id="rId2296" Type="http://schemas.openxmlformats.org/officeDocument/2006/relationships/hyperlink" Target="https://www.ontarioshores.ca/foundation" TargetMode="External"/><Relationship Id="rId250" Type="http://schemas.openxmlformats.org/officeDocument/2006/relationships/hyperlink" Target="http://www.abduldanja.ng.com" TargetMode="External"/><Relationship Id="rId2297" Type="http://schemas.openxmlformats.org/officeDocument/2006/relationships/hyperlink" Target="http://tiny.cc/7wbk8y" TargetMode="External"/><Relationship Id="rId257" Type="http://schemas.openxmlformats.org/officeDocument/2006/relationships/hyperlink" Target="http://www.mymummyreviews.com" TargetMode="External"/><Relationship Id="rId2298" Type="http://schemas.openxmlformats.org/officeDocument/2006/relationships/hyperlink" Target="https://pbs.twimg.com/media/EOkntqNX0AAqekE.jpg" TargetMode="External"/><Relationship Id="rId256" Type="http://schemas.openxmlformats.org/officeDocument/2006/relationships/hyperlink" Target="https://www.linkedin.com/groups/8643596" TargetMode="External"/><Relationship Id="rId2299" Type="http://schemas.openxmlformats.org/officeDocument/2006/relationships/hyperlink" Target="http://www.ktl-ltd.co.uk" TargetMode="External"/><Relationship Id="rId255" Type="http://schemas.openxmlformats.org/officeDocument/2006/relationships/hyperlink" Target="https://pbs.twimg.com/media/EOmoaovUwAA4RMo.jpg" TargetMode="External"/><Relationship Id="rId254" Type="http://schemas.openxmlformats.org/officeDocument/2006/relationships/hyperlink" Target="https://pbs.twimg.com/media/EOms4P3X0AMLEOZ.jpg" TargetMode="External"/><Relationship Id="rId293" Type="http://schemas.openxmlformats.org/officeDocument/2006/relationships/hyperlink" Target="http://hhkeegan.com" TargetMode="External"/><Relationship Id="rId292" Type="http://schemas.openxmlformats.org/officeDocument/2006/relationships/hyperlink" Target="https://pbs.twimg.com/media/EOl62NiWoAUYDOF.jpg" TargetMode="External"/><Relationship Id="rId291" Type="http://schemas.openxmlformats.org/officeDocument/2006/relationships/hyperlink" Target="https://twitter.com/RealJordanSimon/status/1218640249955463168" TargetMode="External"/><Relationship Id="rId290" Type="http://schemas.openxmlformats.org/officeDocument/2006/relationships/hyperlink" Target="http://www.neilwattier.com" TargetMode="External"/><Relationship Id="rId286" Type="http://schemas.openxmlformats.org/officeDocument/2006/relationships/hyperlink" Target="https://www.instagram.com/p/B7eycBoFaJU/?igshid=1j1ewaglc906m" TargetMode="External"/><Relationship Id="rId285" Type="http://schemas.openxmlformats.org/officeDocument/2006/relationships/hyperlink" Target="https://cheofoundation.donordrive.com/index.cfm?fuseaction=donorDrive.event&amp;eventID=633" TargetMode="External"/><Relationship Id="rId284" Type="http://schemas.openxmlformats.org/officeDocument/2006/relationships/hyperlink" Target="https://pbs.twimg.com/media/EOmpV4iUcAIqod9.jpg" TargetMode="External"/><Relationship Id="rId283" Type="http://schemas.openxmlformats.org/officeDocument/2006/relationships/hyperlink" Target="http://www.lapsychedelicevents.com" TargetMode="External"/><Relationship Id="rId289" Type="http://schemas.openxmlformats.org/officeDocument/2006/relationships/hyperlink" Target="http://www.lapsychedelicevents.com" TargetMode="External"/><Relationship Id="rId288" Type="http://schemas.openxmlformats.org/officeDocument/2006/relationships/hyperlink" Target="https://www.refinery29.com/en-gb/2020/01/9172655/psychedelic-therapy-reset-depressed-brain" TargetMode="External"/><Relationship Id="rId287" Type="http://schemas.openxmlformats.org/officeDocument/2006/relationships/hyperlink" Target="http://www.risingtothetopembassy.com" TargetMode="External"/><Relationship Id="rId282" Type="http://schemas.openxmlformats.org/officeDocument/2006/relationships/hyperlink" Target="https://www.scientificamerican.com/article/johns-hopkins-scientists-give-psychedelics-the-serious-treatment/" TargetMode="External"/><Relationship Id="rId281" Type="http://schemas.openxmlformats.org/officeDocument/2006/relationships/hyperlink" Target="https://about.me/weirmark" TargetMode="External"/><Relationship Id="rId280" Type="http://schemas.openxmlformats.org/officeDocument/2006/relationships/hyperlink" Target="http://clearviewwomenscenter.com" TargetMode="External"/><Relationship Id="rId275" Type="http://schemas.openxmlformats.org/officeDocument/2006/relationships/hyperlink" Target="https://pbs.twimg.com/media/EOmqU0DXkAAPxhi.jpg" TargetMode="External"/><Relationship Id="rId274" Type="http://schemas.openxmlformats.org/officeDocument/2006/relationships/hyperlink" Target="https://www.raulmoyamula.com/" TargetMode="External"/><Relationship Id="rId4010" Type="http://schemas.openxmlformats.org/officeDocument/2006/relationships/drawing" Target="../drawings/drawing1.xml"/><Relationship Id="rId273" Type="http://schemas.openxmlformats.org/officeDocument/2006/relationships/hyperlink" Target="https://www.instagram.com/p/B7ezPF6Hksy/?igshid=qy9ds1bqj5rp" TargetMode="External"/><Relationship Id="rId272" Type="http://schemas.openxmlformats.org/officeDocument/2006/relationships/hyperlink" Target="http://www.lapsychedelicevents.com" TargetMode="External"/><Relationship Id="rId4012" Type="http://schemas.openxmlformats.org/officeDocument/2006/relationships/table" Target="../tables/table1.xml"/><Relationship Id="rId279" Type="http://schemas.openxmlformats.org/officeDocument/2006/relationships/hyperlink" Target="https://bit.ly/2R44zeF" TargetMode="External"/><Relationship Id="rId278" Type="http://schemas.openxmlformats.org/officeDocument/2006/relationships/hyperlink" Target="https://linkin.bio/dandeelion1" TargetMode="External"/><Relationship Id="rId277" Type="http://schemas.openxmlformats.org/officeDocument/2006/relationships/hyperlink" Target="https://m.barnesandnoble.com/w/shattered-denise-byers/1130759105" TargetMode="External"/><Relationship Id="rId276" Type="http://schemas.openxmlformats.org/officeDocument/2006/relationships/hyperlink" Target="http://www.mentallyfit.com" TargetMode="External"/><Relationship Id="rId1851" Type="http://schemas.openxmlformats.org/officeDocument/2006/relationships/hyperlink" Target="https://pbs.twimg.com/media/EOlDNJBX4AAqE56.jpg" TargetMode="External"/><Relationship Id="rId1852" Type="http://schemas.openxmlformats.org/officeDocument/2006/relationships/hyperlink" Target="http://www.motoraty.com" TargetMode="External"/><Relationship Id="rId1853" Type="http://schemas.openxmlformats.org/officeDocument/2006/relationships/hyperlink" Target="http://ow.ly/PAVJ50xWdhX" TargetMode="External"/><Relationship Id="rId1854" Type="http://schemas.openxmlformats.org/officeDocument/2006/relationships/hyperlink" Target="https://pbs.twimg.com/media/EOlDLAdXsAA_mXl.jpg" TargetMode="External"/><Relationship Id="rId1855" Type="http://schemas.openxmlformats.org/officeDocument/2006/relationships/hyperlink" Target="http://www.themix.org.uk" TargetMode="External"/><Relationship Id="rId1856" Type="http://schemas.openxmlformats.org/officeDocument/2006/relationships/hyperlink" Target="https://pbs.twimg.com/media/EOlDKIAW4AAMRxS.jpg" TargetMode="External"/><Relationship Id="rId1857" Type="http://schemas.openxmlformats.org/officeDocument/2006/relationships/hyperlink" Target="http://www.elht.nhs.uk" TargetMode="External"/><Relationship Id="rId1858" Type="http://schemas.openxmlformats.org/officeDocument/2006/relationships/hyperlink" Target="http://www.tbs-sct.gc.ca" TargetMode="External"/><Relationship Id="rId1859" Type="http://schemas.openxmlformats.org/officeDocument/2006/relationships/hyperlink" Target="https://bit.ly/3ag9LmU" TargetMode="External"/><Relationship Id="rId1850" Type="http://schemas.openxmlformats.org/officeDocument/2006/relationships/hyperlink" Target="http://primepsychiatrymd.com" TargetMode="External"/><Relationship Id="rId1840" Type="http://schemas.openxmlformats.org/officeDocument/2006/relationships/hyperlink" Target="http://pic.twitter.com/80Pkg4OgYr" TargetMode="External"/><Relationship Id="rId1841" Type="http://schemas.openxmlformats.org/officeDocument/2006/relationships/hyperlink" Target="https://crowd.in/r9WvDl" TargetMode="External"/><Relationship Id="rId1842" Type="http://schemas.openxmlformats.org/officeDocument/2006/relationships/hyperlink" Target="https://pbs.twimg.com/media/EOlDhRKWAAAcPN5.jpg" TargetMode="External"/><Relationship Id="rId1843" Type="http://schemas.openxmlformats.org/officeDocument/2006/relationships/hyperlink" Target="http://www.ciob.org" TargetMode="External"/><Relationship Id="rId1844" Type="http://schemas.openxmlformats.org/officeDocument/2006/relationships/hyperlink" Target="https://pbs.twimg.com/media/EOlDd6FXsAENTO8.png" TargetMode="External"/><Relationship Id="rId1845" Type="http://schemas.openxmlformats.org/officeDocument/2006/relationships/hyperlink" Target="https://pbs.twimg.com/media/EOlDVrIWAAAqxe8.jpg" TargetMode="External"/><Relationship Id="rId1846" Type="http://schemas.openxmlformats.org/officeDocument/2006/relationships/hyperlink" Target="http://pic.twitter.com/8fTWZjngRn" TargetMode="External"/><Relationship Id="rId1847" Type="http://schemas.openxmlformats.org/officeDocument/2006/relationships/hyperlink" Target="https://itunes.apple.com/us/podcast/co-op-the-podcast/id1448268140" TargetMode="External"/><Relationship Id="rId1848" Type="http://schemas.openxmlformats.org/officeDocument/2006/relationships/hyperlink" Target="https://www.amazon.co.uk/Amanda-Green/e/B0087O89QS/" TargetMode="External"/><Relationship Id="rId1849" Type="http://schemas.openxmlformats.org/officeDocument/2006/relationships/hyperlink" Target="http://ow.ly/Obqh50xVGYJ" TargetMode="External"/><Relationship Id="rId1873" Type="http://schemas.openxmlformats.org/officeDocument/2006/relationships/hyperlink" Target="http://www.drjudyho.com/blog" TargetMode="External"/><Relationship Id="rId1874" Type="http://schemas.openxmlformats.org/officeDocument/2006/relationships/hyperlink" Target="https://shar.es/a3k03r" TargetMode="External"/><Relationship Id="rId1875" Type="http://schemas.openxmlformats.org/officeDocument/2006/relationships/hyperlink" Target="https://www.amazon.co.uk/Amanda-Green/e/B0087O89QS/" TargetMode="External"/><Relationship Id="rId1876" Type="http://schemas.openxmlformats.org/officeDocument/2006/relationships/hyperlink" Target="https://bhive.nectar.social/2B8pzX" TargetMode="External"/><Relationship Id="rId1877" Type="http://schemas.openxmlformats.org/officeDocument/2006/relationships/hyperlink" Target="https://www.linkedin.com/in/drgurdeepparhar/" TargetMode="External"/><Relationship Id="rId1878" Type="http://schemas.openxmlformats.org/officeDocument/2006/relationships/hyperlink" Target="http://psy.pub/1lT144q" TargetMode="External"/><Relationship Id="rId1879" Type="http://schemas.openxmlformats.org/officeDocument/2006/relationships/hyperlink" Target="http://www.naturibeauty.com/" TargetMode="External"/><Relationship Id="rId1870" Type="http://schemas.openxmlformats.org/officeDocument/2006/relationships/hyperlink" Target="https://pbs.twimg.com/media/EOlC_nJWAAIxuQZ.jpg" TargetMode="External"/><Relationship Id="rId1871" Type="http://schemas.openxmlformats.org/officeDocument/2006/relationships/hyperlink" Target="http://mentalhealthpartnerships.org" TargetMode="External"/><Relationship Id="rId1872" Type="http://schemas.openxmlformats.org/officeDocument/2006/relationships/hyperlink" Target="https://pbs.twimg.com/media/EOkX7CBWoAAZKi-.jpg" TargetMode="External"/><Relationship Id="rId1862" Type="http://schemas.openxmlformats.org/officeDocument/2006/relationships/hyperlink" Target="https://link.medium.com/AAyg6Yexi3" TargetMode="External"/><Relationship Id="rId1863" Type="http://schemas.openxmlformats.org/officeDocument/2006/relationships/hyperlink" Target="https://medium.com/@djemal.ua" TargetMode="External"/><Relationship Id="rId1864" Type="http://schemas.openxmlformats.org/officeDocument/2006/relationships/hyperlink" Target="https://buff.ly/318fWV9" TargetMode="External"/><Relationship Id="rId1865" Type="http://schemas.openxmlformats.org/officeDocument/2006/relationships/hyperlink" Target="https://pbs.twimg.com/media/EOlDBfMXkAEqJm2.png" TargetMode="External"/><Relationship Id="rId1866" Type="http://schemas.openxmlformats.org/officeDocument/2006/relationships/hyperlink" Target="http://thebestbrainpossible.com" TargetMode="External"/><Relationship Id="rId1867" Type="http://schemas.openxmlformats.org/officeDocument/2006/relationships/hyperlink" Target="https://pbs.twimg.com/media/EOlDA98WAAIDubI.jpg" TargetMode="External"/><Relationship Id="rId1868" Type="http://schemas.openxmlformats.org/officeDocument/2006/relationships/hyperlink" Target="http://www.boltonmedicalpractice.com" TargetMode="External"/><Relationship Id="rId1869" Type="http://schemas.openxmlformats.org/officeDocument/2006/relationships/hyperlink" Target="http://bit.ly/2Md4TEH" TargetMode="External"/><Relationship Id="rId1860" Type="http://schemas.openxmlformats.org/officeDocument/2006/relationships/hyperlink" Target="https://pbs.twimg.com/media/EOlDCymWsAE1BpK.jpg" TargetMode="External"/><Relationship Id="rId1861" Type="http://schemas.openxmlformats.org/officeDocument/2006/relationships/hyperlink" Target="http://www.healthyplace.com" TargetMode="External"/><Relationship Id="rId1810" Type="http://schemas.openxmlformats.org/officeDocument/2006/relationships/hyperlink" Target="https://pbs.twimg.com/media/EOlFtxeWoAER9jw.jpg" TargetMode="External"/><Relationship Id="rId1811" Type="http://schemas.openxmlformats.org/officeDocument/2006/relationships/hyperlink" Target="http://www.headhearttherapy.com" TargetMode="External"/><Relationship Id="rId1812" Type="http://schemas.openxmlformats.org/officeDocument/2006/relationships/hyperlink" Target="https://pbs.twimg.com/media/EOlFoP7XsAA_LEt.png" TargetMode="External"/><Relationship Id="rId1813" Type="http://schemas.openxmlformats.org/officeDocument/2006/relationships/hyperlink" Target="http://www.truthconference.ca" TargetMode="External"/><Relationship Id="rId1814" Type="http://schemas.openxmlformats.org/officeDocument/2006/relationships/hyperlink" Target="https://paper.li/jonathanlevitt/1477415200?edition_id=9687d530-3a15-11ea-97ff-0cc47a0d1609" TargetMode="External"/><Relationship Id="rId1815" Type="http://schemas.openxmlformats.org/officeDocument/2006/relationships/hyperlink" Target="http://about.me/jonathanlevitt" TargetMode="External"/><Relationship Id="rId1816" Type="http://schemas.openxmlformats.org/officeDocument/2006/relationships/hyperlink" Target="https://www.instagram.com/p/B603kLzHK61/?igshid=32h4olwd7g8q" TargetMode="External"/><Relationship Id="rId1817" Type="http://schemas.openxmlformats.org/officeDocument/2006/relationships/hyperlink" Target="https://pbs.twimg.com/media/EOlFgG6VAAA3tkt.jpg" TargetMode="External"/><Relationship Id="rId1818" Type="http://schemas.openxmlformats.org/officeDocument/2006/relationships/hyperlink" Target="http://www.strongbodystrongsoul.com" TargetMode="External"/><Relationship Id="rId1819" Type="http://schemas.openxmlformats.org/officeDocument/2006/relationships/hyperlink" Target="https://today.uconn.edu/2019/12/researchers-look-factors-outside-family-cause-child-neglect/" TargetMode="External"/><Relationship Id="rId1800" Type="http://schemas.openxmlformats.org/officeDocument/2006/relationships/hyperlink" Target="https://www.youtube.com/channel/UClA9iGyBd9gryyrK4AWqTGA" TargetMode="External"/><Relationship Id="rId1801" Type="http://schemas.openxmlformats.org/officeDocument/2006/relationships/hyperlink" Target="https://buff.ly/2TCUK90" TargetMode="External"/><Relationship Id="rId1802" Type="http://schemas.openxmlformats.org/officeDocument/2006/relationships/hyperlink" Target="https://pbs.twimg.com/media/EOlGK3QXkAADueV.jpg" TargetMode="External"/><Relationship Id="rId1803" Type="http://schemas.openxmlformats.org/officeDocument/2006/relationships/hyperlink" Target="https://medium.com/@darrenmatthews" TargetMode="External"/><Relationship Id="rId1804" Type="http://schemas.openxmlformats.org/officeDocument/2006/relationships/hyperlink" Target="https://getpocket.com/explore/item/fighting-depression-by-staying-awake?utm_source=pocket-newtab" TargetMode="External"/><Relationship Id="rId1805" Type="http://schemas.openxmlformats.org/officeDocument/2006/relationships/hyperlink" Target="https://gethappy.app.link/twitter" TargetMode="External"/><Relationship Id="rId1806" Type="http://schemas.openxmlformats.org/officeDocument/2006/relationships/hyperlink" Target="http://bit.ly/2seczQs" TargetMode="External"/><Relationship Id="rId1807" Type="http://schemas.openxmlformats.org/officeDocument/2006/relationships/hyperlink" Target="http://traumapractice.org" TargetMode="External"/><Relationship Id="rId1808" Type="http://schemas.openxmlformats.org/officeDocument/2006/relationships/hyperlink" Target="http://bit.ly/2MFYRvs?utm_campaign=coschedule&amp;utm_source=twitter&amp;utm_medium=hanna_higher" TargetMode="External"/><Relationship Id="rId1809" Type="http://schemas.openxmlformats.org/officeDocument/2006/relationships/hyperlink" Target="http://www.charleshannahigher.com" TargetMode="External"/><Relationship Id="rId1830" Type="http://schemas.openxmlformats.org/officeDocument/2006/relationships/hyperlink" Target="https://www.amazon.co.uk/Amanda-Green/e/B0087O89QS/" TargetMode="External"/><Relationship Id="rId1831" Type="http://schemas.openxmlformats.org/officeDocument/2006/relationships/hyperlink" Target="https://insighttimer.com/crystalsound/guided-meditations/crystal-flow-sound-bath-with-crystal-singing-bowls" TargetMode="External"/><Relationship Id="rId1832" Type="http://schemas.openxmlformats.org/officeDocument/2006/relationships/hyperlink" Target="https://snd.click/crystalflow" TargetMode="External"/><Relationship Id="rId1833" Type="http://schemas.openxmlformats.org/officeDocument/2006/relationships/hyperlink" Target="https://pdmstrong.wordpress.com" TargetMode="External"/><Relationship Id="rId1834" Type="http://schemas.openxmlformats.org/officeDocument/2006/relationships/hyperlink" Target="https://pdmstrong.wordpress.com" TargetMode="External"/><Relationship Id="rId1835" Type="http://schemas.openxmlformats.org/officeDocument/2006/relationships/hyperlink" Target="https://www.nytimes.com/2020/01/17/opinion/war-has-ripple-effects.html" TargetMode="External"/><Relationship Id="rId1836" Type="http://schemas.openxmlformats.org/officeDocument/2006/relationships/hyperlink" Target="http://warmline.org/" TargetMode="External"/><Relationship Id="rId1837" Type="http://schemas.openxmlformats.org/officeDocument/2006/relationships/hyperlink" Target="https://www.instagram.com/une_vie_en_diamant/?hl=en" TargetMode="External"/><Relationship Id="rId1838" Type="http://schemas.openxmlformats.org/officeDocument/2006/relationships/hyperlink" Target="https://youtu.be/s4lxfsvgiHM" TargetMode="External"/><Relationship Id="rId1839" Type="http://schemas.openxmlformats.org/officeDocument/2006/relationships/hyperlink" Target="https://www.youtube.com/channel/UCSFwhvEA2tjuph8RcEikXkQ?view_as=subscriber" TargetMode="External"/><Relationship Id="rId1820" Type="http://schemas.openxmlformats.org/officeDocument/2006/relationships/hyperlink" Target="https://pbs.twimg.com/media/EOlFSYlWkAAu0EJ.jpg" TargetMode="External"/><Relationship Id="rId1821" Type="http://schemas.openxmlformats.org/officeDocument/2006/relationships/hyperlink" Target="https://kingswayliving.ca/" TargetMode="External"/><Relationship Id="rId1822" Type="http://schemas.openxmlformats.org/officeDocument/2006/relationships/hyperlink" Target="https://psy.report/autism-detecting-emotions" TargetMode="External"/><Relationship Id="rId1823" Type="http://schemas.openxmlformats.org/officeDocument/2006/relationships/hyperlink" Target="http://www.consultinghealth.com/" TargetMode="External"/><Relationship Id="rId1824" Type="http://schemas.openxmlformats.org/officeDocument/2006/relationships/hyperlink" Target="https://www.instagram.com/p/B7eAYGpJo-c/?igshid=dvwk6erqy0ut" TargetMode="External"/><Relationship Id="rId1825" Type="http://schemas.openxmlformats.org/officeDocument/2006/relationships/hyperlink" Target="http://criticalcaredvm.com" TargetMode="External"/><Relationship Id="rId1826" Type="http://schemas.openxmlformats.org/officeDocument/2006/relationships/hyperlink" Target="https://www.twitch.tv/heartsupport" TargetMode="External"/><Relationship Id="rId1827" Type="http://schemas.openxmlformats.org/officeDocument/2006/relationships/hyperlink" Target="http://pic.twitter.com/KMtPjrWFdj" TargetMode="External"/><Relationship Id="rId1828" Type="http://schemas.openxmlformats.org/officeDocument/2006/relationships/hyperlink" Target="http://theawkwardarmadillo.com/" TargetMode="External"/><Relationship Id="rId1829" Type="http://schemas.openxmlformats.org/officeDocument/2006/relationships/hyperlink" Target="http://viewbook.at/myalienself" TargetMode="External"/><Relationship Id="rId2302" Type="http://schemas.openxmlformats.org/officeDocument/2006/relationships/hyperlink" Target="https://www.psychologytoday.com/gb/blog/packing-success/202001/7-ways-help-teens-manage-stress" TargetMode="External"/><Relationship Id="rId3634" Type="http://schemas.openxmlformats.org/officeDocument/2006/relationships/hyperlink" Target="https://depressionmuse.wordpress.com" TargetMode="External"/><Relationship Id="rId2303" Type="http://schemas.openxmlformats.org/officeDocument/2006/relationships/hyperlink" Target="http://oxford-counsellor.uk" TargetMode="External"/><Relationship Id="rId3633" Type="http://schemas.openxmlformats.org/officeDocument/2006/relationships/hyperlink" Target="https://pbs.twimg.com/media/EOi8bm4U4AA_IHY.jpg" TargetMode="External"/><Relationship Id="rId2304" Type="http://schemas.openxmlformats.org/officeDocument/2006/relationships/hyperlink" Target="http://ow.ly/VLRJ50xYvsQ" TargetMode="External"/><Relationship Id="rId3636" Type="http://schemas.openxmlformats.org/officeDocument/2006/relationships/hyperlink" Target="https://www.forum-wbp.com/wbp-forum-summary/" TargetMode="External"/><Relationship Id="rId2305" Type="http://schemas.openxmlformats.org/officeDocument/2006/relationships/hyperlink" Target="http://www.fountainhouse.org/" TargetMode="External"/><Relationship Id="rId3635" Type="http://schemas.openxmlformats.org/officeDocument/2006/relationships/hyperlink" Target="https://youtu.be/VLOUWZdLAMg" TargetMode="External"/><Relationship Id="rId2306" Type="http://schemas.openxmlformats.org/officeDocument/2006/relationships/hyperlink" Target="https://pbs.twimg.com/media/EOknk0VW4AATG1u.jpg" TargetMode="External"/><Relationship Id="rId3638" Type="http://schemas.openxmlformats.org/officeDocument/2006/relationships/hyperlink" Target="https://www.rte.ie/news/ireland/2020/0116/1107878-mental-wellness-app-developed-after-personal-struggle/" TargetMode="External"/><Relationship Id="rId2307" Type="http://schemas.openxmlformats.org/officeDocument/2006/relationships/hyperlink" Target="http://www.healthyplace.com" TargetMode="External"/><Relationship Id="rId3637" Type="http://schemas.openxmlformats.org/officeDocument/2006/relationships/hyperlink" Target="http://womensbrainproject.com/" TargetMode="External"/><Relationship Id="rId2308" Type="http://schemas.openxmlformats.org/officeDocument/2006/relationships/hyperlink" Target="https://pbs.twimg.com/media/EOknkFDWoAEkY4n.jpg" TargetMode="External"/><Relationship Id="rId2309" Type="http://schemas.openxmlformats.org/officeDocument/2006/relationships/hyperlink" Target="http://drromie.com" TargetMode="External"/><Relationship Id="rId3639" Type="http://schemas.openxmlformats.org/officeDocument/2006/relationships/hyperlink" Target="https://buff.ly/33DYvfz" TargetMode="External"/><Relationship Id="rId3630" Type="http://schemas.openxmlformats.org/officeDocument/2006/relationships/hyperlink" Target="https://twitter.com/growgardeners/status/1218144299289915392" TargetMode="External"/><Relationship Id="rId2300" Type="http://schemas.openxmlformats.org/officeDocument/2006/relationships/hyperlink" Target="https://pbs.twimg.com/media/EOknr56W4AA79w0.jpg" TargetMode="External"/><Relationship Id="rId3632" Type="http://schemas.openxmlformats.org/officeDocument/2006/relationships/hyperlink" Target="https://www.thoughtboxeducation.com/" TargetMode="External"/><Relationship Id="rId2301" Type="http://schemas.openxmlformats.org/officeDocument/2006/relationships/hyperlink" Target="http://www.goldentreecic.co.uk" TargetMode="External"/><Relationship Id="rId3631" Type="http://schemas.openxmlformats.org/officeDocument/2006/relationships/hyperlink" Target="http://pic.twitter.com/88HkzrunOr" TargetMode="External"/><Relationship Id="rId3623" Type="http://schemas.openxmlformats.org/officeDocument/2006/relationships/hyperlink" Target="http://www.youtube.com/user/RaeAngel07" TargetMode="External"/><Relationship Id="rId3622" Type="http://schemas.openxmlformats.org/officeDocument/2006/relationships/hyperlink" Target="http://www.teenagewhisperer.co.uk" TargetMode="External"/><Relationship Id="rId3625" Type="http://schemas.openxmlformats.org/officeDocument/2006/relationships/hyperlink" Target="http://somewherehousesomerset.org" TargetMode="External"/><Relationship Id="rId3624" Type="http://schemas.openxmlformats.org/officeDocument/2006/relationships/hyperlink" Target="https://pbs.twimg.com/media/EOYzGALXUAAFjKD.jpg" TargetMode="External"/><Relationship Id="rId3627" Type="http://schemas.openxmlformats.org/officeDocument/2006/relationships/hyperlink" Target="https://twitter.com/InterimAmy/status/1218423232874893315" TargetMode="External"/><Relationship Id="rId3626" Type="http://schemas.openxmlformats.org/officeDocument/2006/relationships/hyperlink" Target="https://pbs.twimg.com/media/EOi9MKNXsAE3QmF.jpg" TargetMode="External"/><Relationship Id="rId3629" Type="http://schemas.openxmlformats.org/officeDocument/2006/relationships/hyperlink" Target="https://twitter.com/corruptnsw/status/1218429931610243072" TargetMode="External"/><Relationship Id="rId3628" Type="http://schemas.openxmlformats.org/officeDocument/2006/relationships/hyperlink" Target="http://www.sparkleclass.com" TargetMode="External"/><Relationship Id="rId3621" Type="http://schemas.openxmlformats.org/officeDocument/2006/relationships/hyperlink" Target="http://dld.bz/gM7d8" TargetMode="External"/><Relationship Id="rId3620" Type="http://schemas.openxmlformats.org/officeDocument/2006/relationships/hyperlink" Target="http://web.facebook.com/healthrightsuganda" TargetMode="External"/><Relationship Id="rId2324" Type="http://schemas.openxmlformats.org/officeDocument/2006/relationships/hyperlink" Target="http://friendsofthesemelinstitute.org" TargetMode="External"/><Relationship Id="rId3656" Type="http://schemas.openxmlformats.org/officeDocument/2006/relationships/hyperlink" Target="https://www.huffpost.com/entry/most-common-issues-therapy-2019_l_5dfbe11be4b01834791ddaa3" TargetMode="External"/><Relationship Id="rId2325" Type="http://schemas.openxmlformats.org/officeDocument/2006/relationships/hyperlink" Target="https://elemental.medium.com/why-talking-to-yourself-is-a-secret-superpower-5eff091b896c" TargetMode="External"/><Relationship Id="rId3655" Type="http://schemas.openxmlformats.org/officeDocument/2006/relationships/hyperlink" Target="https://unwantedlife.me/" TargetMode="External"/><Relationship Id="rId2326" Type="http://schemas.openxmlformats.org/officeDocument/2006/relationships/hyperlink" Target="https://www.diabeticcyborg.com" TargetMode="External"/><Relationship Id="rId3658" Type="http://schemas.openxmlformats.org/officeDocument/2006/relationships/hyperlink" Target="https://pbs.twimg.com/media/EOi5p-KX4AASnlZ.jpg" TargetMode="External"/><Relationship Id="rId2327" Type="http://schemas.openxmlformats.org/officeDocument/2006/relationships/hyperlink" Target="http://bit.ly/blurtnews8" TargetMode="External"/><Relationship Id="rId3657" Type="http://schemas.openxmlformats.org/officeDocument/2006/relationships/hyperlink" Target="https://www.vulnerabilityregistrationservice.co.uk/" TargetMode="External"/><Relationship Id="rId2328" Type="http://schemas.openxmlformats.org/officeDocument/2006/relationships/hyperlink" Target="https://pbs.twimg.com/media/EOkmX4BXsAI2jzF.jpg" TargetMode="External"/><Relationship Id="rId2329" Type="http://schemas.openxmlformats.org/officeDocument/2006/relationships/hyperlink" Target="http://www.parentsvoice.co.uk" TargetMode="External"/><Relationship Id="rId3659" Type="http://schemas.openxmlformats.org/officeDocument/2006/relationships/hyperlink" Target="http://www.ennielifecoach.com" TargetMode="External"/><Relationship Id="rId3650" Type="http://schemas.openxmlformats.org/officeDocument/2006/relationships/hyperlink" Target="http://www.sunriseacademytx.com" TargetMode="External"/><Relationship Id="rId2320" Type="http://schemas.openxmlformats.org/officeDocument/2006/relationships/hyperlink" Target="http://durham-autism.org" TargetMode="External"/><Relationship Id="rId3652" Type="http://schemas.openxmlformats.org/officeDocument/2006/relationships/hyperlink" Target="https://www.podbean.com/eau/pb-jkvb2-d002f9" TargetMode="External"/><Relationship Id="rId2321" Type="http://schemas.openxmlformats.org/officeDocument/2006/relationships/hyperlink" Target="https://twitter.com/TurkWJZ/status/1218517717935951873" TargetMode="External"/><Relationship Id="rId3651" Type="http://schemas.openxmlformats.org/officeDocument/2006/relationships/hyperlink" Target="https://pbs.twimg.com/media/EOi6huLU8AAa_5L.jpg" TargetMode="External"/><Relationship Id="rId2322" Type="http://schemas.openxmlformats.org/officeDocument/2006/relationships/hyperlink" Target="http://www.lohcounseling.com" TargetMode="External"/><Relationship Id="rId3654" Type="http://schemas.openxmlformats.org/officeDocument/2006/relationships/hyperlink" Target="https://unwantedlife.me/blogging-birthday" TargetMode="External"/><Relationship Id="rId2323" Type="http://schemas.openxmlformats.org/officeDocument/2006/relationships/hyperlink" Target="https://www.washingtonpost.com/magazine/2020/01/13/what-schizophrenia-does-families-why-mental-health-system-cant-keep-up/" TargetMode="External"/><Relationship Id="rId3653" Type="http://schemas.openxmlformats.org/officeDocument/2006/relationships/hyperlink" Target="https://worksmartlivesmart.com" TargetMode="External"/><Relationship Id="rId2313" Type="http://schemas.openxmlformats.org/officeDocument/2006/relationships/hyperlink" Target="http://www.ibx.com" TargetMode="External"/><Relationship Id="rId3645" Type="http://schemas.openxmlformats.org/officeDocument/2006/relationships/hyperlink" Target="http://dexperienceproject.wordpress.com" TargetMode="External"/><Relationship Id="rId2314" Type="http://schemas.openxmlformats.org/officeDocument/2006/relationships/hyperlink" Target="http://www.linkedin.com/in/mediamarketingpro" TargetMode="External"/><Relationship Id="rId3644" Type="http://schemas.openxmlformats.org/officeDocument/2006/relationships/hyperlink" Target="http://flipyflips.blogspot.com" TargetMode="External"/><Relationship Id="rId2315" Type="http://schemas.openxmlformats.org/officeDocument/2006/relationships/hyperlink" Target="https://pbs.twimg.com/media/EOknLzjWsAELT1A.jpg" TargetMode="External"/><Relationship Id="rId3647" Type="http://schemas.openxmlformats.org/officeDocument/2006/relationships/hyperlink" Target="https://pbs.twimg.com/media/EOi6x1wXUAAgIwc.jpg" TargetMode="External"/><Relationship Id="rId2316" Type="http://schemas.openxmlformats.org/officeDocument/2006/relationships/hyperlink" Target="http://www.resteasytraining.com" TargetMode="External"/><Relationship Id="rId3646" Type="http://schemas.openxmlformats.org/officeDocument/2006/relationships/hyperlink" Target="http://girlnextdoorbooks.com" TargetMode="External"/><Relationship Id="rId2317" Type="http://schemas.openxmlformats.org/officeDocument/2006/relationships/hyperlink" Target="https://pbs.twimg.com/media/EOkm8YWX4AEnrc0.jpg" TargetMode="External"/><Relationship Id="rId3649" Type="http://schemas.openxmlformats.org/officeDocument/2006/relationships/hyperlink" Target="http://goo.gl/PfWfNI" TargetMode="External"/><Relationship Id="rId2318" Type="http://schemas.openxmlformats.org/officeDocument/2006/relationships/hyperlink" Target="http://www.outskirtspress.com/dailybrewjournal" TargetMode="External"/><Relationship Id="rId3648" Type="http://schemas.openxmlformats.org/officeDocument/2006/relationships/hyperlink" Target="http://girlnextdoorbooks.com" TargetMode="External"/><Relationship Id="rId2319" Type="http://schemas.openxmlformats.org/officeDocument/2006/relationships/hyperlink" Target="http://bit.ly/1TZp2NI" TargetMode="External"/><Relationship Id="rId3641" Type="http://schemas.openxmlformats.org/officeDocument/2006/relationships/hyperlink" Target="https://adv.cr/BgLBLS" TargetMode="External"/><Relationship Id="rId2310" Type="http://schemas.openxmlformats.org/officeDocument/2006/relationships/hyperlink" Target="https://pbs.twimg.com/media/EOkniLHWoAAkh5J.jpg" TargetMode="External"/><Relationship Id="rId3640" Type="http://schemas.openxmlformats.org/officeDocument/2006/relationships/hyperlink" Target="https://pbs.twimg.com/media/EOi77XsXUAEzupT.jpg" TargetMode="External"/><Relationship Id="rId2311" Type="http://schemas.openxmlformats.org/officeDocument/2006/relationships/hyperlink" Target="http://www.instagram.com/4_humanrights" TargetMode="External"/><Relationship Id="rId3643" Type="http://schemas.openxmlformats.org/officeDocument/2006/relationships/hyperlink" Target="http://womensbrainproject.com/" TargetMode="External"/><Relationship Id="rId2312" Type="http://schemas.openxmlformats.org/officeDocument/2006/relationships/hyperlink" Target="http://bit.ly/2ttqdzG" TargetMode="External"/><Relationship Id="rId3642" Type="http://schemas.openxmlformats.org/officeDocument/2006/relationships/hyperlink" Target="http://www.womensbrainproject.com/women-and-depression/" TargetMode="External"/><Relationship Id="rId1895" Type="http://schemas.openxmlformats.org/officeDocument/2006/relationships/hyperlink" Target="https://pbs.twimg.com/media/EOlBK9vXkAAMM-I.jpg" TargetMode="External"/><Relationship Id="rId1896" Type="http://schemas.openxmlformats.org/officeDocument/2006/relationships/hyperlink" Target="https://bit.ly/31GQlDG" TargetMode="External"/><Relationship Id="rId1897" Type="http://schemas.openxmlformats.org/officeDocument/2006/relationships/hyperlink" Target="https://pbs.twimg.com/media/EOape6LW4AIUE4-.jpg" TargetMode="External"/><Relationship Id="rId1898" Type="http://schemas.openxmlformats.org/officeDocument/2006/relationships/hyperlink" Target="http://www.awp.nhs.uk" TargetMode="External"/><Relationship Id="rId1899" Type="http://schemas.openxmlformats.org/officeDocument/2006/relationships/hyperlink" Target="http://www.blacktalonsolutions.com" TargetMode="External"/><Relationship Id="rId1890" Type="http://schemas.openxmlformats.org/officeDocument/2006/relationships/hyperlink" Target="https://pbs.twimg.com/media/EOlB0R0WkAEMWIf.jpg" TargetMode="External"/><Relationship Id="rId1891" Type="http://schemas.openxmlformats.org/officeDocument/2006/relationships/hyperlink" Target="http://www.starpt.com" TargetMode="External"/><Relationship Id="rId1892" Type="http://schemas.openxmlformats.org/officeDocument/2006/relationships/hyperlink" Target="https://pbs.twimg.com/media/EOlBiHOWsAAnlT3.jpg" TargetMode="External"/><Relationship Id="rId1893" Type="http://schemas.openxmlformats.org/officeDocument/2006/relationships/hyperlink" Target="http://www.sunriseacademytx.com" TargetMode="External"/><Relationship Id="rId1894" Type="http://schemas.openxmlformats.org/officeDocument/2006/relationships/hyperlink" Target="http://cpix.me/a/90081267" TargetMode="External"/><Relationship Id="rId1884" Type="http://schemas.openxmlformats.org/officeDocument/2006/relationships/hyperlink" Target="https://pbs.twimg.com/media/EOlCM47X0AAPgw1.jpg" TargetMode="External"/><Relationship Id="rId1885" Type="http://schemas.openxmlformats.org/officeDocument/2006/relationships/hyperlink" Target="http://stephenbellcoaching.co.uk" TargetMode="External"/><Relationship Id="rId1886" Type="http://schemas.openxmlformats.org/officeDocument/2006/relationships/hyperlink" Target="https://bit.ly/2Omb77F" TargetMode="External"/><Relationship Id="rId1887" Type="http://schemas.openxmlformats.org/officeDocument/2006/relationships/hyperlink" Target="http://durham-autism.org" TargetMode="External"/><Relationship Id="rId1888" Type="http://schemas.openxmlformats.org/officeDocument/2006/relationships/hyperlink" Target="https://www.instagram.com/p/B7d-z3CjVS9/?igshid=z6zxwpbb8vce" TargetMode="External"/><Relationship Id="rId1889" Type="http://schemas.openxmlformats.org/officeDocument/2006/relationships/hyperlink" Target="http://www.facebook.com/VampRougeCosplay" TargetMode="External"/><Relationship Id="rId1880" Type="http://schemas.openxmlformats.org/officeDocument/2006/relationships/hyperlink" Target="https://twitter.com/WeCareAboutMH/status/1218391716975255553" TargetMode="External"/><Relationship Id="rId1881" Type="http://schemas.openxmlformats.org/officeDocument/2006/relationships/hyperlink" Target="https://rosacarr.wordpress.com/" TargetMode="External"/><Relationship Id="rId1882" Type="http://schemas.openxmlformats.org/officeDocument/2006/relationships/hyperlink" Target="https://pbs.twimg.com/media/EOlCOdyWkAAncGh.jpg" TargetMode="External"/><Relationship Id="rId1883" Type="http://schemas.openxmlformats.org/officeDocument/2006/relationships/hyperlink" Target="http://jayhollingshed.com" TargetMode="External"/><Relationship Id="rId3612" Type="http://schemas.openxmlformats.org/officeDocument/2006/relationships/hyperlink" Target="https://www.youtube.com/ChristianPKrohne?sub_confirmation=1" TargetMode="External"/><Relationship Id="rId3611" Type="http://schemas.openxmlformats.org/officeDocument/2006/relationships/hyperlink" Target="https://neurosciencenews.com/mental-health-neuroimaging-15502/" TargetMode="External"/><Relationship Id="rId3614" Type="http://schemas.openxmlformats.org/officeDocument/2006/relationships/hyperlink" Target="https://linktr.ee/chrisoldcorn" TargetMode="External"/><Relationship Id="rId3613" Type="http://schemas.openxmlformats.org/officeDocument/2006/relationships/hyperlink" Target="https://medium.com/live-your-life-on-purpose/be-specific-df4f87af4270" TargetMode="External"/><Relationship Id="rId3616" Type="http://schemas.openxmlformats.org/officeDocument/2006/relationships/hyperlink" Target="http://www.rimpasarkar.com" TargetMode="External"/><Relationship Id="rId3615" Type="http://schemas.openxmlformats.org/officeDocument/2006/relationships/hyperlink" Target="https://pbs.twimg.com/media/EOi-jEvUwAUY_F7.jpg" TargetMode="External"/><Relationship Id="rId3618" Type="http://schemas.openxmlformats.org/officeDocument/2006/relationships/hyperlink" Target="http://psychaidconsult.com" TargetMode="External"/><Relationship Id="rId3617" Type="http://schemas.openxmlformats.org/officeDocument/2006/relationships/hyperlink" Target="https://www.instagram.com/p/B7c9I0rFn5W/?igshid=x4cgm1s0da5d" TargetMode="External"/><Relationship Id="rId3619" Type="http://schemas.openxmlformats.org/officeDocument/2006/relationships/hyperlink" Target="https://pbs.twimg.com/media/EOi-bG3XUAARgEK.jpg" TargetMode="External"/><Relationship Id="rId3610" Type="http://schemas.openxmlformats.org/officeDocument/2006/relationships/hyperlink" Target="http://www.draudreyt.com/" TargetMode="External"/><Relationship Id="rId3601" Type="http://schemas.openxmlformats.org/officeDocument/2006/relationships/hyperlink" Target="https://castbox.fm/vb/219635691" TargetMode="External"/><Relationship Id="rId3600" Type="http://schemas.openxmlformats.org/officeDocument/2006/relationships/hyperlink" Target="http://www.drhanskluge.com" TargetMode="External"/><Relationship Id="rId3603" Type="http://schemas.openxmlformats.org/officeDocument/2006/relationships/hyperlink" Target="http://rviv.ly/IfWUC6" TargetMode="External"/><Relationship Id="rId3602" Type="http://schemas.openxmlformats.org/officeDocument/2006/relationships/hyperlink" Target="https://pbs.twimg.com/media/EOi_bywWoAAHY2Z.jpg" TargetMode="External"/><Relationship Id="rId3605" Type="http://schemas.openxmlformats.org/officeDocument/2006/relationships/hyperlink" Target="https://www.mapsofindia.com/my-india/society/peer-pressure-on-men" TargetMode="External"/><Relationship Id="rId3604" Type="http://schemas.openxmlformats.org/officeDocument/2006/relationships/hyperlink" Target="https://enterprisersuite.com" TargetMode="External"/><Relationship Id="rId3607" Type="http://schemas.openxmlformats.org/officeDocument/2006/relationships/hyperlink" Target="https://www.tanzlite.com/services" TargetMode="External"/><Relationship Id="rId3606" Type="http://schemas.openxmlformats.org/officeDocument/2006/relationships/hyperlink" Target="http://www.mapsofindia.com" TargetMode="External"/><Relationship Id="rId3609" Type="http://schemas.openxmlformats.org/officeDocument/2006/relationships/hyperlink" Target="https://pbs.twimg.com/media/EOi-spTX4AAKiWz.jpg" TargetMode="External"/><Relationship Id="rId3608" Type="http://schemas.openxmlformats.org/officeDocument/2006/relationships/hyperlink" Target="http://www.resilienthealthonline.com" TargetMode="External"/><Relationship Id="rId1059" Type="http://schemas.openxmlformats.org/officeDocument/2006/relationships/hyperlink" Target="https://www.psychologytoday.com/us/blog/language-in-the-mind/202001/how-does-communication-work" TargetMode="External"/><Relationship Id="rId228" Type="http://schemas.openxmlformats.org/officeDocument/2006/relationships/hyperlink" Target="http://www.bellajade.com" TargetMode="External"/><Relationship Id="rId227" Type="http://schemas.openxmlformats.org/officeDocument/2006/relationships/hyperlink" Target="https://pbs.twimg.com/media/EOmw3xdX0AEoBnd.jpg" TargetMode="External"/><Relationship Id="rId226" Type="http://schemas.openxmlformats.org/officeDocument/2006/relationships/hyperlink" Target="http://www.amputeestore.com" TargetMode="External"/><Relationship Id="rId225" Type="http://schemas.openxmlformats.org/officeDocument/2006/relationships/hyperlink" Target="https://zurl.co/rXwz" TargetMode="External"/><Relationship Id="rId2380" Type="http://schemas.openxmlformats.org/officeDocument/2006/relationships/hyperlink" Target="https://pbs.twimg.com/media/EOkjKhbXsAABiD6.jpg" TargetMode="External"/><Relationship Id="rId229" Type="http://schemas.openxmlformats.org/officeDocument/2006/relationships/hyperlink" Target="https://buff.ly/2oCYlqh" TargetMode="External"/><Relationship Id="rId1050" Type="http://schemas.openxmlformats.org/officeDocument/2006/relationships/hyperlink" Target="http://www.mhcd.org/careers" TargetMode="External"/><Relationship Id="rId2381" Type="http://schemas.openxmlformats.org/officeDocument/2006/relationships/hyperlink" Target="https://www.theguardian.com/society/2020/jan/16/the-agony-of-weekend-loneliness-i-wont-speak-to-another-human-until-monday" TargetMode="External"/><Relationship Id="rId220" Type="http://schemas.openxmlformats.org/officeDocument/2006/relationships/hyperlink" Target="https://pbs.twimg.com/media/EOmw_ltX0AA5gyu.jpg" TargetMode="External"/><Relationship Id="rId1051" Type="http://schemas.openxmlformats.org/officeDocument/2006/relationships/hyperlink" Target="https://pbs.twimg.com/media/EOlv02uUYAA0E-X.png" TargetMode="External"/><Relationship Id="rId2382" Type="http://schemas.openxmlformats.org/officeDocument/2006/relationships/hyperlink" Target="https://www.youtube.com/channel/UCFKWBgD39nNzE8lbb8u0SJw" TargetMode="External"/><Relationship Id="rId1052" Type="http://schemas.openxmlformats.org/officeDocument/2006/relationships/hyperlink" Target="http://www.mentalhealthforus.net" TargetMode="External"/><Relationship Id="rId2383" Type="http://schemas.openxmlformats.org/officeDocument/2006/relationships/hyperlink" Target="https://www.theguardian.com/society/2020/jan/16/the-agony-of-weekend-loneliness-i-wont-speak-to-another-human-until-monday" TargetMode="External"/><Relationship Id="rId1053" Type="http://schemas.openxmlformats.org/officeDocument/2006/relationships/hyperlink" Target="https://cnn.it/2RuZOcP" TargetMode="External"/><Relationship Id="rId2384" Type="http://schemas.openxmlformats.org/officeDocument/2006/relationships/hyperlink" Target="http://youtube.com/c/GetPsyched" TargetMode="External"/><Relationship Id="rId1054" Type="http://schemas.openxmlformats.org/officeDocument/2006/relationships/hyperlink" Target="http://annenbergpublicpolicycenter.org" TargetMode="External"/><Relationship Id="rId2385" Type="http://schemas.openxmlformats.org/officeDocument/2006/relationships/hyperlink" Target="https://www.nyalichildrenhospital.co.ke/doctor.html" TargetMode="External"/><Relationship Id="rId224" Type="http://schemas.openxmlformats.org/officeDocument/2006/relationships/hyperlink" Target="http://www.thedoctorweighsin.com" TargetMode="External"/><Relationship Id="rId1055" Type="http://schemas.openxmlformats.org/officeDocument/2006/relationships/hyperlink" Target="https://buff.ly/30xXF47" TargetMode="External"/><Relationship Id="rId2386" Type="http://schemas.openxmlformats.org/officeDocument/2006/relationships/hyperlink" Target="https://link.medium.com/tUeWOeoSW2" TargetMode="External"/><Relationship Id="rId223" Type="http://schemas.openxmlformats.org/officeDocument/2006/relationships/hyperlink" Target="https://pbs.twimg.com/media/EOmw9AUUcAAtLAK.jpg" TargetMode="External"/><Relationship Id="rId1056" Type="http://schemas.openxmlformats.org/officeDocument/2006/relationships/hyperlink" Target="http://aboutislam.net/" TargetMode="External"/><Relationship Id="rId2387" Type="http://schemas.openxmlformats.org/officeDocument/2006/relationships/hyperlink" Target="https://medium.com/@djemal.ua" TargetMode="External"/><Relationship Id="rId222" Type="http://schemas.openxmlformats.org/officeDocument/2006/relationships/hyperlink" Target="http://ow.ly/Vp4t50v6hwQ" TargetMode="External"/><Relationship Id="rId1057" Type="http://schemas.openxmlformats.org/officeDocument/2006/relationships/hyperlink" Target="https://lnkd.in/f5mnJiG" TargetMode="External"/><Relationship Id="rId2388" Type="http://schemas.openxmlformats.org/officeDocument/2006/relationships/hyperlink" Target="https://buff.ly/35YUhjW" TargetMode="External"/><Relationship Id="rId221" Type="http://schemas.openxmlformats.org/officeDocument/2006/relationships/hyperlink" Target="http://lucyathome.co.uk" TargetMode="External"/><Relationship Id="rId1058" Type="http://schemas.openxmlformats.org/officeDocument/2006/relationships/hyperlink" Target="http://i-talent.sg" TargetMode="External"/><Relationship Id="rId2389" Type="http://schemas.openxmlformats.org/officeDocument/2006/relationships/hyperlink" Target="https://pbs.twimg.com/media/EOki7G3X0AAdQoR.jpg" TargetMode="External"/><Relationship Id="rId1048" Type="http://schemas.openxmlformats.org/officeDocument/2006/relationships/hyperlink" Target="https://www.yhelpnow.com" TargetMode="External"/><Relationship Id="rId2379" Type="http://schemas.openxmlformats.org/officeDocument/2006/relationships/hyperlink" Target="https://www.upi.com/amp/Health_News/2020/01/06/Malnourishment-lack-of-interaction-in-childhood-can-affect-brain-development/5311578334606/" TargetMode="External"/><Relationship Id="rId1049" Type="http://schemas.openxmlformats.org/officeDocument/2006/relationships/hyperlink" Target="http://bit.ly/2v2r9M1" TargetMode="External"/><Relationship Id="rId217" Type="http://schemas.openxmlformats.org/officeDocument/2006/relationships/hyperlink" Target="https://linktr.ee/dshorbauthor" TargetMode="External"/><Relationship Id="rId216" Type="http://schemas.openxmlformats.org/officeDocument/2006/relationships/hyperlink" Target="https://www.lnk.xyz/SJkSmMPir?aduc=5xs98Gz1579395845939" TargetMode="External"/><Relationship Id="rId215" Type="http://schemas.openxmlformats.org/officeDocument/2006/relationships/hyperlink" Target="http://www.llphp.org" TargetMode="External"/><Relationship Id="rId214" Type="http://schemas.openxmlformats.org/officeDocument/2006/relationships/hyperlink" Target="https://pbs.twimg.com/media/EOmyDjjU4AEAPzG.jpg" TargetMode="External"/><Relationship Id="rId219" Type="http://schemas.openxmlformats.org/officeDocument/2006/relationships/hyperlink" Target="https://lucyathome.co.uk/life/edit-life-be-happy/" TargetMode="External"/><Relationship Id="rId218" Type="http://schemas.openxmlformats.org/officeDocument/2006/relationships/hyperlink" Target="http://bit.ly/2I8mWw5" TargetMode="External"/><Relationship Id="rId2370" Type="http://schemas.openxmlformats.org/officeDocument/2006/relationships/hyperlink" Target="http://www.designyourdestiny.in.net" TargetMode="External"/><Relationship Id="rId1040" Type="http://schemas.openxmlformats.org/officeDocument/2006/relationships/hyperlink" Target="http://goo.gl/rQ59TT" TargetMode="External"/><Relationship Id="rId2371" Type="http://schemas.openxmlformats.org/officeDocument/2006/relationships/hyperlink" Target="http://www.princedomoftrance.com" TargetMode="External"/><Relationship Id="rId1041" Type="http://schemas.openxmlformats.org/officeDocument/2006/relationships/hyperlink" Target="https://psychcentral.com/news/2020/01/18/study-1-in-4-kids-with-autism-may-be-undiagnosed/153266.html" TargetMode="External"/><Relationship Id="rId2372" Type="http://schemas.openxmlformats.org/officeDocument/2006/relationships/hyperlink" Target="https://www.mapsofindia.com/my-india/society/mobile-games-addiction-a-threat-to-life-of-teenagers" TargetMode="External"/><Relationship Id="rId1042" Type="http://schemas.openxmlformats.org/officeDocument/2006/relationships/hyperlink" Target="https://premium.chat/RobinMalone2468" TargetMode="External"/><Relationship Id="rId2373" Type="http://schemas.openxmlformats.org/officeDocument/2006/relationships/hyperlink" Target="http://www.mapsofindia.com" TargetMode="External"/><Relationship Id="rId1043" Type="http://schemas.openxmlformats.org/officeDocument/2006/relationships/hyperlink" Target="https://psychcentral.com/news/2020/01/18/faking-emotions-at-work-may-do-more-harm-than-good/153493.html" TargetMode="External"/><Relationship Id="rId2374" Type="http://schemas.openxmlformats.org/officeDocument/2006/relationships/hyperlink" Target="https://pbs.twimg.com/media/EOkjsSTW4AEDhXO.jpg" TargetMode="External"/><Relationship Id="rId213" Type="http://schemas.openxmlformats.org/officeDocument/2006/relationships/hyperlink" Target="https://cheofoundation.donordrive.com/index.cfm?fuseaction=donorDrive.event&amp;eventID=633" TargetMode="External"/><Relationship Id="rId1044" Type="http://schemas.openxmlformats.org/officeDocument/2006/relationships/hyperlink" Target="https://premium.chat/RobinMalone2468" TargetMode="External"/><Relationship Id="rId2375" Type="http://schemas.openxmlformats.org/officeDocument/2006/relationships/hyperlink" Target="http://www.saneurogut.org" TargetMode="External"/><Relationship Id="rId212" Type="http://schemas.openxmlformats.org/officeDocument/2006/relationships/hyperlink" Target="https://pbs.twimg.com/media/EOmyICYVAAA7vEI.jpg" TargetMode="External"/><Relationship Id="rId1045" Type="http://schemas.openxmlformats.org/officeDocument/2006/relationships/hyperlink" Target="https://pbs.twimg.com/media/EOlwHjpUwAAJw5k.jpg" TargetMode="External"/><Relationship Id="rId2376" Type="http://schemas.openxmlformats.org/officeDocument/2006/relationships/hyperlink" Target="https://psychcentral.com/blog/how-to-deal-with-boredom/" TargetMode="External"/><Relationship Id="rId211" Type="http://schemas.openxmlformats.org/officeDocument/2006/relationships/hyperlink" Target="https://crediblemind.com/articles/the-financial-cost-of-ignoring-mental-health-in-the-workplace" TargetMode="External"/><Relationship Id="rId1046" Type="http://schemas.openxmlformats.org/officeDocument/2006/relationships/hyperlink" Target="https://thewisezephyrus.com" TargetMode="External"/><Relationship Id="rId2377" Type="http://schemas.openxmlformats.org/officeDocument/2006/relationships/hyperlink" Target="http://www.hilaryjacobshendel.com" TargetMode="External"/><Relationship Id="rId210" Type="http://schemas.openxmlformats.org/officeDocument/2006/relationships/hyperlink" Target="http://www.twitch.tv/ktmarine" TargetMode="External"/><Relationship Id="rId1047" Type="http://schemas.openxmlformats.org/officeDocument/2006/relationships/hyperlink" Target="https://pbs.twimg.com/media/EOlwGTKUEAAPmJl.jpg" TargetMode="External"/><Relationship Id="rId2378" Type="http://schemas.openxmlformats.org/officeDocument/2006/relationships/hyperlink" Target="https://www.wits.ac.za/staff/academic-a-z-listing/f/joelfranciswitsacza/" TargetMode="External"/><Relationship Id="rId249" Type="http://schemas.openxmlformats.org/officeDocument/2006/relationships/hyperlink" Target="https://pbs.twimg.com/media/EOmtfw1X4AA9E2e.jpg" TargetMode="External"/><Relationship Id="rId248" Type="http://schemas.openxmlformats.org/officeDocument/2006/relationships/hyperlink" Target="http://www.imdb.com/name/nm3623897/" TargetMode="External"/><Relationship Id="rId247" Type="http://schemas.openxmlformats.org/officeDocument/2006/relationships/hyperlink" Target="http://pic.twitter.com/rktndTkSCI" TargetMode="External"/><Relationship Id="rId1070" Type="http://schemas.openxmlformats.org/officeDocument/2006/relationships/hyperlink" Target="https://yayamentalhealth.carrd.co/" TargetMode="External"/><Relationship Id="rId1071" Type="http://schemas.openxmlformats.org/officeDocument/2006/relationships/hyperlink" Target="https://twitter.com/AidanMcCullen/status/1218193242447122434" TargetMode="External"/><Relationship Id="rId1072" Type="http://schemas.openxmlformats.org/officeDocument/2006/relationships/hyperlink" Target="http://zpr.io/thFNa" TargetMode="External"/><Relationship Id="rId242" Type="http://schemas.openxmlformats.org/officeDocument/2006/relationships/hyperlink" Target="https://www.instagram.com/p/B7e1KWmgFFh/?igshid=1m2rxqckhpfcy" TargetMode="External"/><Relationship Id="rId1073" Type="http://schemas.openxmlformats.org/officeDocument/2006/relationships/hyperlink" Target="https://pbs.twimg.com/media/EOluuVBWoAEqIAA.png" TargetMode="External"/><Relationship Id="rId241" Type="http://schemas.openxmlformats.org/officeDocument/2006/relationships/hyperlink" Target="https://cheofoundation.donordrive.com/index.cfm?fuseaction=donorDrive.event&amp;eventID=633" TargetMode="External"/><Relationship Id="rId1074" Type="http://schemas.openxmlformats.org/officeDocument/2006/relationships/hyperlink" Target="https://eatingenlightenment.com" TargetMode="External"/><Relationship Id="rId240" Type="http://schemas.openxmlformats.org/officeDocument/2006/relationships/hyperlink" Target="https://pbs.twimg.com/media/EOmu7edU4AE66lD.jpg" TargetMode="External"/><Relationship Id="rId1075" Type="http://schemas.openxmlformats.org/officeDocument/2006/relationships/hyperlink" Target="http://pic.twitter.com/cA2oydDQwz" TargetMode="External"/><Relationship Id="rId1076" Type="http://schemas.openxmlformats.org/officeDocument/2006/relationships/hyperlink" Target="http://www.goodreads.com/SpecialCornersConnie" TargetMode="External"/><Relationship Id="rId246" Type="http://schemas.openxmlformats.org/officeDocument/2006/relationships/hyperlink" Target="https://www.drchriscarreira.com" TargetMode="External"/><Relationship Id="rId1077" Type="http://schemas.openxmlformats.org/officeDocument/2006/relationships/hyperlink" Target="https://buff.ly/371Bd61" TargetMode="External"/><Relationship Id="rId245" Type="http://schemas.openxmlformats.org/officeDocument/2006/relationships/hyperlink" Target="http://www.consultinghealth.com/when-is-it-time-to-stop-therapy/" TargetMode="External"/><Relationship Id="rId1078" Type="http://schemas.openxmlformats.org/officeDocument/2006/relationships/hyperlink" Target="https://pbs.twimg.com/media/EOltih6WkAEr3Ep.jpg" TargetMode="External"/><Relationship Id="rId244" Type="http://schemas.openxmlformats.org/officeDocument/2006/relationships/hyperlink" Target="http://instagram.com/tonys_creatures" TargetMode="External"/><Relationship Id="rId1079" Type="http://schemas.openxmlformats.org/officeDocument/2006/relationships/hyperlink" Target="https://dailyhealthpost.com/gratitude-rewires-brain-happier/?fbclid=IwAR1FQ-DFXf-V6u66c25RWa0BBzovb-Uy5ygqsI8AbvJPZUGuO17oKQbsIgw" TargetMode="External"/><Relationship Id="rId243" Type="http://schemas.openxmlformats.org/officeDocument/2006/relationships/hyperlink" Target="https://pbs.twimg.com/media/EOmu1rxVAAAM42m.jpg" TargetMode="External"/><Relationship Id="rId239" Type="http://schemas.openxmlformats.org/officeDocument/2006/relationships/hyperlink" Target="http://cariniarts.com" TargetMode="External"/><Relationship Id="rId238" Type="http://schemas.openxmlformats.org/officeDocument/2006/relationships/hyperlink" Target="https://cariniarts.com/blogs/carini-arts/its-your-time-to-rise-tale-of-the-phoenix" TargetMode="External"/><Relationship Id="rId237" Type="http://schemas.openxmlformats.org/officeDocument/2006/relationships/hyperlink" Target="http://www.mhcd.org/careers" TargetMode="External"/><Relationship Id="rId236" Type="http://schemas.openxmlformats.org/officeDocument/2006/relationships/hyperlink" Target="http://bit.ly/2FZucH4" TargetMode="External"/><Relationship Id="rId2390" Type="http://schemas.openxmlformats.org/officeDocument/2006/relationships/hyperlink" Target="http://www.ecampusnews.com" TargetMode="External"/><Relationship Id="rId1060" Type="http://schemas.openxmlformats.org/officeDocument/2006/relationships/hyperlink" Target="http://www.ed-psy.com" TargetMode="External"/><Relationship Id="rId2391" Type="http://schemas.openxmlformats.org/officeDocument/2006/relationships/hyperlink" Target="https://pbs.twimg.com/media/EOkiyxrXkAAuz38.jpg" TargetMode="External"/><Relationship Id="rId1061" Type="http://schemas.openxmlformats.org/officeDocument/2006/relationships/hyperlink" Target="https://bit.ly/30o0AMP" TargetMode="External"/><Relationship Id="rId2392" Type="http://schemas.openxmlformats.org/officeDocument/2006/relationships/hyperlink" Target="https://bit.ly/2tOwiXd" TargetMode="External"/><Relationship Id="rId231" Type="http://schemas.openxmlformats.org/officeDocument/2006/relationships/hyperlink" Target="http://thebestbrainpossible.com" TargetMode="External"/><Relationship Id="rId1062" Type="http://schemas.openxmlformats.org/officeDocument/2006/relationships/hyperlink" Target="https://pbs.twimg.com/media/EOlvmWkUEAIThD2.jpg" TargetMode="External"/><Relationship Id="rId2393" Type="http://schemas.openxmlformats.org/officeDocument/2006/relationships/hyperlink" Target="https://pbs.twimg.com/media/EOkit9SUEAEbJOx.jpg" TargetMode="External"/><Relationship Id="rId230" Type="http://schemas.openxmlformats.org/officeDocument/2006/relationships/hyperlink" Target="https://pbs.twimg.com/media/EOmw1doWkAUf7JP.png" TargetMode="External"/><Relationship Id="rId1063" Type="http://schemas.openxmlformats.org/officeDocument/2006/relationships/hyperlink" Target="http://www.healthyplace.com" TargetMode="External"/><Relationship Id="rId2394" Type="http://schemas.openxmlformats.org/officeDocument/2006/relationships/hyperlink" Target="http://www.thevivek.in" TargetMode="External"/><Relationship Id="rId1064" Type="http://schemas.openxmlformats.org/officeDocument/2006/relationships/hyperlink" Target="https://www.rtmscentre.co.uk/rtms-centre-2019-success/" TargetMode="External"/><Relationship Id="rId2395" Type="http://schemas.openxmlformats.org/officeDocument/2006/relationships/hyperlink" Target="https://bookauthority.org/books/new-depression-audiobooks?t=11egqz&amp;s=award&amp;book=0399588140" TargetMode="External"/><Relationship Id="rId1065" Type="http://schemas.openxmlformats.org/officeDocument/2006/relationships/hyperlink" Target="https://rtmscentre.co.uk" TargetMode="External"/><Relationship Id="rId2396" Type="http://schemas.openxmlformats.org/officeDocument/2006/relationships/hyperlink" Target="http://www.hilaryjacobshendel.com" TargetMode="External"/><Relationship Id="rId235" Type="http://schemas.openxmlformats.org/officeDocument/2006/relationships/hyperlink" Target="https://www.instagram.com/p/B7e2I3ggx_9/?igshid=1g326we0jmun4" TargetMode="External"/><Relationship Id="rId1066" Type="http://schemas.openxmlformats.org/officeDocument/2006/relationships/hyperlink" Target="https://news.sky.com/story/call-for-all-new-fathers-to-be-routinely-checked-for-post-natal-depression-11911277" TargetMode="External"/><Relationship Id="rId2397" Type="http://schemas.openxmlformats.org/officeDocument/2006/relationships/hyperlink" Target="http://amzn.to/16y5VAa" TargetMode="External"/><Relationship Id="rId234" Type="http://schemas.openxmlformats.org/officeDocument/2006/relationships/hyperlink" Target="http://www.creativityaustralia.org.au" TargetMode="External"/><Relationship Id="rId1067" Type="http://schemas.openxmlformats.org/officeDocument/2006/relationships/hyperlink" Target="http://www.fathersrightshq.com" TargetMode="External"/><Relationship Id="rId2398" Type="http://schemas.openxmlformats.org/officeDocument/2006/relationships/hyperlink" Target="http://www.helpthinkinganew.com" TargetMode="External"/><Relationship Id="rId233" Type="http://schemas.openxmlformats.org/officeDocument/2006/relationships/hyperlink" Target="https://pbs.twimg.com/media/EOmw08FWoAACop-.jpg" TargetMode="External"/><Relationship Id="rId1068" Type="http://schemas.openxmlformats.org/officeDocument/2006/relationships/hyperlink" Target="http://yayatales.com" TargetMode="External"/><Relationship Id="rId2399" Type="http://schemas.openxmlformats.org/officeDocument/2006/relationships/hyperlink" Target="https://t.co/W5jz04uUc9" TargetMode="External"/><Relationship Id="rId232" Type="http://schemas.openxmlformats.org/officeDocument/2006/relationships/hyperlink" Target="https://buff.ly/2NuC8nY" TargetMode="External"/><Relationship Id="rId1069" Type="http://schemas.openxmlformats.org/officeDocument/2006/relationships/hyperlink" Target="https://pbs.twimg.com/media/EOlvI59WkAMWbPe.jpg" TargetMode="External"/><Relationship Id="rId1015" Type="http://schemas.openxmlformats.org/officeDocument/2006/relationships/hyperlink" Target="https://www.instagram.com/p/B7eWvdvHo86/?igshid=1j8vkus6pu0h1" TargetMode="External"/><Relationship Id="rId2346" Type="http://schemas.openxmlformats.org/officeDocument/2006/relationships/hyperlink" Target="http://www.smyls.co.uk" TargetMode="External"/><Relationship Id="rId3678" Type="http://schemas.openxmlformats.org/officeDocument/2006/relationships/hyperlink" Target="https://pbs.twimg.com/media/EOivtgPVUAElfXv.jpg" TargetMode="External"/><Relationship Id="rId1016" Type="http://schemas.openxmlformats.org/officeDocument/2006/relationships/hyperlink" Target="http://www.reverbnation.com/neema1" TargetMode="External"/><Relationship Id="rId2347" Type="http://schemas.openxmlformats.org/officeDocument/2006/relationships/hyperlink" Target="https://buff.ly/2RrNavd" TargetMode="External"/><Relationship Id="rId3677" Type="http://schemas.openxmlformats.org/officeDocument/2006/relationships/hyperlink" Target="https://twitter.com/Sairee/status/1218416921491562496" TargetMode="External"/><Relationship Id="rId1017" Type="http://schemas.openxmlformats.org/officeDocument/2006/relationships/hyperlink" Target="https://tutorintinseltown.com/the-misery-found-on-any-online-social-network/?utm_source=ReviveOldPost&amp;utm_medium=social&amp;utm_campaign=ReviveOldPost" TargetMode="External"/><Relationship Id="rId2348" Type="http://schemas.openxmlformats.org/officeDocument/2006/relationships/hyperlink" Target="https://pbs.twimg.com/media/EOklNnQW4AA-vjO.jpg" TargetMode="External"/><Relationship Id="rId1018" Type="http://schemas.openxmlformats.org/officeDocument/2006/relationships/hyperlink" Target="http://tutorintinseltown.com" TargetMode="External"/><Relationship Id="rId2349" Type="http://schemas.openxmlformats.org/officeDocument/2006/relationships/hyperlink" Target="http://thefervency.com/" TargetMode="External"/><Relationship Id="rId3679" Type="http://schemas.openxmlformats.org/officeDocument/2006/relationships/hyperlink" Target="http://www.fortishealthcare.com/india/clinical-speciality/mental-health-and-behavioural-sciences-268" TargetMode="External"/><Relationship Id="rId1019" Type="http://schemas.openxmlformats.org/officeDocument/2006/relationships/hyperlink" Target="https://pbs.twimg.com/media/EOlxcDPU0AALl1B.jpg" TargetMode="External"/><Relationship Id="rId3670" Type="http://schemas.openxmlformats.org/officeDocument/2006/relationships/hyperlink" Target="https://pbs.twimg.com/media/EOi2dxyUwAEIjEp.jpg" TargetMode="External"/><Relationship Id="rId2340" Type="http://schemas.openxmlformats.org/officeDocument/2006/relationships/hyperlink" Target="http://pic.twitter.com/l4lImFRxYm" TargetMode="External"/><Relationship Id="rId3672" Type="http://schemas.openxmlformats.org/officeDocument/2006/relationships/hyperlink" Target="https://pbs.twimg.com/media/EOi2BheWAAAqP5y.jpg" TargetMode="External"/><Relationship Id="rId1010" Type="http://schemas.openxmlformats.org/officeDocument/2006/relationships/hyperlink" Target="https://pbs.twimg.com/media/EOlyH09UUAAqbsz.jpg" TargetMode="External"/><Relationship Id="rId2341" Type="http://schemas.openxmlformats.org/officeDocument/2006/relationships/hyperlink" Target="http://www.instagram.com/IceKitty1212" TargetMode="External"/><Relationship Id="rId3671" Type="http://schemas.openxmlformats.org/officeDocument/2006/relationships/hyperlink" Target="http://www.thisizzayd.com" TargetMode="External"/><Relationship Id="rId1011" Type="http://schemas.openxmlformats.org/officeDocument/2006/relationships/hyperlink" Target="http://www.justsuminspiration.com" TargetMode="External"/><Relationship Id="rId2342" Type="http://schemas.openxmlformats.org/officeDocument/2006/relationships/hyperlink" Target="http://theautisticpoet.com" TargetMode="External"/><Relationship Id="rId3674" Type="http://schemas.openxmlformats.org/officeDocument/2006/relationships/hyperlink" Target="https://twitter.com/drwambua" TargetMode="External"/><Relationship Id="rId1012" Type="http://schemas.openxmlformats.org/officeDocument/2006/relationships/hyperlink" Target="https://youtu.be/oswUssXzFlY" TargetMode="External"/><Relationship Id="rId2343" Type="http://schemas.openxmlformats.org/officeDocument/2006/relationships/hyperlink" Target="http://bit.ly/Keyes-Polychronis" TargetMode="External"/><Relationship Id="rId3673" Type="http://schemas.openxmlformats.org/officeDocument/2006/relationships/hyperlink" Target="http://ambienteer.bandcamp.com" TargetMode="External"/><Relationship Id="rId1013" Type="http://schemas.openxmlformats.org/officeDocument/2006/relationships/hyperlink" Target="https://www.instagram.com/braintraining_club/" TargetMode="External"/><Relationship Id="rId2344" Type="http://schemas.openxmlformats.org/officeDocument/2006/relationships/hyperlink" Target="http://bit.ly/Keyes-Polychronis" TargetMode="External"/><Relationship Id="rId3676" Type="http://schemas.openxmlformats.org/officeDocument/2006/relationships/hyperlink" Target="http://www.mentalhealthspeaker.co.uk" TargetMode="External"/><Relationship Id="rId1014" Type="http://schemas.openxmlformats.org/officeDocument/2006/relationships/hyperlink" Target="http://facebook.com/amber.sobleskey" TargetMode="External"/><Relationship Id="rId2345" Type="http://schemas.openxmlformats.org/officeDocument/2006/relationships/hyperlink" Target="http://ow.ly/nBvz30g5Ige" TargetMode="External"/><Relationship Id="rId3675" Type="http://schemas.openxmlformats.org/officeDocument/2006/relationships/hyperlink" Target="http://www.linkedin.com/in/amynewtontestspecialist" TargetMode="External"/><Relationship Id="rId1004" Type="http://schemas.openxmlformats.org/officeDocument/2006/relationships/hyperlink" Target="https://pdmstrong.wordpress.com" TargetMode="External"/><Relationship Id="rId2335" Type="http://schemas.openxmlformats.org/officeDocument/2006/relationships/hyperlink" Target="http://pic.twitter.com/q302WVJA7A" TargetMode="External"/><Relationship Id="rId3667" Type="http://schemas.openxmlformats.org/officeDocument/2006/relationships/hyperlink" Target="https://pbs.twimg.com/media/EOi3crSVAAA4cV-.jpg" TargetMode="External"/><Relationship Id="rId1005" Type="http://schemas.openxmlformats.org/officeDocument/2006/relationships/hyperlink" Target="https://youtu.be/SWa0uYtnvgI" TargetMode="External"/><Relationship Id="rId2336" Type="http://schemas.openxmlformats.org/officeDocument/2006/relationships/hyperlink" Target="https://www.youtube.com/channel/UCbqFWDBnmtLFlSjgAgrO5rQ" TargetMode="External"/><Relationship Id="rId3666" Type="http://schemas.openxmlformats.org/officeDocument/2006/relationships/hyperlink" Target="https://open.spotify.com/episode/23FQP9bhcYjVd5yxM3OHsH?si=1El2VWZrST2H0m2027tPew" TargetMode="External"/><Relationship Id="rId1006" Type="http://schemas.openxmlformats.org/officeDocument/2006/relationships/hyperlink" Target="http://thehustleislifebrand.com" TargetMode="External"/><Relationship Id="rId2337" Type="http://schemas.openxmlformats.org/officeDocument/2006/relationships/hyperlink" Target="https://www.instagram.com/p/B7dwu4sgcgW/?igshid=xag75f2b8ysv" TargetMode="External"/><Relationship Id="rId3669" Type="http://schemas.openxmlformats.org/officeDocument/2006/relationships/hyperlink" Target="http://www.marinotherapycentre.com" TargetMode="External"/><Relationship Id="rId1007" Type="http://schemas.openxmlformats.org/officeDocument/2006/relationships/hyperlink" Target="http://www.sexybrilliant.com" TargetMode="External"/><Relationship Id="rId2338" Type="http://schemas.openxmlformats.org/officeDocument/2006/relationships/hyperlink" Target="http://www.cargocollective.com/ericdownstylist" TargetMode="External"/><Relationship Id="rId3668" Type="http://schemas.openxmlformats.org/officeDocument/2006/relationships/hyperlink" Target="https://www.marinotherapycentre.com/18th-january-todays-recovery-tip-speed-up-your-metabolism/" TargetMode="External"/><Relationship Id="rId1008" Type="http://schemas.openxmlformats.org/officeDocument/2006/relationships/hyperlink" Target="https://pbs.twimg.com/media/EOlyJMeUUAA75wK.jpg" TargetMode="External"/><Relationship Id="rId2339" Type="http://schemas.openxmlformats.org/officeDocument/2006/relationships/hyperlink" Target="http://www.sunriseacademytx.com" TargetMode="External"/><Relationship Id="rId1009" Type="http://schemas.openxmlformats.org/officeDocument/2006/relationships/hyperlink" Target="http://www.sexybrilliant.com" TargetMode="External"/><Relationship Id="rId3661" Type="http://schemas.openxmlformats.org/officeDocument/2006/relationships/hyperlink" Target="http://saintshealth.com" TargetMode="External"/><Relationship Id="rId2330" Type="http://schemas.openxmlformats.org/officeDocument/2006/relationships/hyperlink" Target="https://www.talkspace.com/blog/what-is-high-functioning-anxiety/" TargetMode="External"/><Relationship Id="rId3660" Type="http://schemas.openxmlformats.org/officeDocument/2006/relationships/hyperlink" Target="https://pbs.twimg.com/media/EOi5IX1WsAEDtbV.png" TargetMode="External"/><Relationship Id="rId1000" Type="http://schemas.openxmlformats.org/officeDocument/2006/relationships/hyperlink" Target="http://www.instsgram.com/nowhere.photographs" TargetMode="External"/><Relationship Id="rId2331" Type="http://schemas.openxmlformats.org/officeDocument/2006/relationships/hyperlink" Target="http://heartspringtherapy.ca" TargetMode="External"/><Relationship Id="rId3663" Type="http://schemas.openxmlformats.org/officeDocument/2006/relationships/hyperlink" Target="https://www.forbes.com/sites/alexandrawilson1/2020/01/15/exclusive-on-the-heels-of-cofounder-lawsuit-modern-health-raises-31-million-in-fresh-funding/" TargetMode="External"/><Relationship Id="rId1001" Type="http://schemas.openxmlformats.org/officeDocument/2006/relationships/hyperlink" Target="https://secure.ce-credit.com/articles/102019/Session_2_Provided-Articles-1of2.pdf" TargetMode="External"/><Relationship Id="rId2332" Type="http://schemas.openxmlformats.org/officeDocument/2006/relationships/hyperlink" Target="https://mentalhealthadvocate2024.wordpress.com" TargetMode="External"/><Relationship Id="rId3662" Type="http://schemas.openxmlformats.org/officeDocument/2006/relationships/hyperlink" Target="https://pbs.twimg.com/media/EOi47fDUwAAydA4.jpg" TargetMode="External"/><Relationship Id="rId1002" Type="http://schemas.openxmlformats.org/officeDocument/2006/relationships/hyperlink" Target="https://www.youtube.com/channel/UC1I6E15noyBLyAVReOjBR3w" TargetMode="External"/><Relationship Id="rId2333" Type="http://schemas.openxmlformats.org/officeDocument/2006/relationships/hyperlink" Target="https://pbs.twimg.com/media/EOkmIxtWoAAj4ZC.jpg" TargetMode="External"/><Relationship Id="rId3665" Type="http://schemas.openxmlformats.org/officeDocument/2006/relationships/hyperlink" Target="http://www.gipsyshruty.wordpress.com" TargetMode="External"/><Relationship Id="rId1003" Type="http://schemas.openxmlformats.org/officeDocument/2006/relationships/hyperlink" Target="https://pdmstrong.wordpress.com" TargetMode="External"/><Relationship Id="rId2334" Type="http://schemas.openxmlformats.org/officeDocument/2006/relationships/hyperlink" Target="http://www.96fm.ie" TargetMode="External"/><Relationship Id="rId3664" Type="http://schemas.openxmlformats.org/officeDocument/2006/relationships/hyperlink" Target="https://bugspeaks.com" TargetMode="External"/><Relationship Id="rId1037" Type="http://schemas.openxmlformats.org/officeDocument/2006/relationships/hyperlink" Target="https://link.medium.com/tAIkrawFd3" TargetMode="External"/><Relationship Id="rId2368" Type="http://schemas.openxmlformats.org/officeDocument/2006/relationships/hyperlink" Target="http://bloomerboomer.com" TargetMode="External"/><Relationship Id="rId1038" Type="http://schemas.openxmlformats.org/officeDocument/2006/relationships/hyperlink" Target="https://medium.com/@djemal.ua" TargetMode="External"/><Relationship Id="rId2369" Type="http://schemas.openxmlformats.org/officeDocument/2006/relationships/hyperlink" Target="https://pbs.twimg.com/media/EOkkG_WWAAAWui0.jpg" TargetMode="External"/><Relationship Id="rId3699" Type="http://schemas.openxmlformats.org/officeDocument/2006/relationships/hyperlink" Target="https://twitter.com/Sairee/status/1218416921491562496" TargetMode="External"/><Relationship Id="rId1039" Type="http://schemas.openxmlformats.org/officeDocument/2006/relationships/hyperlink" Target="http://psy.pub/hypersensitivity" TargetMode="External"/><Relationship Id="rId206" Type="http://schemas.openxmlformats.org/officeDocument/2006/relationships/hyperlink" Target="https://www.annacockayne.com/bipolar-disorder-4-signs-of-distress-in-a-loved-one/" TargetMode="External"/><Relationship Id="rId205" Type="http://schemas.openxmlformats.org/officeDocument/2006/relationships/hyperlink" Target="http://www.acetylwords.blogspot.com" TargetMode="External"/><Relationship Id="rId204" Type="http://schemas.openxmlformats.org/officeDocument/2006/relationships/hyperlink" Target="https://cheofoundation.donordrive.com/index.cfm?fuseaction=donorDrive.event&amp;eventID=633" TargetMode="External"/><Relationship Id="rId203" Type="http://schemas.openxmlformats.org/officeDocument/2006/relationships/hyperlink" Target="https://pbs.twimg.com/media/EOmzl0zUUAA7ygs.jpg" TargetMode="External"/><Relationship Id="rId209" Type="http://schemas.openxmlformats.org/officeDocument/2006/relationships/hyperlink" Target="https://pbs.twimg.com/media/EOmyZ0MUYAELFCN.jpg" TargetMode="External"/><Relationship Id="rId208" Type="http://schemas.openxmlformats.org/officeDocument/2006/relationships/hyperlink" Target="https://pbs.twimg.com/media/EOmybj8U0AEMW0R.jpg" TargetMode="External"/><Relationship Id="rId3690" Type="http://schemas.openxmlformats.org/officeDocument/2006/relationships/hyperlink" Target="http://ey.com" TargetMode="External"/><Relationship Id="rId207" Type="http://schemas.openxmlformats.org/officeDocument/2006/relationships/hyperlink" Target="https://buff.ly/2NBNl5T" TargetMode="External"/><Relationship Id="rId2360" Type="http://schemas.openxmlformats.org/officeDocument/2006/relationships/hyperlink" Target="https://buff.ly/2szmFvy" TargetMode="External"/><Relationship Id="rId3692" Type="http://schemas.openxmlformats.org/officeDocument/2006/relationships/hyperlink" Target="http://facebook.com/meannectarine" TargetMode="External"/><Relationship Id="rId1030" Type="http://schemas.openxmlformats.org/officeDocument/2006/relationships/hyperlink" Target="https://www.youtube.com/channel/UCg-ZjZxbrEhSR3Y2PvGVftQ" TargetMode="External"/><Relationship Id="rId2361" Type="http://schemas.openxmlformats.org/officeDocument/2006/relationships/hyperlink" Target="https://pbs.twimg.com/media/EOkkwTjXUAAwJsl.jpg" TargetMode="External"/><Relationship Id="rId3691" Type="http://schemas.openxmlformats.org/officeDocument/2006/relationships/hyperlink" Target="http://youtu.be/qvdY1RD8zas" TargetMode="External"/><Relationship Id="rId1031" Type="http://schemas.openxmlformats.org/officeDocument/2006/relationships/hyperlink" Target="https://pbs.twimg.com/media/EOlw7CcU4AAk92s.jpg" TargetMode="External"/><Relationship Id="rId2362" Type="http://schemas.openxmlformats.org/officeDocument/2006/relationships/hyperlink" Target="https://jobs.jptrett.com/vacancies/vacancy-search-results.aspx" TargetMode="External"/><Relationship Id="rId3694" Type="http://schemas.openxmlformats.org/officeDocument/2006/relationships/hyperlink" Target="http://cptsdfoundation.org" TargetMode="External"/><Relationship Id="rId1032" Type="http://schemas.openxmlformats.org/officeDocument/2006/relationships/hyperlink" Target="https://www.psychologytoday.com/us/blog/fixing-families/202001/7-things-do-you-separate" TargetMode="External"/><Relationship Id="rId2363" Type="http://schemas.openxmlformats.org/officeDocument/2006/relationships/hyperlink" Target="https://soundcloud.com/hcnradio/pophealth-minute-brought-to-you-by-accountable-health-llc?in=hcnradio/sets/pophealth-minutes" TargetMode="External"/><Relationship Id="rId3693" Type="http://schemas.openxmlformats.org/officeDocument/2006/relationships/hyperlink" Target="https://pbs.twimg.com/media/EOizdY6WsAEzZPs.png" TargetMode="External"/><Relationship Id="rId202" Type="http://schemas.openxmlformats.org/officeDocument/2006/relationships/hyperlink" Target="http://dimension36.blogspot.com" TargetMode="External"/><Relationship Id="rId1033" Type="http://schemas.openxmlformats.org/officeDocument/2006/relationships/hyperlink" Target="https://premium.chat/RobinMalone2468" TargetMode="External"/><Relationship Id="rId2364" Type="http://schemas.openxmlformats.org/officeDocument/2006/relationships/hyperlink" Target="https://pbs.twimg.com/media/EOkkmFkX4AIKciy.png" TargetMode="External"/><Relationship Id="rId3696" Type="http://schemas.openxmlformats.org/officeDocument/2006/relationships/hyperlink" Target="http://www.franksonnenbergonline.com" TargetMode="External"/><Relationship Id="rId201" Type="http://schemas.openxmlformats.org/officeDocument/2006/relationships/hyperlink" Target="https://www.nami.org/Find-Support/NAMI-Programs" TargetMode="External"/><Relationship Id="rId1034" Type="http://schemas.openxmlformats.org/officeDocument/2006/relationships/hyperlink" Target="http://ow.ly/NlM050vLOTB" TargetMode="External"/><Relationship Id="rId2365" Type="http://schemas.openxmlformats.org/officeDocument/2006/relationships/hyperlink" Target="http://www.accountablehealth.wordpress.com" TargetMode="External"/><Relationship Id="rId3695" Type="http://schemas.openxmlformats.org/officeDocument/2006/relationships/hyperlink" Target="http://bit.ly/2o41exz" TargetMode="External"/><Relationship Id="rId200" Type="http://schemas.openxmlformats.org/officeDocument/2006/relationships/hyperlink" Target="http://bit.ly/2KfOfkG" TargetMode="External"/><Relationship Id="rId1035" Type="http://schemas.openxmlformats.org/officeDocument/2006/relationships/hyperlink" Target="https://pbs.twimg.com/media/EOlwxVQWAAArxtl.jpg" TargetMode="External"/><Relationship Id="rId2366" Type="http://schemas.openxmlformats.org/officeDocument/2006/relationships/hyperlink" Target="https://bloomerboomer.com/mental-health-help-online/" TargetMode="External"/><Relationship Id="rId3698" Type="http://schemas.openxmlformats.org/officeDocument/2006/relationships/hyperlink" Target="https://app.wysa.io/install" TargetMode="External"/><Relationship Id="rId1036" Type="http://schemas.openxmlformats.org/officeDocument/2006/relationships/hyperlink" Target="http://www.nationalcollege.edu.au/" TargetMode="External"/><Relationship Id="rId2367" Type="http://schemas.openxmlformats.org/officeDocument/2006/relationships/hyperlink" Target="https://pbs.twimg.com/media/EOkkYx2XUAESCtU.jpg" TargetMode="External"/><Relationship Id="rId3697" Type="http://schemas.openxmlformats.org/officeDocument/2006/relationships/hyperlink" Target="https://app.wysa.io/sleep" TargetMode="External"/><Relationship Id="rId1026" Type="http://schemas.openxmlformats.org/officeDocument/2006/relationships/hyperlink" Target="https://pbs.twimg.com/media/EOlxRuPWAAIZrES.jpg" TargetMode="External"/><Relationship Id="rId2357" Type="http://schemas.openxmlformats.org/officeDocument/2006/relationships/hyperlink" Target="https://twitter.com/jillberry102/status/1218545001120129024" TargetMode="External"/><Relationship Id="rId3689" Type="http://schemas.openxmlformats.org/officeDocument/2006/relationships/hyperlink" Target="https://www.afr.com/work-and-careers/management/secret-of-my-success-think-of-macquarie-and-do-the-opposite-20200102-p53obu" TargetMode="External"/><Relationship Id="rId1027" Type="http://schemas.openxmlformats.org/officeDocument/2006/relationships/hyperlink" Target="http://www.mistrychef.com" TargetMode="External"/><Relationship Id="rId2358" Type="http://schemas.openxmlformats.org/officeDocument/2006/relationships/hyperlink" Target="http://highheelsandhighnotes.wordpress.com/" TargetMode="External"/><Relationship Id="rId3688" Type="http://schemas.openxmlformats.org/officeDocument/2006/relationships/hyperlink" Target="http://www.rebeccalombardo.com" TargetMode="External"/><Relationship Id="rId1028" Type="http://schemas.openxmlformats.org/officeDocument/2006/relationships/hyperlink" Target="http://pic.twitter.com/ZYsMHGdGww" TargetMode="External"/><Relationship Id="rId2359" Type="http://schemas.openxmlformats.org/officeDocument/2006/relationships/hyperlink" Target="https://pbs.twimg.com/media/EOkk1BVXkAAHTLv.jpg" TargetMode="External"/><Relationship Id="rId1029" Type="http://schemas.openxmlformats.org/officeDocument/2006/relationships/hyperlink" Target="http://www.meghananovisky.net" TargetMode="External"/><Relationship Id="rId3681" Type="http://schemas.openxmlformats.org/officeDocument/2006/relationships/hyperlink" Target="http://www.denizreno.com/taksu-records" TargetMode="External"/><Relationship Id="rId2350" Type="http://schemas.openxmlformats.org/officeDocument/2006/relationships/hyperlink" Target="https://www.shine.ie/vacancy-community-mental-health-worker-cork/" TargetMode="External"/><Relationship Id="rId3680" Type="http://schemas.openxmlformats.org/officeDocument/2006/relationships/hyperlink" Target="https://pbs.twimg.com/media/EOi1DKwU8AA1ZZY.jpg" TargetMode="External"/><Relationship Id="rId1020" Type="http://schemas.openxmlformats.org/officeDocument/2006/relationships/hyperlink" Target="http://crazylittlethings.site" TargetMode="External"/><Relationship Id="rId2351" Type="http://schemas.openxmlformats.org/officeDocument/2006/relationships/hyperlink" Target="https://pbs.twimg.com/media/EOklMCsXsAAHAhw.jpg" TargetMode="External"/><Relationship Id="rId3683" Type="http://schemas.openxmlformats.org/officeDocument/2006/relationships/hyperlink" Target="http://www.denizreno.com" TargetMode="External"/><Relationship Id="rId1021" Type="http://schemas.openxmlformats.org/officeDocument/2006/relationships/hyperlink" Target="https://buff.ly/2EX52In" TargetMode="External"/><Relationship Id="rId2352" Type="http://schemas.openxmlformats.org/officeDocument/2006/relationships/hyperlink" Target="http://www.shine.ie" TargetMode="External"/><Relationship Id="rId3682" Type="http://schemas.openxmlformats.org/officeDocument/2006/relationships/hyperlink" Target="http://pic.twitter.com/E5tDvmOCbi" TargetMode="External"/><Relationship Id="rId1022" Type="http://schemas.openxmlformats.org/officeDocument/2006/relationships/hyperlink" Target="https://pbs.twimg.com/media/EOlxbbtU0AAIyxc.jpg" TargetMode="External"/><Relationship Id="rId2353" Type="http://schemas.openxmlformats.org/officeDocument/2006/relationships/hyperlink" Target="https://r29.co/2FU2sDG" TargetMode="External"/><Relationship Id="rId3685" Type="http://schemas.openxmlformats.org/officeDocument/2006/relationships/hyperlink" Target="http://www.djclimpo.com" TargetMode="External"/><Relationship Id="rId1023" Type="http://schemas.openxmlformats.org/officeDocument/2006/relationships/hyperlink" Target="https://teespring.com/stores/u2u-2" TargetMode="External"/><Relationship Id="rId2354" Type="http://schemas.openxmlformats.org/officeDocument/2006/relationships/hyperlink" Target="https://www.phillyblackgiving.org/" TargetMode="External"/><Relationship Id="rId3684" Type="http://schemas.openxmlformats.org/officeDocument/2006/relationships/hyperlink" Target="http://pic.twitter.com/TcIEnGtZRj" TargetMode="External"/><Relationship Id="rId1024" Type="http://schemas.openxmlformats.org/officeDocument/2006/relationships/hyperlink" Target="https://www.verywellmind.com/how-trauma-can-lead-to-dissociative-disorders-2797534" TargetMode="External"/><Relationship Id="rId2355" Type="http://schemas.openxmlformats.org/officeDocument/2006/relationships/hyperlink" Target="https://twitter.com/white_queen31/status/1218218672461959168" TargetMode="External"/><Relationship Id="rId3687" Type="http://schemas.openxmlformats.org/officeDocument/2006/relationships/hyperlink" Target="http://www.voices-for-change.net" TargetMode="External"/><Relationship Id="rId1025" Type="http://schemas.openxmlformats.org/officeDocument/2006/relationships/hyperlink" Target="http://www.mistrychef.com" TargetMode="External"/><Relationship Id="rId2356" Type="http://schemas.openxmlformats.org/officeDocument/2006/relationships/hyperlink" Target="http://pic.twitter.com/Y442jZLXbC" TargetMode="External"/><Relationship Id="rId3686" Type="http://schemas.openxmlformats.org/officeDocument/2006/relationships/hyperlink" Target="http://tobtr.com/s/11654913" TargetMode="External"/><Relationship Id="rId1910" Type="http://schemas.openxmlformats.org/officeDocument/2006/relationships/hyperlink" Target="http://ow.ly/a4qa50x5Tst" TargetMode="External"/><Relationship Id="rId1911" Type="http://schemas.openxmlformats.org/officeDocument/2006/relationships/hyperlink" Target="https://pbs.twimg.com/media/EOk_kDtWoAIvmvf.jpg" TargetMode="External"/><Relationship Id="rId1912" Type="http://schemas.openxmlformats.org/officeDocument/2006/relationships/hyperlink" Target="http://www.anxietyuk.org.uk" TargetMode="External"/><Relationship Id="rId1913" Type="http://schemas.openxmlformats.org/officeDocument/2006/relationships/hyperlink" Target="https://www.instagram.com/p/B7d9n7zFpUV/?igshid=d99qu8ngad1z" TargetMode="External"/><Relationship Id="rId1914" Type="http://schemas.openxmlformats.org/officeDocument/2006/relationships/hyperlink" Target="https://forms.gle/33FtigkuLe2bqfFP7" TargetMode="External"/><Relationship Id="rId1915" Type="http://schemas.openxmlformats.org/officeDocument/2006/relationships/hyperlink" Target="http://www.facebook.com/BalinADurrMD" TargetMode="External"/><Relationship Id="rId1916" Type="http://schemas.openxmlformats.org/officeDocument/2006/relationships/hyperlink" Target="https://lucyathome.co.uk/life/superpower-sensitive/" TargetMode="External"/><Relationship Id="rId1917" Type="http://schemas.openxmlformats.org/officeDocument/2006/relationships/hyperlink" Target="https://pbs.twimg.com/media/EOk_GuTXkAA2e2D.jpg" TargetMode="External"/><Relationship Id="rId1918" Type="http://schemas.openxmlformats.org/officeDocument/2006/relationships/hyperlink" Target="http://lucyathome.co.uk" TargetMode="External"/><Relationship Id="rId1919" Type="http://schemas.openxmlformats.org/officeDocument/2006/relationships/hyperlink" Target="http://www.wordshardtotouch.com" TargetMode="External"/><Relationship Id="rId1900" Type="http://schemas.openxmlformats.org/officeDocument/2006/relationships/hyperlink" Target="https://pbs.twimg.com/media/EOlBA08XUAEygs5.jpg" TargetMode="External"/><Relationship Id="rId1901" Type="http://schemas.openxmlformats.org/officeDocument/2006/relationships/hyperlink" Target="http://onelink.to/dadaf" TargetMode="External"/><Relationship Id="rId1902" Type="http://schemas.openxmlformats.org/officeDocument/2006/relationships/hyperlink" Target="https://pbs.twimg.com/media/EOlAm-gWsAMK8XQ.jpg" TargetMode="External"/><Relationship Id="rId1903" Type="http://schemas.openxmlformats.org/officeDocument/2006/relationships/hyperlink" Target="http://www.blgmind.org.uk" TargetMode="External"/><Relationship Id="rId1904" Type="http://schemas.openxmlformats.org/officeDocument/2006/relationships/hyperlink" Target="http://pic.twitter.com/WjjoUx7gDb" TargetMode="External"/><Relationship Id="rId1905" Type="http://schemas.openxmlformats.org/officeDocument/2006/relationships/hyperlink" Target="http://www.goodreads.com/SpecialCornersConnie" TargetMode="External"/><Relationship Id="rId1906" Type="http://schemas.openxmlformats.org/officeDocument/2006/relationships/hyperlink" Target="http://cpix.me/a/90188215" TargetMode="External"/><Relationship Id="rId1907" Type="http://schemas.openxmlformats.org/officeDocument/2006/relationships/hyperlink" Target="https://pbs.twimg.com/media/EOlAF2FWsAEqQyo.jpg" TargetMode="External"/><Relationship Id="rId1908" Type="http://schemas.openxmlformats.org/officeDocument/2006/relationships/hyperlink" Target="http://christaemmer.com" TargetMode="External"/><Relationship Id="rId1909" Type="http://schemas.openxmlformats.org/officeDocument/2006/relationships/hyperlink" Target="http://pic.twitter.com/zvdR0yP8yW" TargetMode="External"/><Relationship Id="rId1090" Type="http://schemas.openxmlformats.org/officeDocument/2006/relationships/hyperlink" Target="https://pbs.twimg.com/media/EOlso-wU0AAl4We.jpg" TargetMode="External"/><Relationship Id="rId1091" Type="http://schemas.openxmlformats.org/officeDocument/2006/relationships/hyperlink" Target="https://bit.ly/345kOvQ" TargetMode="External"/><Relationship Id="rId1092" Type="http://schemas.openxmlformats.org/officeDocument/2006/relationships/hyperlink" Target="https://pbs.twimg.com/media/EOlsbcSUwAAHNj6.jpg" TargetMode="External"/><Relationship Id="rId1093" Type="http://schemas.openxmlformats.org/officeDocument/2006/relationships/hyperlink" Target="https://www.eventbrite.co.uk/e/2019-pmh-conference-tickets-68931085733" TargetMode="External"/><Relationship Id="rId1094" Type="http://schemas.openxmlformats.org/officeDocument/2006/relationships/hyperlink" Target="https://pineapplesupport.org/volunteer-as-a-listener/" TargetMode="External"/><Relationship Id="rId1095" Type="http://schemas.openxmlformats.org/officeDocument/2006/relationships/hyperlink" Target="https://pbs.twimg.com/media/EOlsZp8X4AIZ0TO.jpg" TargetMode="External"/><Relationship Id="rId1096" Type="http://schemas.openxmlformats.org/officeDocument/2006/relationships/hyperlink" Target="http://pineapplesupport.org" TargetMode="External"/><Relationship Id="rId1097" Type="http://schemas.openxmlformats.org/officeDocument/2006/relationships/hyperlink" Target="http://taragenovese.com" TargetMode="External"/><Relationship Id="rId1098" Type="http://schemas.openxmlformats.org/officeDocument/2006/relationships/hyperlink" Target="https://www.emcphotography.biz/portraits-1" TargetMode="External"/><Relationship Id="rId1099" Type="http://schemas.openxmlformats.org/officeDocument/2006/relationships/hyperlink" Target="https://pbs.twimg.com/media/EOlsYZdXsAMGj0u.jpg" TargetMode="External"/><Relationship Id="rId1080" Type="http://schemas.openxmlformats.org/officeDocument/2006/relationships/hyperlink" Target="https://twitter.com/bosworth_alison/status/1218614963075457025" TargetMode="External"/><Relationship Id="rId1081" Type="http://schemas.openxmlformats.org/officeDocument/2006/relationships/hyperlink" Target="https://link.medium.com/SK7FfYoTY2" TargetMode="External"/><Relationship Id="rId1082" Type="http://schemas.openxmlformats.org/officeDocument/2006/relationships/hyperlink" Target="https://medium.com/@djemal.ua" TargetMode="External"/><Relationship Id="rId1083" Type="http://schemas.openxmlformats.org/officeDocument/2006/relationships/hyperlink" Target="https://pbs.twimg.com/media/EOltPHSUUAAO8se.jpg" TargetMode="External"/><Relationship Id="rId1084" Type="http://schemas.openxmlformats.org/officeDocument/2006/relationships/hyperlink" Target="https://youtu.be/YkKrWCLdZhA" TargetMode="External"/><Relationship Id="rId1085" Type="http://schemas.openxmlformats.org/officeDocument/2006/relationships/hyperlink" Target="http://bit.ly/35yL3Lc" TargetMode="External"/><Relationship Id="rId1086" Type="http://schemas.openxmlformats.org/officeDocument/2006/relationships/hyperlink" Target="http://bit.ly/2GUbFgb" TargetMode="External"/><Relationship Id="rId1087" Type="http://schemas.openxmlformats.org/officeDocument/2006/relationships/hyperlink" Target="http://thephilosophicalpsychotic.com" TargetMode="External"/><Relationship Id="rId1088" Type="http://schemas.openxmlformats.org/officeDocument/2006/relationships/hyperlink" Target="https://link.medium.com/iUZSXU2el3" TargetMode="External"/><Relationship Id="rId1089" Type="http://schemas.openxmlformats.org/officeDocument/2006/relationships/hyperlink" Target="http://www.thedopamineflux.com" TargetMode="External"/><Relationship Id="rId1972" Type="http://schemas.openxmlformats.org/officeDocument/2006/relationships/hyperlink" Target="http://www.addabbo.org" TargetMode="External"/><Relationship Id="rId1973" Type="http://schemas.openxmlformats.org/officeDocument/2006/relationships/hyperlink" Target="http://www.sunriseacademytx.com" TargetMode="External"/><Relationship Id="rId1974" Type="http://schemas.openxmlformats.org/officeDocument/2006/relationships/hyperlink" Target="http://ow.ly/dECj30qaq2G" TargetMode="External"/><Relationship Id="rId1975" Type="http://schemas.openxmlformats.org/officeDocument/2006/relationships/hyperlink" Target="http://selfpublishersshowcase.com/promote" TargetMode="External"/><Relationship Id="rId1976" Type="http://schemas.openxmlformats.org/officeDocument/2006/relationships/hyperlink" Target="https://youtu.be/10LKmlT7CJU" TargetMode="External"/><Relationship Id="rId1977" Type="http://schemas.openxmlformats.org/officeDocument/2006/relationships/hyperlink" Target="http://www.sunriseacademytx.com" TargetMode="External"/><Relationship Id="rId1978" Type="http://schemas.openxmlformats.org/officeDocument/2006/relationships/hyperlink" Target="https://buff.ly/2TDvsYx" TargetMode="External"/><Relationship Id="rId1979" Type="http://schemas.openxmlformats.org/officeDocument/2006/relationships/hyperlink" Target="https://pbs.twimg.com/media/EOk6Cg3XkAAHMmx.jpg" TargetMode="External"/><Relationship Id="rId1970" Type="http://schemas.openxmlformats.org/officeDocument/2006/relationships/hyperlink" Target="http://ow.ly/Uf0x30q1BrR" TargetMode="External"/><Relationship Id="rId1971" Type="http://schemas.openxmlformats.org/officeDocument/2006/relationships/hyperlink" Target="https://pbs.twimg.com/media/EOk6-2nW4AEbrkq.jpg" TargetMode="External"/><Relationship Id="rId1961" Type="http://schemas.openxmlformats.org/officeDocument/2006/relationships/hyperlink" Target="https://pbs.twimg.com/media/EOk8HJJXkAE2L3i.jpg" TargetMode="External"/><Relationship Id="rId1962" Type="http://schemas.openxmlformats.org/officeDocument/2006/relationships/hyperlink" Target="http://www.healthyplace.com" TargetMode="External"/><Relationship Id="rId1963" Type="http://schemas.openxmlformats.org/officeDocument/2006/relationships/hyperlink" Target="https://www.twitch.tv/purplelambda" TargetMode="External"/><Relationship Id="rId1964" Type="http://schemas.openxmlformats.org/officeDocument/2006/relationships/hyperlink" Target="http://pic.twitter.com/PtEdhrXKOe" TargetMode="External"/><Relationship Id="rId1965" Type="http://schemas.openxmlformats.org/officeDocument/2006/relationships/hyperlink" Target="http://www.mensour.ca" TargetMode="External"/><Relationship Id="rId1966" Type="http://schemas.openxmlformats.org/officeDocument/2006/relationships/hyperlink" Target="https://pbs.twimg.com/media/EOk7oy9X0AYIb0e.jpg" TargetMode="External"/><Relationship Id="rId1967" Type="http://schemas.openxmlformats.org/officeDocument/2006/relationships/hyperlink" Target="https://katemadecrafts.co.uk/" TargetMode="External"/><Relationship Id="rId1968" Type="http://schemas.openxmlformats.org/officeDocument/2006/relationships/hyperlink" Target="https://anunapologeticredhead.com/why-nice-guys-dont-finish-last/" TargetMode="External"/><Relationship Id="rId1969" Type="http://schemas.openxmlformats.org/officeDocument/2006/relationships/hyperlink" Target="http://www.anunapologeticredhead.com" TargetMode="External"/><Relationship Id="rId1960" Type="http://schemas.openxmlformats.org/officeDocument/2006/relationships/hyperlink" Target="https://bit.ly/2RjJdZB" TargetMode="External"/><Relationship Id="rId1994" Type="http://schemas.openxmlformats.org/officeDocument/2006/relationships/hyperlink" Target="http://www.hadnet.org.uk" TargetMode="External"/><Relationship Id="rId1995" Type="http://schemas.openxmlformats.org/officeDocument/2006/relationships/hyperlink" Target="https://podcasts.apple.com/ca/podcast/fu-politics/id1472299923" TargetMode="External"/><Relationship Id="rId1996" Type="http://schemas.openxmlformats.org/officeDocument/2006/relationships/hyperlink" Target="https://pbs.twimg.com/media/EOk4q7-W4AA1nPj.jpg" TargetMode="External"/><Relationship Id="rId1997" Type="http://schemas.openxmlformats.org/officeDocument/2006/relationships/hyperlink" Target="https://katemadecrafts.co.uk/" TargetMode="External"/><Relationship Id="rId1998" Type="http://schemas.openxmlformats.org/officeDocument/2006/relationships/hyperlink" Target="https://bhive.nectar.social/Aax5Rz" TargetMode="External"/><Relationship Id="rId1999" Type="http://schemas.openxmlformats.org/officeDocument/2006/relationships/hyperlink" Target="https://www.linkedin.com/in/drgurdeepparhar/" TargetMode="External"/><Relationship Id="rId1990" Type="http://schemas.openxmlformats.org/officeDocument/2006/relationships/hyperlink" Target="https://pbs.twimg.com/media/EOk5XkiWAAE4YIZ.jpg" TargetMode="External"/><Relationship Id="rId1991" Type="http://schemas.openxmlformats.org/officeDocument/2006/relationships/hyperlink" Target="http://www.slam.org.uk" TargetMode="External"/><Relationship Id="rId1992" Type="http://schemas.openxmlformats.org/officeDocument/2006/relationships/hyperlink" Target="https://fbwat.ch/1OpU1muP2FWYVz5o" TargetMode="External"/><Relationship Id="rId1993" Type="http://schemas.openxmlformats.org/officeDocument/2006/relationships/hyperlink" Target="https://pbs.twimg.com/media/EOk457dX4AAZRGl.png" TargetMode="External"/><Relationship Id="rId1983" Type="http://schemas.openxmlformats.org/officeDocument/2006/relationships/hyperlink" Target="https://www.facebook.com/events/848248692280846/" TargetMode="External"/><Relationship Id="rId1984" Type="http://schemas.openxmlformats.org/officeDocument/2006/relationships/hyperlink" Target="http://www.jimhawkins.co.uk" TargetMode="External"/><Relationship Id="rId1985" Type="http://schemas.openxmlformats.org/officeDocument/2006/relationships/hyperlink" Target="https://www.lnk.xyz/rkPdd9RgI?aduc=UjYq8Ak1579364302485" TargetMode="External"/><Relationship Id="rId1986" Type="http://schemas.openxmlformats.org/officeDocument/2006/relationships/hyperlink" Target="http://www.goodmenproject.com" TargetMode="External"/><Relationship Id="rId1987" Type="http://schemas.openxmlformats.org/officeDocument/2006/relationships/hyperlink" Target="https://www.medscape.com/viewarticle/923347" TargetMode="External"/><Relationship Id="rId1988" Type="http://schemas.openxmlformats.org/officeDocument/2006/relationships/hyperlink" Target="http://www.linkedin.com/in/nicoletta-p-lekka-a5764b135" TargetMode="External"/><Relationship Id="rId1989" Type="http://schemas.openxmlformats.org/officeDocument/2006/relationships/hyperlink" Target="https://buff.ly/2MHv2Mf" TargetMode="External"/><Relationship Id="rId1980" Type="http://schemas.openxmlformats.org/officeDocument/2006/relationships/hyperlink" Target="https://www.tutti.space" TargetMode="External"/><Relationship Id="rId1981" Type="http://schemas.openxmlformats.org/officeDocument/2006/relationships/hyperlink" Target="http://ow.ly/F3A230q92bN" TargetMode="External"/><Relationship Id="rId1982" Type="http://schemas.openxmlformats.org/officeDocument/2006/relationships/hyperlink" Target="http://www.naminorthtexas.org" TargetMode="External"/><Relationship Id="rId1930" Type="http://schemas.openxmlformats.org/officeDocument/2006/relationships/hyperlink" Target="https://pbs.twimg.com/media/EOk-adoXkAMcRZi.jpg" TargetMode="External"/><Relationship Id="rId1931" Type="http://schemas.openxmlformats.org/officeDocument/2006/relationships/hyperlink" Target="http://www.tracyfance.com" TargetMode="External"/><Relationship Id="rId1932" Type="http://schemas.openxmlformats.org/officeDocument/2006/relationships/hyperlink" Target="http://dlvr.it/RNHtRt" TargetMode="External"/><Relationship Id="rId1933" Type="http://schemas.openxmlformats.org/officeDocument/2006/relationships/hyperlink" Target="https://pbs.twimg.com/media/EOk-Z8FUUAAEOcq.jpg" TargetMode="External"/><Relationship Id="rId1934" Type="http://schemas.openxmlformats.org/officeDocument/2006/relationships/hyperlink" Target="https://mythrivepsychology.com/dr-kristie-holmes-phd-lcsw" TargetMode="External"/><Relationship Id="rId1935" Type="http://schemas.openxmlformats.org/officeDocument/2006/relationships/hyperlink" Target="https://link.medium.com/zaLY5X9C82" TargetMode="External"/><Relationship Id="rId1936" Type="http://schemas.openxmlformats.org/officeDocument/2006/relationships/hyperlink" Target="https://medium.com/@djemal.ua" TargetMode="External"/><Relationship Id="rId1937" Type="http://schemas.openxmlformats.org/officeDocument/2006/relationships/hyperlink" Target="https://buff.ly/2QolGWq" TargetMode="External"/><Relationship Id="rId1938" Type="http://schemas.openxmlformats.org/officeDocument/2006/relationships/hyperlink" Target="https://pbs.twimg.com/media/EOk-ZagWAAIxaVW.png" TargetMode="External"/><Relationship Id="rId1939" Type="http://schemas.openxmlformats.org/officeDocument/2006/relationships/hyperlink" Target="http://www.thatweirdgirllife.com" TargetMode="External"/><Relationship Id="rId1920" Type="http://schemas.openxmlformats.org/officeDocument/2006/relationships/hyperlink" Target="https://pbs.twimg.com/media/EOk-3j1WkAANCYX.jpg" TargetMode="External"/><Relationship Id="rId1921" Type="http://schemas.openxmlformats.org/officeDocument/2006/relationships/hyperlink" Target="http://www.nknews.org/2014/12/a-look-into-the-dprk-mental-health-system/" TargetMode="External"/><Relationship Id="rId1922" Type="http://schemas.openxmlformats.org/officeDocument/2006/relationships/hyperlink" Target="http://www.awaken-mind.com" TargetMode="External"/><Relationship Id="rId1923" Type="http://schemas.openxmlformats.org/officeDocument/2006/relationships/hyperlink" Target="https://apnews.com/4d024be0cd898b35fafe7003c4cb62c8" TargetMode="External"/><Relationship Id="rId1924" Type="http://schemas.openxmlformats.org/officeDocument/2006/relationships/hyperlink" Target="https://pbs.twimg.com/media/EOk-hO8XkAQ4s72.jpg" TargetMode="External"/><Relationship Id="rId1925" Type="http://schemas.openxmlformats.org/officeDocument/2006/relationships/hyperlink" Target="https://livedexperiencepro.wixsite.com/patientexpertgroupuk" TargetMode="External"/><Relationship Id="rId1926" Type="http://schemas.openxmlformats.org/officeDocument/2006/relationships/hyperlink" Target="https://pbs.twimg.com/media/EOk-cwjUcAEq9CZ.jpg" TargetMode="External"/><Relationship Id="rId1927" Type="http://schemas.openxmlformats.org/officeDocument/2006/relationships/hyperlink" Target="http://www.moorparkkarate.com" TargetMode="External"/><Relationship Id="rId1928" Type="http://schemas.openxmlformats.org/officeDocument/2006/relationships/hyperlink" Target="https://www.theglobeandmail.com/canada/article-half-of-canadians-have-too-few-local-psychiatrists-or-none-at-all/?utm_medium=Referrer:+Social+Network+/+Media&amp;utm_campaign=Shared+Web+Article+Links" TargetMode="External"/><Relationship Id="rId1929" Type="http://schemas.openxmlformats.org/officeDocument/2006/relationships/hyperlink" Target="http://bit.ly/2TcLJ6t" TargetMode="External"/><Relationship Id="rId1950" Type="http://schemas.openxmlformats.org/officeDocument/2006/relationships/hyperlink" Target="https://pdmstrong.wordpress.com" TargetMode="External"/><Relationship Id="rId1951" Type="http://schemas.openxmlformats.org/officeDocument/2006/relationships/hyperlink" Target="https://www.instagram.com/p/B7d8JNpAJ9E/?igshid=lzq8hkvrf8b2" TargetMode="External"/><Relationship Id="rId1952" Type="http://schemas.openxmlformats.org/officeDocument/2006/relationships/hyperlink" Target="https://mindsettriangle.com" TargetMode="External"/><Relationship Id="rId1953" Type="http://schemas.openxmlformats.org/officeDocument/2006/relationships/hyperlink" Target="https://pbs.twimg.com/media/EOk8Yg2WsAEdwgF.jpg" TargetMode="External"/><Relationship Id="rId1954" Type="http://schemas.openxmlformats.org/officeDocument/2006/relationships/hyperlink" Target="http://www.redcross.ca/nl" TargetMode="External"/><Relationship Id="rId1955" Type="http://schemas.openxmlformats.org/officeDocument/2006/relationships/hyperlink" Target="http://bit.ly/2NkPYJp" TargetMode="External"/><Relationship Id="rId1956" Type="http://schemas.openxmlformats.org/officeDocument/2006/relationships/hyperlink" Target="https://www.equinoxrtc.com/" TargetMode="External"/><Relationship Id="rId1957" Type="http://schemas.openxmlformats.org/officeDocument/2006/relationships/hyperlink" Target="https://goo.gl/jMGZME" TargetMode="External"/><Relationship Id="rId1958" Type="http://schemas.openxmlformats.org/officeDocument/2006/relationships/hyperlink" Target="https://pbs.twimg.com/media/EOk8J5BXUAAMcW1.jpg" TargetMode="External"/><Relationship Id="rId1959" Type="http://schemas.openxmlformats.org/officeDocument/2006/relationships/hyperlink" Target="https://linktr.ee/janecareercoach" TargetMode="External"/><Relationship Id="rId1940" Type="http://schemas.openxmlformats.org/officeDocument/2006/relationships/hyperlink" Target="http://www.samaritansnyc.org" TargetMode="External"/><Relationship Id="rId1941" Type="http://schemas.openxmlformats.org/officeDocument/2006/relationships/hyperlink" Target="https://www.facebook.com/empathyhopeproject/" TargetMode="External"/><Relationship Id="rId1942" Type="http://schemas.openxmlformats.org/officeDocument/2006/relationships/hyperlink" Target="https://pbs.twimg.com/media/EOk9Z67UcAInlKY.jpg" TargetMode="External"/><Relationship Id="rId1943" Type="http://schemas.openxmlformats.org/officeDocument/2006/relationships/hyperlink" Target="http://depts.washington.edu/melab/" TargetMode="External"/><Relationship Id="rId1944" Type="http://schemas.openxmlformats.org/officeDocument/2006/relationships/hyperlink" Target="http://empowerhousegroup.com" TargetMode="External"/><Relationship Id="rId1945" Type="http://schemas.openxmlformats.org/officeDocument/2006/relationships/hyperlink" Target="http://pic.twitter.com/zwL5hEvrcl" TargetMode="External"/><Relationship Id="rId1946" Type="http://schemas.openxmlformats.org/officeDocument/2006/relationships/hyperlink" Target="http://www.empowerhousegroup.com" TargetMode="External"/><Relationship Id="rId1947" Type="http://schemas.openxmlformats.org/officeDocument/2006/relationships/hyperlink" Target="https://pbs.twimg.com/media/EOk88PbWkAARVw9.jpg" TargetMode="External"/><Relationship Id="rId1948" Type="http://schemas.openxmlformats.org/officeDocument/2006/relationships/hyperlink" Target="http://www.chronicloveclub.com" TargetMode="External"/><Relationship Id="rId1949" Type="http://schemas.openxmlformats.org/officeDocument/2006/relationships/hyperlink" Target="https://pdmstrong.wordpress.com" TargetMode="External"/><Relationship Id="rId2423" Type="http://schemas.openxmlformats.org/officeDocument/2006/relationships/hyperlink" Target="https://pbs.twimg.com/media/EOkg7lbU4AAovt6.jpg" TargetMode="External"/><Relationship Id="rId3755" Type="http://schemas.openxmlformats.org/officeDocument/2006/relationships/hyperlink" Target="http://patreon.com/lilymeade" TargetMode="External"/><Relationship Id="rId2424" Type="http://schemas.openxmlformats.org/officeDocument/2006/relationships/hyperlink" Target="http://www.instagram.com/mandar_._vidya" TargetMode="External"/><Relationship Id="rId3754" Type="http://schemas.openxmlformats.org/officeDocument/2006/relationships/hyperlink" Target="http://pic.twitter.com/ynBZEU3osG" TargetMode="External"/><Relationship Id="rId2425" Type="http://schemas.openxmlformats.org/officeDocument/2006/relationships/hyperlink" Target="https://pbs.twimg.com/media/EOkg06IW4AA88Pa.jpg" TargetMode="External"/><Relationship Id="rId3757" Type="http://schemas.openxmlformats.org/officeDocument/2006/relationships/hyperlink" Target="http://www.joshdanielspictures.com" TargetMode="External"/><Relationship Id="rId2426" Type="http://schemas.openxmlformats.org/officeDocument/2006/relationships/hyperlink" Target="https://canariestrust.org/join/" TargetMode="External"/><Relationship Id="rId3756" Type="http://schemas.openxmlformats.org/officeDocument/2006/relationships/hyperlink" Target="https://twitter.com/coherentstates/status/1218210230665764864" TargetMode="External"/><Relationship Id="rId2427" Type="http://schemas.openxmlformats.org/officeDocument/2006/relationships/hyperlink" Target="https://www.psychologytoday.com/us/blog/emotion-information/201905/the-trauma-and-shame-don-draper" TargetMode="External"/><Relationship Id="rId3759" Type="http://schemas.openxmlformats.org/officeDocument/2006/relationships/hyperlink" Target="https://cheriewhite.blog/2020/01/18/be-careful-of-fake-friends-not-everyone-that-is-nice-to-you-is-your-good-friend-journey2motivate-journey2motivate/" TargetMode="External"/><Relationship Id="rId2428" Type="http://schemas.openxmlformats.org/officeDocument/2006/relationships/hyperlink" Target="http://www.hilaryjacobshendel.com" TargetMode="External"/><Relationship Id="rId3758" Type="http://schemas.openxmlformats.org/officeDocument/2006/relationships/hyperlink" Target="https://www.instagram.com/p/B7cyx5tBtid/?igshid=1t8p2fd6zln7s" TargetMode="External"/><Relationship Id="rId2429" Type="http://schemas.openxmlformats.org/officeDocument/2006/relationships/hyperlink" Target="https://pbs.twimg.com/media/EOkgx_mU4AEJtYo.jpg" TargetMode="External"/><Relationship Id="rId509" Type="http://schemas.openxmlformats.org/officeDocument/2006/relationships/hyperlink" Target="https://pbs.twimg.com/media/EOmTw7xU8AAMNbT.jpg" TargetMode="External"/><Relationship Id="rId508" Type="http://schemas.openxmlformats.org/officeDocument/2006/relationships/hyperlink" Target="http://www.etsy.com/shop/RebootCreations" TargetMode="External"/><Relationship Id="rId503" Type="http://schemas.openxmlformats.org/officeDocument/2006/relationships/hyperlink" Target="http://www.sexybrilliant.com" TargetMode="External"/><Relationship Id="rId502" Type="http://schemas.openxmlformats.org/officeDocument/2006/relationships/hyperlink" Target="https://pbs.twimg.com/media/EOmUgZTUUAA1ufC.jpg" TargetMode="External"/><Relationship Id="rId501" Type="http://schemas.openxmlformats.org/officeDocument/2006/relationships/hyperlink" Target="http://www.sexybrilliant.com" TargetMode="External"/><Relationship Id="rId500" Type="http://schemas.openxmlformats.org/officeDocument/2006/relationships/hyperlink" Target="http://mentalsnapback.com" TargetMode="External"/><Relationship Id="rId507" Type="http://schemas.openxmlformats.org/officeDocument/2006/relationships/hyperlink" Target="https://pdmstrong.wordpress.com" TargetMode="External"/><Relationship Id="rId506" Type="http://schemas.openxmlformats.org/officeDocument/2006/relationships/hyperlink" Target="https://pdmstrong.wordpress.com" TargetMode="External"/><Relationship Id="rId505" Type="http://schemas.openxmlformats.org/officeDocument/2006/relationships/hyperlink" Target="http://www.charleshannahigher.com" TargetMode="External"/><Relationship Id="rId504" Type="http://schemas.openxmlformats.org/officeDocument/2006/relationships/hyperlink" Target="http://bit.ly/2sVDCwB" TargetMode="External"/><Relationship Id="rId3751" Type="http://schemas.openxmlformats.org/officeDocument/2006/relationships/hyperlink" Target="https://link.medium.com/iUZSXU2el3" TargetMode="External"/><Relationship Id="rId2420" Type="http://schemas.openxmlformats.org/officeDocument/2006/relationships/hyperlink" Target="http://pic.twitter.com/VNA7U9PY6w" TargetMode="External"/><Relationship Id="rId3750" Type="http://schemas.openxmlformats.org/officeDocument/2006/relationships/hyperlink" Target="http://www.instagram.com/livefortmw" TargetMode="External"/><Relationship Id="rId2421" Type="http://schemas.openxmlformats.org/officeDocument/2006/relationships/hyperlink" Target="https://pbs.twimg.com/media/EOkhNGuXUAEyCsp.jpg" TargetMode="External"/><Relationship Id="rId3753" Type="http://schemas.openxmlformats.org/officeDocument/2006/relationships/hyperlink" Target="http://lilymeade.com/writing-anxiety-depression/" TargetMode="External"/><Relationship Id="rId2422" Type="http://schemas.openxmlformats.org/officeDocument/2006/relationships/hyperlink" Target="http://www.patriciasteadcounselling.co.uk" TargetMode="External"/><Relationship Id="rId3752" Type="http://schemas.openxmlformats.org/officeDocument/2006/relationships/hyperlink" Target="http://www.thedopamineflux.com" TargetMode="External"/><Relationship Id="rId2412" Type="http://schemas.openxmlformats.org/officeDocument/2006/relationships/hyperlink" Target="http://sexbloggersformentalhealth.sassycat3000.net/devie-talks-dissociation-guest-blogger/" TargetMode="External"/><Relationship Id="rId3744" Type="http://schemas.openxmlformats.org/officeDocument/2006/relationships/hyperlink" Target="http://pic.twitter.com/RstiJPayDx" TargetMode="External"/><Relationship Id="rId2413" Type="http://schemas.openxmlformats.org/officeDocument/2006/relationships/hyperlink" Target="https://pbs.twimg.com/media/EOkhpN_U0AAQGII.png" TargetMode="External"/><Relationship Id="rId3743" Type="http://schemas.openxmlformats.org/officeDocument/2006/relationships/hyperlink" Target="https://pbs.twimg.com/media/EOidySFX0AA5V2u.jpg" TargetMode="External"/><Relationship Id="rId2414" Type="http://schemas.openxmlformats.org/officeDocument/2006/relationships/hyperlink" Target="http://sexbloggersformentalhealth.sassycat3000.net" TargetMode="External"/><Relationship Id="rId3746" Type="http://schemas.openxmlformats.org/officeDocument/2006/relationships/hyperlink" Target="http://www.relivenow.org" TargetMode="External"/><Relationship Id="rId2415" Type="http://schemas.openxmlformats.org/officeDocument/2006/relationships/hyperlink" Target="http://bit.ly/2DNdQPY" TargetMode="External"/><Relationship Id="rId3745" Type="http://schemas.openxmlformats.org/officeDocument/2006/relationships/hyperlink" Target="https://pbs.twimg.com/media/EOisGIYX0AACKhG.jpg" TargetMode="External"/><Relationship Id="rId2416" Type="http://schemas.openxmlformats.org/officeDocument/2006/relationships/hyperlink" Target="http://www.durham-autism.org/" TargetMode="External"/><Relationship Id="rId3748" Type="http://schemas.openxmlformats.org/officeDocument/2006/relationships/hyperlink" Target="https://pbs.twimg.com/media/EOisD2tUcAACvEg.jpg" TargetMode="External"/><Relationship Id="rId2417" Type="http://schemas.openxmlformats.org/officeDocument/2006/relationships/hyperlink" Target="https://goo.gl/alerts/4VZkZ" TargetMode="External"/><Relationship Id="rId3747" Type="http://schemas.openxmlformats.org/officeDocument/2006/relationships/hyperlink" Target="https://stress-mindfulness.annualcongress.com/" TargetMode="External"/><Relationship Id="rId2418" Type="http://schemas.openxmlformats.org/officeDocument/2006/relationships/hyperlink" Target="http://cognimmune.com" TargetMode="External"/><Relationship Id="rId2419" Type="http://schemas.openxmlformats.org/officeDocument/2006/relationships/hyperlink" Target="https://twitter.com/dempz8/status/1218533235141087233" TargetMode="External"/><Relationship Id="rId3749" Type="http://schemas.openxmlformats.org/officeDocument/2006/relationships/hyperlink" Target="https://pbs.twimg.com/media/EOir6UaWkAAPDDA.png" TargetMode="External"/><Relationship Id="rId3740" Type="http://schemas.openxmlformats.org/officeDocument/2006/relationships/hyperlink" Target="https://pbs.twimg.com/media/EOisK7BX0AI9c_b.jpg" TargetMode="External"/><Relationship Id="rId2410" Type="http://schemas.openxmlformats.org/officeDocument/2006/relationships/hyperlink" Target="https://www.bbc.co.uk/news/av/health-47006228/running-from-endometriosis-i-feel-in-control-again" TargetMode="External"/><Relationship Id="rId3742" Type="http://schemas.openxmlformats.org/officeDocument/2006/relationships/hyperlink" Target="https://twitter.com/SELearningEDU/status/1218397191695425536" TargetMode="External"/><Relationship Id="rId2411" Type="http://schemas.openxmlformats.org/officeDocument/2006/relationships/hyperlink" Target="https://pbs.twimg.com/media/EOkhr2uWoAAwJXA.jpg" TargetMode="External"/><Relationship Id="rId3741" Type="http://schemas.openxmlformats.org/officeDocument/2006/relationships/hyperlink" Target="http://www.hollygrimsrudart.com" TargetMode="External"/><Relationship Id="rId1114" Type="http://schemas.openxmlformats.org/officeDocument/2006/relationships/hyperlink" Target="https://pbs.twimg.com/media/EOlr_tzUwAAR_kt.png" TargetMode="External"/><Relationship Id="rId2445" Type="http://schemas.openxmlformats.org/officeDocument/2006/relationships/hyperlink" Target="https://pbs.twimg.com/media/EOkf_kAXkAA3_lR.jpg" TargetMode="External"/><Relationship Id="rId3777" Type="http://schemas.openxmlformats.org/officeDocument/2006/relationships/hyperlink" Target="http://tristanbund.com" TargetMode="External"/><Relationship Id="rId1115" Type="http://schemas.openxmlformats.org/officeDocument/2006/relationships/hyperlink" Target="http://www.thatweirdgirllife.com" TargetMode="External"/><Relationship Id="rId2446" Type="http://schemas.openxmlformats.org/officeDocument/2006/relationships/hyperlink" Target="http://www.relaxintuit.com" TargetMode="External"/><Relationship Id="rId3776" Type="http://schemas.openxmlformats.org/officeDocument/2006/relationships/hyperlink" Target="http://pic.twitter.com/yA0AisatxL" TargetMode="External"/><Relationship Id="rId1116" Type="http://schemas.openxmlformats.org/officeDocument/2006/relationships/hyperlink" Target="https://link.medium.com/4UlZ0wsO92" TargetMode="External"/><Relationship Id="rId2447" Type="http://schemas.openxmlformats.org/officeDocument/2006/relationships/hyperlink" Target="https://www.instagram.com/p/B7dt2ytgkBa/?igshid=1n4kr0pq2b731" TargetMode="External"/><Relationship Id="rId3779" Type="http://schemas.openxmlformats.org/officeDocument/2006/relationships/hyperlink" Target="http://www.drdeblindh.com" TargetMode="External"/><Relationship Id="rId1117" Type="http://schemas.openxmlformats.org/officeDocument/2006/relationships/hyperlink" Target="http://www.jeffreybrauer.blogspot.com/" TargetMode="External"/><Relationship Id="rId2448" Type="http://schemas.openxmlformats.org/officeDocument/2006/relationships/hyperlink" Target="http://www.getschooledtour.com" TargetMode="External"/><Relationship Id="rId3778" Type="http://schemas.openxmlformats.org/officeDocument/2006/relationships/hyperlink" Target="https://pbs.twimg.com/media/EOil5aLW4AEN-Kz.jpg" TargetMode="External"/><Relationship Id="rId1118" Type="http://schemas.openxmlformats.org/officeDocument/2006/relationships/hyperlink" Target="http://cpix.me/a/90328490" TargetMode="External"/><Relationship Id="rId2449" Type="http://schemas.openxmlformats.org/officeDocument/2006/relationships/hyperlink" Target="http://pic.twitter.com/P8eXh64HRR" TargetMode="External"/><Relationship Id="rId1119" Type="http://schemas.openxmlformats.org/officeDocument/2006/relationships/hyperlink" Target="https://pbs.twimg.com/media/EOlrzGKWoAAYSOd.jpg" TargetMode="External"/><Relationship Id="rId525" Type="http://schemas.openxmlformats.org/officeDocument/2006/relationships/hyperlink" Target="https://staroflife.ca/" TargetMode="External"/><Relationship Id="rId524" Type="http://schemas.openxmlformats.org/officeDocument/2006/relationships/hyperlink" Target="https://pbs.twimg.com/media/EOmS0lXUUAAfRoe.jpg" TargetMode="External"/><Relationship Id="rId523" Type="http://schemas.openxmlformats.org/officeDocument/2006/relationships/hyperlink" Target="https://www.youtube.com/channel/UCJTp4GjLWa5PN1FsK18V8pQ" TargetMode="External"/><Relationship Id="rId522" Type="http://schemas.openxmlformats.org/officeDocument/2006/relationships/hyperlink" Target="https://www.youtube.com/watch?v=z-m6eHz8IxU&amp;t=8s" TargetMode="External"/><Relationship Id="rId529" Type="http://schemas.openxmlformats.org/officeDocument/2006/relationships/hyperlink" Target="http://www.azemotionalhealth.com" TargetMode="External"/><Relationship Id="rId528" Type="http://schemas.openxmlformats.org/officeDocument/2006/relationships/hyperlink" Target="https://fineartamerica.com/profiles/kristina-kruskol" TargetMode="External"/><Relationship Id="rId527" Type="http://schemas.openxmlformats.org/officeDocument/2006/relationships/hyperlink" Target="https://etsy.me/38iuVyZ" TargetMode="External"/><Relationship Id="rId526" Type="http://schemas.openxmlformats.org/officeDocument/2006/relationships/hyperlink" Target="https://www.bbc.com/worklife/article/20180105-an-illustrated-guide-to-making-better-decisions" TargetMode="External"/><Relationship Id="rId3771" Type="http://schemas.openxmlformats.org/officeDocument/2006/relationships/hyperlink" Target="https://pbs.twimg.com/media/EOinVSLX4AE2rJB.png" TargetMode="External"/><Relationship Id="rId2440" Type="http://schemas.openxmlformats.org/officeDocument/2006/relationships/hyperlink" Target="https://pbs.twimg.com/media/EOkgLVJXUAE6Q5q.jpg" TargetMode="External"/><Relationship Id="rId3770" Type="http://schemas.openxmlformats.org/officeDocument/2006/relationships/hyperlink" Target="https://pbs.twimg.com/media/EOinwbQXsAA2IMT.jpg" TargetMode="External"/><Relationship Id="rId521" Type="http://schemas.openxmlformats.org/officeDocument/2006/relationships/hyperlink" Target="http://thecrazylifepodcast.weebly.com" TargetMode="External"/><Relationship Id="rId1110" Type="http://schemas.openxmlformats.org/officeDocument/2006/relationships/hyperlink" Target="https://bit.ly/2Mdz80Q" TargetMode="External"/><Relationship Id="rId2441" Type="http://schemas.openxmlformats.org/officeDocument/2006/relationships/hyperlink" Target="http://www.paradigmconsulting.com/" TargetMode="External"/><Relationship Id="rId3773" Type="http://schemas.openxmlformats.org/officeDocument/2006/relationships/hyperlink" Target="https://pbs.twimg.com/media/EOinMcyWsAASl4l.jpg" TargetMode="External"/><Relationship Id="rId520" Type="http://schemas.openxmlformats.org/officeDocument/2006/relationships/hyperlink" Target="https://pbs.twimg.com/media/EOmTE0tUUAUGM4I.jpg" TargetMode="External"/><Relationship Id="rId1111" Type="http://schemas.openxmlformats.org/officeDocument/2006/relationships/hyperlink" Target="http://www.owlpractice.ca" TargetMode="External"/><Relationship Id="rId2442" Type="http://schemas.openxmlformats.org/officeDocument/2006/relationships/hyperlink" Target="http://zack.com" TargetMode="External"/><Relationship Id="rId3772" Type="http://schemas.openxmlformats.org/officeDocument/2006/relationships/hyperlink" Target="http://www.matrrix.in" TargetMode="External"/><Relationship Id="rId1112" Type="http://schemas.openxmlformats.org/officeDocument/2006/relationships/hyperlink" Target="https://pbs.twimg.com/media/EOlsCKRWoAEnawb.jpg" TargetMode="External"/><Relationship Id="rId2443" Type="http://schemas.openxmlformats.org/officeDocument/2006/relationships/hyperlink" Target="http://relaxintuit.com" TargetMode="External"/><Relationship Id="rId3775" Type="http://schemas.openxmlformats.org/officeDocument/2006/relationships/hyperlink" Target="https://depressionmuse.wordpress.com" TargetMode="External"/><Relationship Id="rId1113" Type="http://schemas.openxmlformats.org/officeDocument/2006/relationships/hyperlink" Target="http://www.mixer.com/kelticdave" TargetMode="External"/><Relationship Id="rId2444" Type="http://schemas.openxmlformats.org/officeDocument/2006/relationships/hyperlink" Target="http://relaxintuit.com/" TargetMode="External"/><Relationship Id="rId3774" Type="http://schemas.openxmlformats.org/officeDocument/2006/relationships/hyperlink" Target="http://www.drdeblindh.com" TargetMode="External"/><Relationship Id="rId1103" Type="http://schemas.openxmlformats.org/officeDocument/2006/relationships/hyperlink" Target="https://pbs.twimg.com/media/EOlsQwUUUAAdrWY.jpg" TargetMode="External"/><Relationship Id="rId2434" Type="http://schemas.openxmlformats.org/officeDocument/2006/relationships/hyperlink" Target="https://www.washingtonpost.com/magazine/2020/01/13/what-schizophrenia-does-families-why-mental-health-system-cant-keep-up/" TargetMode="External"/><Relationship Id="rId3766" Type="http://schemas.openxmlformats.org/officeDocument/2006/relationships/hyperlink" Target="http://unsri.ac.id" TargetMode="External"/><Relationship Id="rId1104" Type="http://schemas.openxmlformats.org/officeDocument/2006/relationships/hyperlink" Target="http://www.healthyplace.com" TargetMode="External"/><Relationship Id="rId2435" Type="http://schemas.openxmlformats.org/officeDocument/2006/relationships/hyperlink" Target="http://www.andrepicard.com" TargetMode="External"/><Relationship Id="rId3765" Type="http://schemas.openxmlformats.org/officeDocument/2006/relationships/hyperlink" Target="https://soundmindrepublic.wordpress.com/" TargetMode="External"/><Relationship Id="rId1105" Type="http://schemas.openxmlformats.org/officeDocument/2006/relationships/hyperlink" Target="http://dld.bz/huDzC" TargetMode="External"/><Relationship Id="rId2436" Type="http://schemas.openxmlformats.org/officeDocument/2006/relationships/hyperlink" Target="https://www.theglobeandmail.com/canada/article-half-of-canadians-have-too-few-local-psychiatrists-or-none-at-all/?utm_medium=Referrer:+Social+Network+/+Media&amp;utm_campaign=Shared+Web+Article+Links" TargetMode="External"/><Relationship Id="rId3768" Type="http://schemas.openxmlformats.org/officeDocument/2006/relationships/hyperlink" Target="https://pbs.twimg.com/media/EOh1rLdUwAA1SFS.jpg" TargetMode="External"/><Relationship Id="rId1106" Type="http://schemas.openxmlformats.org/officeDocument/2006/relationships/hyperlink" Target="https://pbs.twimg.com/media/EOlsQ3FUEAEsu6I.jpg" TargetMode="External"/><Relationship Id="rId2437" Type="http://schemas.openxmlformats.org/officeDocument/2006/relationships/hyperlink" Target="http://www.cheo.on.ca" TargetMode="External"/><Relationship Id="rId3767" Type="http://schemas.openxmlformats.org/officeDocument/2006/relationships/hyperlink" Target="https://twitter.com/dr_samirparikh/status/1218353091629604864" TargetMode="External"/><Relationship Id="rId1107" Type="http://schemas.openxmlformats.org/officeDocument/2006/relationships/hyperlink" Target="https://mrshsfavouritethings.com/" TargetMode="External"/><Relationship Id="rId2438" Type="http://schemas.openxmlformats.org/officeDocument/2006/relationships/hyperlink" Target="http://itv.co.tz" TargetMode="External"/><Relationship Id="rId1108" Type="http://schemas.openxmlformats.org/officeDocument/2006/relationships/hyperlink" Target="https://bit.ly/2NCwAYC" TargetMode="External"/><Relationship Id="rId2439" Type="http://schemas.openxmlformats.org/officeDocument/2006/relationships/hyperlink" Target="https://buff.ly/3ajHWdB" TargetMode="External"/><Relationship Id="rId3769" Type="http://schemas.openxmlformats.org/officeDocument/2006/relationships/hyperlink" Target="http://www.sukoonhealth.com" TargetMode="External"/><Relationship Id="rId1109" Type="http://schemas.openxmlformats.org/officeDocument/2006/relationships/hyperlink" Target="https://seniorcareadvice.com/" TargetMode="External"/><Relationship Id="rId519" Type="http://schemas.openxmlformats.org/officeDocument/2006/relationships/hyperlink" Target="https://buff.ly/2tq51L2" TargetMode="External"/><Relationship Id="rId514" Type="http://schemas.openxmlformats.org/officeDocument/2006/relationships/hyperlink" Target="http://huff.to/16HSCkf" TargetMode="External"/><Relationship Id="rId513" Type="http://schemas.openxmlformats.org/officeDocument/2006/relationships/hyperlink" Target="https://lmfindlaycounsellingandtraining.wordpress.com" TargetMode="External"/><Relationship Id="rId512" Type="http://schemas.openxmlformats.org/officeDocument/2006/relationships/hyperlink" Target="http://terrisnook.wordpress.com" TargetMode="External"/><Relationship Id="rId511" Type="http://schemas.openxmlformats.org/officeDocument/2006/relationships/hyperlink" Target="https://www.merriam-webster.com/words-at-play/words-for-getting-angry-upset" TargetMode="External"/><Relationship Id="rId518" Type="http://schemas.openxmlformats.org/officeDocument/2006/relationships/hyperlink" Target="http://christsfaithfulwitness.blogspot.com" TargetMode="External"/><Relationship Id="rId517" Type="http://schemas.openxmlformats.org/officeDocument/2006/relationships/hyperlink" Target="https://pbs.twimg.com/media/EOmTIWsWAAUNROp.jpg" TargetMode="External"/><Relationship Id="rId516" Type="http://schemas.openxmlformats.org/officeDocument/2006/relationships/hyperlink" Target="https://christsfaithfulwitness.blogspot.co.at/2018/01/forgotten-fathers-waiting-room-men-in_16.html" TargetMode="External"/><Relationship Id="rId515" Type="http://schemas.openxmlformats.org/officeDocument/2006/relationships/hyperlink" Target="http://drmetzner.com/" TargetMode="External"/><Relationship Id="rId3760" Type="http://schemas.openxmlformats.org/officeDocument/2006/relationships/hyperlink" Target="https://authorcheriewhite.com/" TargetMode="External"/><Relationship Id="rId510" Type="http://schemas.openxmlformats.org/officeDocument/2006/relationships/hyperlink" Target="http://mybook.to/knots" TargetMode="External"/><Relationship Id="rId2430" Type="http://schemas.openxmlformats.org/officeDocument/2006/relationships/hyperlink" Target="https://www.justiceinfo.net/en/tribunals/national-tribunals/42008-first-dutch-islamic-state-fighter-convicted-for-war-crimes.html" TargetMode="External"/><Relationship Id="rId3762" Type="http://schemas.openxmlformats.org/officeDocument/2006/relationships/hyperlink" Target="http://twitch.tv/hanyhatbox" TargetMode="External"/><Relationship Id="rId1100" Type="http://schemas.openxmlformats.org/officeDocument/2006/relationships/hyperlink" Target="https://emcphotography.biz" TargetMode="External"/><Relationship Id="rId2431" Type="http://schemas.openxmlformats.org/officeDocument/2006/relationships/hyperlink" Target="https://ift.tt/2UzfFuI" TargetMode="External"/><Relationship Id="rId3761" Type="http://schemas.openxmlformats.org/officeDocument/2006/relationships/hyperlink" Target="https://pbs.twimg.com/media/EOipSgzUcAEnY-p.png" TargetMode="External"/><Relationship Id="rId1101" Type="http://schemas.openxmlformats.org/officeDocument/2006/relationships/hyperlink" Target="http://bit.ly/ADHD_School-Home" TargetMode="External"/><Relationship Id="rId2432" Type="http://schemas.openxmlformats.org/officeDocument/2006/relationships/hyperlink" Target="https://pbs.twimg.com/media/EOkgrWIX4AA5gF6.png" TargetMode="External"/><Relationship Id="rId3764" Type="http://schemas.openxmlformats.org/officeDocument/2006/relationships/hyperlink" Target="https://linktr.ee/dshorbauthor" TargetMode="External"/><Relationship Id="rId1102" Type="http://schemas.openxmlformats.org/officeDocument/2006/relationships/hyperlink" Target="https://bit.ly/39W7ZY4" TargetMode="External"/><Relationship Id="rId2433" Type="http://schemas.openxmlformats.org/officeDocument/2006/relationships/hyperlink" Target="http://www.dearlylovedchild.com" TargetMode="External"/><Relationship Id="rId3763" Type="http://schemas.openxmlformats.org/officeDocument/2006/relationships/hyperlink" Target="https://www.lnk.xyz/Byll3_Uqr?aduc=CD70qQ61579326352746" TargetMode="External"/><Relationship Id="rId3711" Type="http://schemas.openxmlformats.org/officeDocument/2006/relationships/hyperlink" Target="https://pbs.twimg.com/media/EOixwYlX4AAZbZR.jpg" TargetMode="External"/><Relationship Id="rId3710" Type="http://schemas.openxmlformats.org/officeDocument/2006/relationships/hyperlink" Target="https://www.hypnotherapy-directory.org.uk/hypnotherapists/susan-watson" TargetMode="External"/><Relationship Id="rId3713" Type="http://schemas.openxmlformats.org/officeDocument/2006/relationships/hyperlink" Target="https://pbs.twimg.com/media/EOixloHW4AAJLQV.jpg" TargetMode="External"/><Relationship Id="rId3712" Type="http://schemas.openxmlformats.org/officeDocument/2006/relationships/hyperlink" Target="https://business.google.com/site/l/11911151036556936442" TargetMode="External"/><Relationship Id="rId3715" Type="http://schemas.openxmlformats.org/officeDocument/2006/relationships/hyperlink" Target="http://talesofanaturalspoonie.com/2020/01/17/january-2020-a-chronic-voice-linkup-party/" TargetMode="External"/><Relationship Id="rId3714" Type="http://schemas.openxmlformats.org/officeDocument/2006/relationships/hyperlink" Target="http://breakthroughsupportandcounseling.com" TargetMode="External"/><Relationship Id="rId3717" Type="http://schemas.openxmlformats.org/officeDocument/2006/relationships/hyperlink" Target="https://lnkd.in/f-rYk4T" TargetMode="External"/><Relationship Id="rId3716" Type="http://schemas.openxmlformats.org/officeDocument/2006/relationships/hyperlink" Target="http://www.ajourneythroughthefog.co.uk" TargetMode="External"/><Relationship Id="rId3719" Type="http://schemas.openxmlformats.org/officeDocument/2006/relationships/hyperlink" Target="http://sheroes.com" TargetMode="External"/><Relationship Id="rId3718" Type="http://schemas.openxmlformats.org/officeDocument/2006/relationships/hyperlink" Target="https://pbs.twimg.com/media/EOiwh5TUwAAx2P0.jpg" TargetMode="External"/><Relationship Id="rId3700" Type="http://schemas.openxmlformats.org/officeDocument/2006/relationships/hyperlink" Target="https://pbs.twimg.com/media/EOivtgPVUAElfXv.jpg" TargetMode="External"/><Relationship Id="rId3702" Type="http://schemas.openxmlformats.org/officeDocument/2006/relationships/hyperlink" Target="https://pbs.twimg.com/media/EOiyijnXkAIS0h7.jpg" TargetMode="External"/><Relationship Id="rId3701" Type="http://schemas.openxmlformats.org/officeDocument/2006/relationships/hyperlink" Target="https://buff.ly/2NqJg5R" TargetMode="External"/><Relationship Id="rId3704" Type="http://schemas.openxmlformats.org/officeDocument/2006/relationships/hyperlink" Target="http://instagram.com/shaka.brown" TargetMode="External"/><Relationship Id="rId3703" Type="http://schemas.openxmlformats.org/officeDocument/2006/relationships/hyperlink" Target="http://www.ceruleanblu.co.uk" TargetMode="External"/><Relationship Id="rId3706" Type="http://schemas.openxmlformats.org/officeDocument/2006/relationships/hyperlink" Target="https://www.mapsofindia.com/my-india/society/is-digital-gaming-the-right-option-for-stress-management" TargetMode="External"/><Relationship Id="rId3705" Type="http://schemas.openxmlformats.org/officeDocument/2006/relationships/hyperlink" Target="https://www.instagram.com/p/B7c29c7gRof/?igshid=mwtk3fi31rz" TargetMode="External"/><Relationship Id="rId3708" Type="http://schemas.openxmlformats.org/officeDocument/2006/relationships/hyperlink" Target="https://pbs.twimg.com/media/EOix0JhXUAAVV85.jpg" TargetMode="External"/><Relationship Id="rId3707" Type="http://schemas.openxmlformats.org/officeDocument/2006/relationships/hyperlink" Target="http://www.mapsofindia.com" TargetMode="External"/><Relationship Id="rId3709" Type="http://schemas.openxmlformats.org/officeDocument/2006/relationships/hyperlink" Target="http://instagram.com/shaka.brown" TargetMode="External"/><Relationship Id="rId2401" Type="http://schemas.openxmlformats.org/officeDocument/2006/relationships/hyperlink" Target="http://connerstrongfoundation.org/" TargetMode="External"/><Relationship Id="rId3733" Type="http://schemas.openxmlformats.org/officeDocument/2006/relationships/hyperlink" Target="https://www.youtube.com/watch?v=o5osPtE7kXI" TargetMode="External"/><Relationship Id="rId2402" Type="http://schemas.openxmlformats.org/officeDocument/2006/relationships/hyperlink" Target="http://www.thelouhouse.com" TargetMode="External"/><Relationship Id="rId3732" Type="http://schemas.openxmlformats.org/officeDocument/2006/relationships/hyperlink" Target="https://linktr.ee/dshorbauthor" TargetMode="External"/><Relationship Id="rId2403" Type="http://schemas.openxmlformats.org/officeDocument/2006/relationships/hyperlink" Target="https://pbs.twimg.com/media/EOkh-_qXsAEhtjV.jpg" TargetMode="External"/><Relationship Id="rId3735" Type="http://schemas.openxmlformats.org/officeDocument/2006/relationships/hyperlink" Target="https://www.hks.harvard.edu/faculty-research/policy-topics/health/report-sadness-triggers-addictive-behavior" TargetMode="External"/><Relationship Id="rId2404" Type="http://schemas.openxmlformats.org/officeDocument/2006/relationships/hyperlink" Target="https://twitter.com/charlastevens/status/1218536670838108160" TargetMode="External"/><Relationship Id="rId3734" Type="http://schemas.openxmlformats.org/officeDocument/2006/relationships/hyperlink" Target="https://www.t-mha.org/" TargetMode="External"/><Relationship Id="rId2405" Type="http://schemas.openxmlformats.org/officeDocument/2006/relationships/hyperlink" Target="https://iamjessplant.blogspot.com/" TargetMode="External"/><Relationship Id="rId3737" Type="http://schemas.openxmlformats.org/officeDocument/2006/relationships/hyperlink" Target="http://www.drdeblindh.com" TargetMode="External"/><Relationship Id="rId2406" Type="http://schemas.openxmlformats.org/officeDocument/2006/relationships/hyperlink" Target="http://ow.ly/EcoL50xYfUF" TargetMode="External"/><Relationship Id="rId3736" Type="http://schemas.openxmlformats.org/officeDocument/2006/relationships/hyperlink" Target="http://www.annachandy.com" TargetMode="External"/><Relationship Id="rId2407" Type="http://schemas.openxmlformats.org/officeDocument/2006/relationships/hyperlink" Target="https://pbs.twimg.com/media/EOkhyH9XUAEQKid.jpg" TargetMode="External"/><Relationship Id="rId3739" Type="http://schemas.openxmlformats.org/officeDocument/2006/relationships/hyperlink" Target="https://pbs.twimg.com/media/EOisYIZXkAEqBYa.jpg" TargetMode="External"/><Relationship Id="rId2408" Type="http://schemas.openxmlformats.org/officeDocument/2006/relationships/hyperlink" Target="http://www.thelancet.com/child-adolescent" TargetMode="External"/><Relationship Id="rId3738" Type="http://schemas.openxmlformats.org/officeDocument/2006/relationships/hyperlink" Target="http://ilblogdilameduck.blogspot.com" TargetMode="External"/><Relationship Id="rId2409" Type="http://schemas.openxmlformats.org/officeDocument/2006/relationships/hyperlink" Target="https://pbs.twimg.com/media/EOkhwzcWAAEIAzK.jpg" TargetMode="External"/><Relationship Id="rId3731" Type="http://schemas.openxmlformats.org/officeDocument/2006/relationships/hyperlink" Target="https://www.lnk.xyz/BJA6d6RxL?aduc=11FvHLo1579327596650" TargetMode="External"/><Relationship Id="rId2400" Type="http://schemas.openxmlformats.org/officeDocument/2006/relationships/hyperlink" Target="https://pbs.twimg.com/media/EOkiLovXUAARkVs.jpg" TargetMode="External"/><Relationship Id="rId3730" Type="http://schemas.openxmlformats.org/officeDocument/2006/relationships/hyperlink" Target="http://www.encouragegreen.com" TargetMode="External"/><Relationship Id="rId3722" Type="http://schemas.openxmlformats.org/officeDocument/2006/relationships/hyperlink" Target="https://pbs.twimg.com/media/EOivtgPVUAElfXv.jpg" TargetMode="External"/><Relationship Id="rId3721" Type="http://schemas.openxmlformats.org/officeDocument/2006/relationships/hyperlink" Target="https://youtu.be/H8l9pK4E2aU" TargetMode="External"/><Relationship Id="rId3724" Type="http://schemas.openxmlformats.org/officeDocument/2006/relationships/hyperlink" Target="https://pbs.twimg.com/media/EOivgavX0AAs9b-.jpg" TargetMode="External"/><Relationship Id="rId3723" Type="http://schemas.openxmlformats.org/officeDocument/2006/relationships/hyperlink" Target="https://youtu.be/aRy8_h6FxsU" TargetMode="External"/><Relationship Id="rId3726" Type="http://schemas.openxmlformats.org/officeDocument/2006/relationships/hyperlink" Target="https://youtu.be/xMduamBTQK8" TargetMode="External"/><Relationship Id="rId3725" Type="http://schemas.openxmlformats.org/officeDocument/2006/relationships/hyperlink" Target="https://www.youtube.com/channel/UCQVEE5Aam-MBqPgHPwEqkKA" TargetMode="External"/><Relationship Id="rId3728" Type="http://schemas.openxmlformats.org/officeDocument/2006/relationships/hyperlink" Target="http://www.futurist.com.tr" TargetMode="External"/><Relationship Id="rId3727" Type="http://schemas.openxmlformats.org/officeDocument/2006/relationships/hyperlink" Target="https://youtu.be/xMduamBTQK8" TargetMode="External"/><Relationship Id="rId3729" Type="http://schemas.openxmlformats.org/officeDocument/2006/relationships/hyperlink" Target="https://www.instagram.com/p/B7c0x0IHjhk/?igshid=yz46xpabnn2y" TargetMode="External"/><Relationship Id="rId3720" Type="http://schemas.openxmlformats.org/officeDocument/2006/relationships/hyperlink" Target="http://www.myspace.com/lyricalspongo" TargetMode="External"/><Relationship Id="rId590" Type="http://schemas.openxmlformats.org/officeDocument/2006/relationships/hyperlink" Target="http://pic.twitter.com/wOtqHgQv58" TargetMode="External"/><Relationship Id="rId589" Type="http://schemas.openxmlformats.org/officeDocument/2006/relationships/hyperlink" Target="http://www.mhaorangeny.com" TargetMode="External"/><Relationship Id="rId588" Type="http://schemas.openxmlformats.org/officeDocument/2006/relationships/hyperlink" Target="https://pbs.twimg.com/media/EOmORQ9UEAAqGzN.jpg" TargetMode="External"/><Relationship Id="rId1170" Type="http://schemas.openxmlformats.org/officeDocument/2006/relationships/hyperlink" Target="http://therapyguy.buzzsprout.com/" TargetMode="External"/><Relationship Id="rId1171" Type="http://schemas.openxmlformats.org/officeDocument/2006/relationships/hyperlink" Target="https://pbs.twimg.com/media/EOlnp8mW4AIdxhv.jpg" TargetMode="External"/><Relationship Id="rId583" Type="http://schemas.openxmlformats.org/officeDocument/2006/relationships/hyperlink" Target="https://bit.ly/35YNYNr" TargetMode="External"/><Relationship Id="rId1172" Type="http://schemas.openxmlformats.org/officeDocument/2006/relationships/hyperlink" Target="http://www.horizonplymouth.co.uk" TargetMode="External"/><Relationship Id="rId582" Type="http://schemas.openxmlformats.org/officeDocument/2006/relationships/hyperlink" Target="http://thearseniobuckshow.com" TargetMode="External"/><Relationship Id="rId1173" Type="http://schemas.openxmlformats.org/officeDocument/2006/relationships/hyperlink" Target="http://mentalhealthtalk.info" TargetMode="External"/><Relationship Id="rId581" Type="http://schemas.openxmlformats.org/officeDocument/2006/relationships/hyperlink" Target="https://www.spreaker.com/user/thearseniobuckshow/adriana-audio?autoplay=1" TargetMode="External"/><Relationship Id="rId1174" Type="http://schemas.openxmlformats.org/officeDocument/2006/relationships/hyperlink" Target="http://www.kissmediaco.com" TargetMode="External"/><Relationship Id="rId580" Type="http://schemas.openxmlformats.org/officeDocument/2006/relationships/hyperlink" Target="http://thetestingtrio.co.uk" TargetMode="External"/><Relationship Id="rId1175" Type="http://schemas.openxmlformats.org/officeDocument/2006/relationships/hyperlink" Target="https://www.youtube.com/watch?v=3doWrVbCTF4&amp;t" TargetMode="External"/><Relationship Id="rId587" Type="http://schemas.openxmlformats.org/officeDocument/2006/relationships/hyperlink" Target="http://www.psychologicalsociety.ie/groups/Special-Interest-Group-in-Perinatal-and-Infant-Mental-Health" TargetMode="External"/><Relationship Id="rId1176" Type="http://schemas.openxmlformats.org/officeDocument/2006/relationships/hyperlink" Target="http://www.gpsmindset.com" TargetMode="External"/><Relationship Id="rId586" Type="http://schemas.openxmlformats.org/officeDocument/2006/relationships/hyperlink" Target="https://www.stylist.co.uk/long-reads/signs-of-post-natal-depression-in-mums-nhs-postpartum-stories/195244" TargetMode="External"/><Relationship Id="rId1177" Type="http://schemas.openxmlformats.org/officeDocument/2006/relationships/hyperlink" Target="https://pbs.twimg.com/media/EOlnQKLUUAAoCUF.jpg" TargetMode="External"/><Relationship Id="rId585" Type="http://schemas.openxmlformats.org/officeDocument/2006/relationships/hyperlink" Target="http://www.healthyplace.com" TargetMode="External"/><Relationship Id="rId1178" Type="http://schemas.openxmlformats.org/officeDocument/2006/relationships/hyperlink" Target="https://mentalhealthtalk.info/you-are-not-alone" TargetMode="External"/><Relationship Id="rId584" Type="http://schemas.openxmlformats.org/officeDocument/2006/relationships/hyperlink" Target="https://pbs.twimg.com/media/EOmOgLXXUAYg-YY.jpg" TargetMode="External"/><Relationship Id="rId1179" Type="http://schemas.openxmlformats.org/officeDocument/2006/relationships/hyperlink" Target="http://mentalhealthtalk.info" TargetMode="External"/><Relationship Id="rId1169" Type="http://schemas.openxmlformats.org/officeDocument/2006/relationships/hyperlink" Target="http://linktr.ee/katie._.woodland" TargetMode="External"/><Relationship Id="rId579" Type="http://schemas.openxmlformats.org/officeDocument/2006/relationships/hyperlink" Target="http://lindawellnesswarrior.com" TargetMode="External"/><Relationship Id="rId578" Type="http://schemas.openxmlformats.org/officeDocument/2006/relationships/hyperlink" Target="https://pbs.twimg.com/media/EOmOvxKX4AA4OS2.jpg" TargetMode="External"/><Relationship Id="rId577" Type="http://schemas.openxmlformats.org/officeDocument/2006/relationships/hyperlink" Target="https://ift.tt/2G5kF1b" TargetMode="External"/><Relationship Id="rId2490" Type="http://schemas.openxmlformats.org/officeDocument/2006/relationships/hyperlink" Target="https://heartspringtherapy.ca" TargetMode="External"/><Relationship Id="rId1160" Type="http://schemas.openxmlformats.org/officeDocument/2006/relationships/hyperlink" Target="https://bit.ly/2LZPPdv" TargetMode="External"/><Relationship Id="rId2491" Type="http://schemas.openxmlformats.org/officeDocument/2006/relationships/hyperlink" Target="https://pbs.twimg.com/media/EOkdi_VVUAEx2AE.jpg" TargetMode="External"/><Relationship Id="rId572" Type="http://schemas.openxmlformats.org/officeDocument/2006/relationships/hyperlink" Target="https://youtu.be/FudoiSkcTv8" TargetMode="External"/><Relationship Id="rId1161" Type="http://schemas.openxmlformats.org/officeDocument/2006/relationships/hyperlink" Target="https://pbs.twimg.com/media/EOlogCeUEAEjr2N.jpg" TargetMode="External"/><Relationship Id="rId2492" Type="http://schemas.openxmlformats.org/officeDocument/2006/relationships/hyperlink" Target="http://www.themhcomedian.com" TargetMode="External"/><Relationship Id="rId571" Type="http://schemas.openxmlformats.org/officeDocument/2006/relationships/hyperlink" Target="http://thetwinpowers.com" TargetMode="External"/><Relationship Id="rId1162" Type="http://schemas.openxmlformats.org/officeDocument/2006/relationships/hyperlink" Target="http://www.theharrisconsultinggroup.com" TargetMode="External"/><Relationship Id="rId2493" Type="http://schemas.openxmlformats.org/officeDocument/2006/relationships/hyperlink" Target="https://diffusingthetension.com/follow-me/" TargetMode="External"/><Relationship Id="rId570" Type="http://schemas.openxmlformats.org/officeDocument/2006/relationships/hyperlink" Target="https://pbs.twimg.com/media/EOmO5f9VAAAktod.jpg" TargetMode="External"/><Relationship Id="rId1163" Type="http://schemas.openxmlformats.org/officeDocument/2006/relationships/hyperlink" Target="https://twitter.com/DrP_Principal/status/1218268466026876930" TargetMode="External"/><Relationship Id="rId2494" Type="http://schemas.openxmlformats.org/officeDocument/2006/relationships/hyperlink" Target="https://standingabovethecrowd.wordpress.com/2020/01/18/jamesdonaldson-on-mentalhealth-editorial-dealing-with-suicide-by-cop/" TargetMode="External"/><Relationship Id="rId1164" Type="http://schemas.openxmlformats.org/officeDocument/2006/relationships/hyperlink" Target="https://pbs.twimg.com/media/EOgotfLWsAAl_Fx.jpg" TargetMode="External"/><Relationship Id="rId2495" Type="http://schemas.openxmlformats.org/officeDocument/2006/relationships/hyperlink" Target="http://www.teamdonaldson.posterous.com" TargetMode="External"/><Relationship Id="rId576" Type="http://schemas.openxmlformats.org/officeDocument/2006/relationships/hyperlink" Target="http://www.3kingspa.com" TargetMode="External"/><Relationship Id="rId1165" Type="http://schemas.openxmlformats.org/officeDocument/2006/relationships/hyperlink" Target="https://respectfulways.com" TargetMode="External"/><Relationship Id="rId2496" Type="http://schemas.openxmlformats.org/officeDocument/2006/relationships/hyperlink" Target="https://link.medium.com/azu0sS0Nl3" TargetMode="External"/><Relationship Id="rId575" Type="http://schemas.openxmlformats.org/officeDocument/2006/relationships/hyperlink" Target="http://apps.npr.org/mental-health/" TargetMode="External"/><Relationship Id="rId1166" Type="http://schemas.openxmlformats.org/officeDocument/2006/relationships/hyperlink" Target="https://mentalhealthtalk.info/forgive-BPD-DBT" TargetMode="External"/><Relationship Id="rId2497" Type="http://schemas.openxmlformats.org/officeDocument/2006/relationships/hyperlink" Target="https://medium.com/@djemal.ua" TargetMode="External"/><Relationship Id="rId574" Type="http://schemas.openxmlformats.org/officeDocument/2006/relationships/hyperlink" Target="http://www.theshamrockpixie.com" TargetMode="External"/><Relationship Id="rId1167" Type="http://schemas.openxmlformats.org/officeDocument/2006/relationships/hyperlink" Target="http://mentalhealthtalk.info" TargetMode="External"/><Relationship Id="rId2498" Type="http://schemas.openxmlformats.org/officeDocument/2006/relationships/hyperlink" Target="https://twitter.com/HommeFatale3141/status/1218536437701926912" TargetMode="External"/><Relationship Id="rId573" Type="http://schemas.openxmlformats.org/officeDocument/2006/relationships/hyperlink" Target="https://youtu.be/eFAQxGt_vY8" TargetMode="External"/><Relationship Id="rId1168" Type="http://schemas.openxmlformats.org/officeDocument/2006/relationships/hyperlink" Target="https://www.telegraph.co.uk/news/2020/01/03/children-mental-distress-denied-nhs-help-close-suicide/" TargetMode="External"/><Relationship Id="rId2499" Type="http://schemas.openxmlformats.org/officeDocument/2006/relationships/hyperlink" Target="https://en.wikipedia.org/wiki/Film_noir" TargetMode="External"/><Relationship Id="rId1190" Type="http://schemas.openxmlformats.org/officeDocument/2006/relationships/hyperlink" Target="http://bit.ly/2rHmPMV" TargetMode="External"/><Relationship Id="rId1191" Type="http://schemas.openxmlformats.org/officeDocument/2006/relationships/hyperlink" Target="https://pbs.twimg.com/media/EOlmNzsXUAItXIy.jpg" TargetMode="External"/><Relationship Id="rId1192" Type="http://schemas.openxmlformats.org/officeDocument/2006/relationships/hyperlink" Target="https://www.motherdistracted.co.uk" TargetMode="External"/><Relationship Id="rId1193" Type="http://schemas.openxmlformats.org/officeDocument/2006/relationships/hyperlink" Target="https://pbs.twimg.com/media/EOlmNORU8AEB82L.jpg" TargetMode="External"/><Relationship Id="rId1194" Type="http://schemas.openxmlformats.org/officeDocument/2006/relationships/hyperlink" Target="http://www.umbrellaproject.co/" TargetMode="External"/><Relationship Id="rId1195" Type="http://schemas.openxmlformats.org/officeDocument/2006/relationships/hyperlink" Target="https://pbs.twimg.com/media/EOlmKuuXUAIvmJS.jpg" TargetMode="External"/><Relationship Id="rId1196" Type="http://schemas.openxmlformats.org/officeDocument/2006/relationships/hyperlink" Target="http://livingalivegranola.ca" TargetMode="External"/><Relationship Id="rId1197" Type="http://schemas.openxmlformats.org/officeDocument/2006/relationships/hyperlink" Target="https://pbs.twimg.com/media/EOll_EoU0AAV4nw.jpg" TargetMode="External"/><Relationship Id="rId1198" Type="http://schemas.openxmlformats.org/officeDocument/2006/relationships/hyperlink" Target="http://www.facebook.com/creationsbythecountess" TargetMode="External"/><Relationship Id="rId1199" Type="http://schemas.openxmlformats.org/officeDocument/2006/relationships/hyperlink" Target="http://housemusicradio.ca" TargetMode="External"/><Relationship Id="rId599" Type="http://schemas.openxmlformats.org/officeDocument/2006/relationships/hyperlink" Target="http://bit.ly/2RyuBWp" TargetMode="External"/><Relationship Id="rId1180" Type="http://schemas.openxmlformats.org/officeDocument/2006/relationships/hyperlink" Target="https://livedexperiencepro.wixsite.com/patientexpertgroupuk" TargetMode="External"/><Relationship Id="rId1181" Type="http://schemas.openxmlformats.org/officeDocument/2006/relationships/hyperlink" Target="http://pic.twitter.com/4lff3mpmPY" TargetMode="External"/><Relationship Id="rId1182" Type="http://schemas.openxmlformats.org/officeDocument/2006/relationships/hyperlink" Target="http://www.emiliemacas.ca" TargetMode="External"/><Relationship Id="rId594" Type="http://schemas.openxmlformats.org/officeDocument/2006/relationships/hyperlink" Target="https://itunes.apple.com/us/podcast/anxzenity-podcast/id1450065642?mt=2" TargetMode="External"/><Relationship Id="rId1183" Type="http://schemas.openxmlformats.org/officeDocument/2006/relationships/hyperlink" Target="http://dwiforg.com" TargetMode="External"/><Relationship Id="rId593" Type="http://schemas.openxmlformats.org/officeDocument/2006/relationships/hyperlink" Target="http://pic.twitter.com/NN6DAm3nFP" TargetMode="External"/><Relationship Id="rId1184" Type="http://schemas.openxmlformats.org/officeDocument/2006/relationships/hyperlink" Target="https://psy.report/autism-detecting-emotions" TargetMode="External"/><Relationship Id="rId592" Type="http://schemas.openxmlformats.org/officeDocument/2006/relationships/hyperlink" Target="https://open.spotify.com/episode/0wjDPNsnOCwzJhOoccI3qD?si=y5frGT35QnqAPfKadLBt1g" TargetMode="External"/><Relationship Id="rId1185" Type="http://schemas.openxmlformats.org/officeDocument/2006/relationships/hyperlink" Target="http://www.dreampositive.info/" TargetMode="External"/><Relationship Id="rId591" Type="http://schemas.openxmlformats.org/officeDocument/2006/relationships/hyperlink" Target="http://www.thevillagefamily.org" TargetMode="External"/><Relationship Id="rId1186" Type="http://schemas.openxmlformats.org/officeDocument/2006/relationships/hyperlink" Target="https://bit.ly/36Vxg2R" TargetMode="External"/><Relationship Id="rId598" Type="http://schemas.openxmlformats.org/officeDocument/2006/relationships/hyperlink" Target="http://clearviewtreatment.com" TargetMode="External"/><Relationship Id="rId1187" Type="http://schemas.openxmlformats.org/officeDocument/2006/relationships/hyperlink" Target="http://www.instagram.com/blaikie_photography" TargetMode="External"/><Relationship Id="rId597" Type="http://schemas.openxmlformats.org/officeDocument/2006/relationships/hyperlink" Target="https://bit.ly/38gzcD0" TargetMode="External"/><Relationship Id="rId1188" Type="http://schemas.openxmlformats.org/officeDocument/2006/relationships/hyperlink" Target="https://mentalhealthtalk.info/depression-in-teens" TargetMode="External"/><Relationship Id="rId596" Type="http://schemas.openxmlformats.org/officeDocument/2006/relationships/hyperlink" Target="http://www.bindingink.blogspot.com/" TargetMode="External"/><Relationship Id="rId1189" Type="http://schemas.openxmlformats.org/officeDocument/2006/relationships/hyperlink" Target="http://mentalhealthtalk.info" TargetMode="External"/><Relationship Id="rId595" Type="http://schemas.openxmlformats.org/officeDocument/2006/relationships/hyperlink" Target="https://pbs.twimg.com/media/EOmNt5EXUAAv76o.jpg" TargetMode="External"/><Relationship Id="rId1136" Type="http://schemas.openxmlformats.org/officeDocument/2006/relationships/hyperlink" Target="https://twitter.com/NotOKApp/status/1218572801587716098" TargetMode="External"/><Relationship Id="rId2467" Type="http://schemas.openxmlformats.org/officeDocument/2006/relationships/hyperlink" Target="http://www.sunriseacademytx.com" TargetMode="External"/><Relationship Id="rId3799" Type="http://schemas.openxmlformats.org/officeDocument/2006/relationships/hyperlink" Target="https://www.linkedin.com/in/alastair-taylor-27205a22" TargetMode="External"/><Relationship Id="rId1137" Type="http://schemas.openxmlformats.org/officeDocument/2006/relationships/hyperlink" Target="https://pbs.twimg.com/media/EOk9gRrXUAEC0IV.jpg" TargetMode="External"/><Relationship Id="rId2468" Type="http://schemas.openxmlformats.org/officeDocument/2006/relationships/hyperlink" Target="https://pbs.twimg.com/media/EOkepZCW4AAndcC.jpg" TargetMode="External"/><Relationship Id="rId3798" Type="http://schemas.openxmlformats.org/officeDocument/2006/relationships/hyperlink" Target="https://youtu.be/f8iNYY7YV04" TargetMode="External"/><Relationship Id="rId1138" Type="http://schemas.openxmlformats.org/officeDocument/2006/relationships/hyperlink" Target="http://www.mhans.org/" TargetMode="External"/><Relationship Id="rId2469" Type="http://schemas.openxmlformats.org/officeDocument/2006/relationships/hyperlink" Target="http://jennifermarshall.me" TargetMode="External"/><Relationship Id="rId1139" Type="http://schemas.openxmlformats.org/officeDocument/2006/relationships/hyperlink" Target="https://youtu.be/ABQKlGs5hyw" TargetMode="External"/><Relationship Id="rId547" Type="http://schemas.openxmlformats.org/officeDocument/2006/relationships/hyperlink" Target="https://link.medium.com/bZsj5Bamf3" TargetMode="External"/><Relationship Id="rId546" Type="http://schemas.openxmlformats.org/officeDocument/2006/relationships/hyperlink" Target="https://youtu.be/q8HET2XBayk" TargetMode="External"/><Relationship Id="rId545" Type="http://schemas.openxmlformats.org/officeDocument/2006/relationships/hyperlink" Target="http://www.vsca.org" TargetMode="External"/><Relationship Id="rId544" Type="http://schemas.openxmlformats.org/officeDocument/2006/relationships/hyperlink" Target="https://pbs.twimg.com/media/EOmRME6X0AYf_1_.jpg" TargetMode="External"/><Relationship Id="rId549" Type="http://schemas.openxmlformats.org/officeDocument/2006/relationships/hyperlink" Target="http://ow.ly/5TkT50xYXYW" TargetMode="External"/><Relationship Id="rId548" Type="http://schemas.openxmlformats.org/officeDocument/2006/relationships/hyperlink" Target="https://medium.com/@djemal.ua" TargetMode="External"/><Relationship Id="rId3791" Type="http://schemas.openxmlformats.org/officeDocument/2006/relationships/hyperlink" Target="http://pic.twitter.com/KOpGcL0FOH" TargetMode="External"/><Relationship Id="rId2460" Type="http://schemas.openxmlformats.org/officeDocument/2006/relationships/hyperlink" Target="https://bit.ly/2TrlXvi" TargetMode="External"/><Relationship Id="rId3790" Type="http://schemas.openxmlformats.org/officeDocument/2006/relationships/hyperlink" Target="http://madinasia.org" TargetMode="External"/><Relationship Id="rId1130" Type="http://schemas.openxmlformats.org/officeDocument/2006/relationships/hyperlink" Target="http://pic.twitter.com/fHHthQRxj1" TargetMode="External"/><Relationship Id="rId2461" Type="http://schemas.openxmlformats.org/officeDocument/2006/relationships/hyperlink" Target="http://www.startupdonut.co.uk" TargetMode="External"/><Relationship Id="rId3793" Type="http://schemas.openxmlformats.org/officeDocument/2006/relationships/hyperlink" Target="https://buff.ly/2SPBAfU" TargetMode="External"/><Relationship Id="rId1131" Type="http://schemas.openxmlformats.org/officeDocument/2006/relationships/hyperlink" Target="https://twitter.com/NotOKApp/status/1218603781484617729" TargetMode="External"/><Relationship Id="rId2462" Type="http://schemas.openxmlformats.org/officeDocument/2006/relationships/hyperlink" Target="https://abillionthingstodo.com/life/Something-about-Depression" TargetMode="External"/><Relationship Id="rId3792" Type="http://schemas.openxmlformats.org/officeDocument/2006/relationships/hyperlink" Target="http://www.facebook.com/CoachTrixtaria" TargetMode="External"/><Relationship Id="rId543" Type="http://schemas.openxmlformats.org/officeDocument/2006/relationships/hyperlink" Target="http://www.vsca.org" TargetMode="External"/><Relationship Id="rId1132" Type="http://schemas.openxmlformats.org/officeDocument/2006/relationships/hyperlink" Target="https://pbs.twimg.com/media/EOlZrbeWsAALVTj.jpg" TargetMode="External"/><Relationship Id="rId2463" Type="http://schemas.openxmlformats.org/officeDocument/2006/relationships/hyperlink" Target="http://pic.twitter.com/vwnHMiDvwI" TargetMode="External"/><Relationship Id="rId3795" Type="http://schemas.openxmlformats.org/officeDocument/2006/relationships/hyperlink" Target="http://www.talentacademy.com.hk" TargetMode="External"/><Relationship Id="rId542" Type="http://schemas.openxmlformats.org/officeDocument/2006/relationships/hyperlink" Target="https://pbs.twimg.com/media/EOmRbbLU0AA0S1t.jpg" TargetMode="External"/><Relationship Id="rId1133" Type="http://schemas.openxmlformats.org/officeDocument/2006/relationships/hyperlink" Target="http://www.mhans.org/" TargetMode="External"/><Relationship Id="rId2464" Type="http://schemas.openxmlformats.org/officeDocument/2006/relationships/hyperlink" Target="http://www.abillionthingstodo.com" TargetMode="External"/><Relationship Id="rId3794" Type="http://schemas.openxmlformats.org/officeDocument/2006/relationships/hyperlink" Target="https://pbs.twimg.com/media/EOij5VhX4AAKhhG.jpg" TargetMode="External"/><Relationship Id="rId541" Type="http://schemas.openxmlformats.org/officeDocument/2006/relationships/hyperlink" Target="https://medicine.yale.edu/pediatrics/" TargetMode="External"/><Relationship Id="rId1134" Type="http://schemas.openxmlformats.org/officeDocument/2006/relationships/hyperlink" Target="https://pbs.twimg.com/media/EOlqQQPUYAASZ1U.jpg" TargetMode="External"/><Relationship Id="rId2465" Type="http://schemas.openxmlformats.org/officeDocument/2006/relationships/hyperlink" Target="https://pbs.twimg.com/media/EOke2z1XUAATDiM.jpg" TargetMode="External"/><Relationship Id="rId3797" Type="http://schemas.openxmlformats.org/officeDocument/2006/relationships/hyperlink" Target="https://amcnallyauthor.wordpress.com" TargetMode="External"/><Relationship Id="rId540" Type="http://schemas.openxmlformats.org/officeDocument/2006/relationships/hyperlink" Target="https://www.nbcnews.com/better/lifestyle/mental-health-how-we-ve-improved-where-we-need-do-ncna1108721" TargetMode="External"/><Relationship Id="rId1135" Type="http://schemas.openxmlformats.org/officeDocument/2006/relationships/hyperlink" Target="http://www.stancho.ca" TargetMode="External"/><Relationship Id="rId2466" Type="http://schemas.openxmlformats.org/officeDocument/2006/relationships/hyperlink" Target="http://fb.me/PinkandwildOfficial" TargetMode="External"/><Relationship Id="rId3796" Type="http://schemas.openxmlformats.org/officeDocument/2006/relationships/hyperlink" Target="https://allauthor.com/amazon/33694/" TargetMode="External"/><Relationship Id="rId1125" Type="http://schemas.openxmlformats.org/officeDocument/2006/relationships/hyperlink" Target="http://www.instagram.com/romeoluzanojr" TargetMode="External"/><Relationship Id="rId2456" Type="http://schemas.openxmlformats.org/officeDocument/2006/relationships/hyperlink" Target="https://pbs.twimg.com/media/EOkfvUJWAAASlgO.jpg" TargetMode="External"/><Relationship Id="rId3788" Type="http://schemas.openxmlformats.org/officeDocument/2006/relationships/hyperlink" Target="https://madinasia.org/2020/01/when-youre-very-very-tired-you-cant-throw-your-tired-away/" TargetMode="External"/><Relationship Id="rId1126" Type="http://schemas.openxmlformats.org/officeDocument/2006/relationships/hyperlink" Target="http://ow.ly/4RdY50xYxA1" TargetMode="External"/><Relationship Id="rId2457" Type="http://schemas.openxmlformats.org/officeDocument/2006/relationships/hyperlink" Target="https://bit.ly/2tOwiXd" TargetMode="External"/><Relationship Id="rId3787" Type="http://schemas.openxmlformats.org/officeDocument/2006/relationships/hyperlink" Target="https://mobile.twitter.com/ayesh_e_noor24" TargetMode="External"/><Relationship Id="rId1127" Type="http://schemas.openxmlformats.org/officeDocument/2006/relationships/hyperlink" Target="http://www.healthcentral.com" TargetMode="External"/><Relationship Id="rId2458" Type="http://schemas.openxmlformats.org/officeDocument/2006/relationships/hyperlink" Target="https://www.hilaryjacobshendel.com/post/disgust" TargetMode="External"/><Relationship Id="rId1128" Type="http://schemas.openxmlformats.org/officeDocument/2006/relationships/hyperlink" Target="http://bit.ly/1G2s7DX" TargetMode="External"/><Relationship Id="rId2459" Type="http://schemas.openxmlformats.org/officeDocument/2006/relationships/hyperlink" Target="http://www.hilaryjacobshendel.com" TargetMode="External"/><Relationship Id="rId3789" Type="http://schemas.openxmlformats.org/officeDocument/2006/relationships/hyperlink" Target="https://pbs.twimg.com/media/EOikEyrVUAIQlOb.jpg" TargetMode="External"/><Relationship Id="rId1129" Type="http://schemas.openxmlformats.org/officeDocument/2006/relationships/hyperlink" Target="http://drmetzner.com/" TargetMode="External"/><Relationship Id="rId536" Type="http://schemas.openxmlformats.org/officeDocument/2006/relationships/hyperlink" Target="https://pbs.twimg.com/media/EOmRzYhVUAE9YVc.jpg" TargetMode="External"/><Relationship Id="rId535" Type="http://schemas.openxmlformats.org/officeDocument/2006/relationships/hyperlink" Target="http://www.parentsvoice.co.uk" TargetMode="External"/><Relationship Id="rId534" Type="http://schemas.openxmlformats.org/officeDocument/2006/relationships/hyperlink" Target="http://bit.ly/YMcrisis5" TargetMode="External"/><Relationship Id="rId533" Type="http://schemas.openxmlformats.org/officeDocument/2006/relationships/hyperlink" Target="http://www.teamsters362.com" TargetMode="External"/><Relationship Id="rId539" Type="http://schemas.openxmlformats.org/officeDocument/2006/relationships/hyperlink" Target="https://www.thriveglobal.com/authors/59-lisa-gallagher" TargetMode="External"/><Relationship Id="rId538" Type="http://schemas.openxmlformats.org/officeDocument/2006/relationships/hyperlink" Target="https://link.medium.com/B2tzyhZIFU" TargetMode="External"/><Relationship Id="rId537" Type="http://schemas.openxmlformats.org/officeDocument/2006/relationships/hyperlink" Target="https://www.theanxietyguy.com" TargetMode="External"/><Relationship Id="rId3780" Type="http://schemas.openxmlformats.org/officeDocument/2006/relationships/hyperlink" Target="http://www.powerglobal.us" TargetMode="External"/><Relationship Id="rId2450" Type="http://schemas.openxmlformats.org/officeDocument/2006/relationships/hyperlink" Target="http://unknowninfinityescape.blogspot.com/?m=1" TargetMode="External"/><Relationship Id="rId3782" Type="http://schemas.openxmlformats.org/officeDocument/2006/relationships/hyperlink" Target="https://pbs.twimg.com/media/EOiltjYWkAArYKN.jpg" TargetMode="External"/><Relationship Id="rId1120" Type="http://schemas.openxmlformats.org/officeDocument/2006/relationships/hyperlink" Target="http://www.facebook.com/anthonyorlandorealtor" TargetMode="External"/><Relationship Id="rId2451" Type="http://schemas.openxmlformats.org/officeDocument/2006/relationships/hyperlink" Target="https://www.washingtonpost.com/national/fighting-suicides-in-dairy-country-through-a-farmer-angel-network/2020/01/17/33f3f584-38c6-11ea-9541-9107303481a4_story.html" TargetMode="External"/><Relationship Id="rId3781" Type="http://schemas.openxmlformats.org/officeDocument/2006/relationships/hyperlink" Target="http://instagram.com/shaka.brown" TargetMode="External"/><Relationship Id="rId532" Type="http://schemas.openxmlformats.org/officeDocument/2006/relationships/hyperlink" Target="http://ow.ly/aaVJ30q8J8L" TargetMode="External"/><Relationship Id="rId1121" Type="http://schemas.openxmlformats.org/officeDocument/2006/relationships/hyperlink" Target="https://pbs.twimg.com/media/EOlryy0UEAAwe1x.jpg" TargetMode="External"/><Relationship Id="rId2452" Type="http://schemas.openxmlformats.org/officeDocument/2006/relationships/hyperlink" Target="http://www.andrepicard.com" TargetMode="External"/><Relationship Id="rId3784" Type="http://schemas.openxmlformats.org/officeDocument/2006/relationships/hyperlink" Target="http://keto-cafe.co.uk" TargetMode="External"/><Relationship Id="rId531" Type="http://schemas.openxmlformats.org/officeDocument/2006/relationships/hyperlink" Target="http://www.azemotionalhealth.com" TargetMode="External"/><Relationship Id="rId1122" Type="http://schemas.openxmlformats.org/officeDocument/2006/relationships/hyperlink" Target="https://mxrshmallowqueen.com" TargetMode="External"/><Relationship Id="rId2453" Type="http://schemas.openxmlformats.org/officeDocument/2006/relationships/hyperlink" Target="http://runningfromtheblackdog.com/hello-blue-skies" TargetMode="External"/><Relationship Id="rId3783" Type="http://schemas.openxmlformats.org/officeDocument/2006/relationships/hyperlink" Target="https://psychcentral.com/news/2020/01/15/does-it-matter-what-we-eat-for-our-mental-health/153072.html" TargetMode="External"/><Relationship Id="rId530" Type="http://schemas.openxmlformats.org/officeDocument/2006/relationships/hyperlink" Target="https://pbs.twimg.com/media/EOmR_IKUUAAnzLU.jpg" TargetMode="External"/><Relationship Id="rId1123" Type="http://schemas.openxmlformats.org/officeDocument/2006/relationships/hyperlink" Target="https://medium.com/wilder-with-yael-wolfe/let-the-light-in-bfb24b3fc881?source=friends_link&amp;sk=b822b9f0a14181d64f762c1d2bad3c14" TargetMode="External"/><Relationship Id="rId2454" Type="http://schemas.openxmlformats.org/officeDocument/2006/relationships/hyperlink" Target="http://www.runningfromtheblackdog.com" TargetMode="External"/><Relationship Id="rId3786" Type="http://schemas.openxmlformats.org/officeDocument/2006/relationships/hyperlink" Target="https://pbs.twimg.com/media/EOikROdWkAAur1N.jpg" TargetMode="External"/><Relationship Id="rId1124" Type="http://schemas.openxmlformats.org/officeDocument/2006/relationships/hyperlink" Target="https://medium.com/@yaelwolfe" TargetMode="External"/><Relationship Id="rId2455" Type="http://schemas.openxmlformats.org/officeDocument/2006/relationships/hyperlink" Target="https://www.theguardian.com/education/2020/jan/17/schools-converting-toilet-blocks-into-isolation-booths" TargetMode="External"/><Relationship Id="rId3785" Type="http://schemas.openxmlformats.org/officeDocument/2006/relationships/hyperlink" Target="http://www.drdeblindh.com" TargetMode="External"/><Relationship Id="rId1158" Type="http://schemas.openxmlformats.org/officeDocument/2006/relationships/hyperlink" Target="https://pbs.twimg.com/media/EOlou1zX0AAMOBu.jpg" TargetMode="External"/><Relationship Id="rId2489" Type="http://schemas.openxmlformats.org/officeDocument/2006/relationships/hyperlink" Target="https://www.johninbristol.co.uk" TargetMode="External"/><Relationship Id="rId1159" Type="http://schemas.openxmlformats.org/officeDocument/2006/relationships/hyperlink" Target="http://www.janicelyons.com/the-podcast/" TargetMode="External"/><Relationship Id="rId569" Type="http://schemas.openxmlformats.org/officeDocument/2006/relationships/hyperlink" Target="http://www.sunriseacademytx.com" TargetMode="External"/><Relationship Id="rId568" Type="http://schemas.openxmlformats.org/officeDocument/2006/relationships/hyperlink" Target="http://www.switch-up.org.uk" TargetMode="External"/><Relationship Id="rId567" Type="http://schemas.openxmlformats.org/officeDocument/2006/relationships/hyperlink" Target="https://www.linkedin.com/in/gerald-mcgee-61590816" TargetMode="External"/><Relationship Id="rId566" Type="http://schemas.openxmlformats.org/officeDocument/2006/relationships/hyperlink" Target="http://www.djdavelive.com" TargetMode="External"/><Relationship Id="rId2480" Type="http://schemas.openxmlformats.org/officeDocument/2006/relationships/hyperlink" Target="http://www.hifa.org/support/members/emmanuel-ifechukwude" TargetMode="External"/><Relationship Id="rId561" Type="http://schemas.openxmlformats.org/officeDocument/2006/relationships/hyperlink" Target="https://www.thepathofme.com/" TargetMode="External"/><Relationship Id="rId1150" Type="http://schemas.openxmlformats.org/officeDocument/2006/relationships/hyperlink" Target="https://mentalhealthtalk.info/depression-love-relationship" TargetMode="External"/><Relationship Id="rId2481" Type="http://schemas.openxmlformats.org/officeDocument/2006/relationships/hyperlink" Target="http://totalrecoveryarizona.com/" TargetMode="External"/><Relationship Id="rId560" Type="http://schemas.openxmlformats.org/officeDocument/2006/relationships/hyperlink" Target="http://tobtr.com/11135389" TargetMode="External"/><Relationship Id="rId1151" Type="http://schemas.openxmlformats.org/officeDocument/2006/relationships/hyperlink" Target="http://mentalhealthtalk.info" TargetMode="External"/><Relationship Id="rId2482" Type="http://schemas.openxmlformats.org/officeDocument/2006/relationships/hyperlink" Target="https://pbs.twimg.com/media/EOkeGkhX4AE6RIh.jpg" TargetMode="External"/><Relationship Id="rId1152" Type="http://schemas.openxmlformats.org/officeDocument/2006/relationships/hyperlink" Target="https://bit.ly/3algvzV" TargetMode="External"/><Relationship Id="rId2483" Type="http://schemas.openxmlformats.org/officeDocument/2006/relationships/hyperlink" Target="http://daveharford.wordpress.com/" TargetMode="External"/><Relationship Id="rId1153" Type="http://schemas.openxmlformats.org/officeDocument/2006/relationships/hyperlink" Target="https://pbs.twimg.com/media/EOlo-NJXUAANds5.jpg" TargetMode="External"/><Relationship Id="rId2484" Type="http://schemas.openxmlformats.org/officeDocument/2006/relationships/hyperlink" Target="https://www.uprooted.info/how-would-you-convince-someone-not-to-commit-suicide/" TargetMode="External"/><Relationship Id="rId565" Type="http://schemas.openxmlformats.org/officeDocument/2006/relationships/hyperlink" Target="https://www.torontohousemusicfestival.com" TargetMode="External"/><Relationship Id="rId1154" Type="http://schemas.openxmlformats.org/officeDocument/2006/relationships/hyperlink" Target="http://www.caswa.org.uk" TargetMode="External"/><Relationship Id="rId2485" Type="http://schemas.openxmlformats.org/officeDocument/2006/relationships/hyperlink" Target="http://relaxintuit.com" TargetMode="External"/><Relationship Id="rId564" Type="http://schemas.openxmlformats.org/officeDocument/2006/relationships/hyperlink" Target="http://housemusicradio.ca" TargetMode="External"/><Relationship Id="rId1155" Type="http://schemas.openxmlformats.org/officeDocument/2006/relationships/hyperlink" Target="https://bit.ly/2TmO7ri" TargetMode="External"/><Relationship Id="rId2486" Type="http://schemas.openxmlformats.org/officeDocument/2006/relationships/hyperlink" Target="https://pbs.twimg.com/media/EOkdx-WWAAADw6B.jpg" TargetMode="External"/><Relationship Id="rId563" Type="http://schemas.openxmlformats.org/officeDocument/2006/relationships/hyperlink" Target="http://www.danieledawes.com" TargetMode="External"/><Relationship Id="rId1156" Type="http://schemas.openxmlformats.org/officeDocument/2006/relationships/hyperlink" Target="https://pbs.twimg.com/media/EOlovAIX0AErbe3.jpg" TargetMode="External"/><Relationship Id="rId2487" Type="http://schemas.openxmlformats.org/officeDocument/2006/relationships/hyperlink" Target="http://www.relaxintuit.com" TargetMode="External"/><Relationship Id="rId562" Type="http://schemas.openxmlformats.org/officeDocument/2006/relationships/hyperlink" Target="https://twitter.com/namiminnesota/status/1218602995832590336" TargetMode="External"/><Relationship Id="rId1157" Type="http://schemas.openxmlformats.org/officeDocument/2006/relationships/hyperlink" Target="http://www.healthyplace.com" TargetMode="External"/><Relationship Id="rId2488" Type="http://schemas.openxmlformats.org/officeDocument/2006/relationships/hyperlink" Target="https://pbs.twimg.com/media/EOkdfIdXkAEcrEP.jpg" TargetMode="External"/><Relationship Id="rId1147" Type="http://schemas.openxmlformats.org/officeDocument/2006/relationships/hyperlink" Target="http://www.wiltongroup.ca" TargetMode="External"/><Relationship Id="rId2478" Type="http://schemas.openxmlformats.org/officeDocument/2006/relationships/hyperlink" Target="https://pbs.twimg.com/media/EOkeWK-WsAApEzF.jpg" TargetMode="External"/><Relationship Id="rId1148" Type="http://schemas.openxmlformats.org/officeDocument/2006/relationships/hyperlink" Target="https://www.youtube.com/watch?v=sjVTDWv4w7g" TargetMode="External"/><Relationship Id="rId2479" Type="http://schemas.openxmlformats.org/officeDocument/2006/relationships/hyperlink" Target="https://www.linkedin.com/in/tomccotter" TargetMode="External"/><Relationship Id="rId1149" Type="http://schemas.openxmlformats.org/officeDocument/2006/relationships/hyperlink" Target="http://thenanproject.org" TargetMode="External"/><Relationship Id="rId558" Type="http://schemas.openxmlformats.org/officeDocument/2006/relationships/hyperlink" Target="https://pbs.twimg.com/media/EOmQY-VUUAAW3FF.jpg" TargetMode="External"/><Relationship Id="rId557" Type="http://schemas.openxmlformats.org/officeDocument/2006/relationships/hyperlink" Target="http://loudmouthbrowngirl.com/2020/01/18/one-weight-at-a-time/" TargetMode="External"/><Relationship Id="rId556" Type="http://schemas.openxmlformats.org/officeDocument/2006/relationships/hyperlink" Target="https://senseandsenselessness.podbean.com/" TargetMode="External"/><Relationship Id="rId555" Type="http://schemas.openxmlformats.org/officeDocument/2006/relationships/hyperlink" Target="https://pbs.twimg.com/media/EOmQh2DU4AEpocN.jpg" TargetMode="External"/><Relationship Id="rId559" Type="http://schemas.openxmlformats.org/officeDocument/2006/relationships/hyperlink" Target="http://linktr.ee/DevonJhall" TargetMode="External"/><Relationship Id="rId550" Type="http://schemas.openxmlformats.org/officeDocument/2006/relationships/hyperlink" Target="http://www.ed-psy.com" TargetMode="External"/><Relationship Id="rId2470" Type="http://schemas.openxmlformats.org/officeDocument/2006/relationships/hyperlink" Target="https://themostlysunnyblogspot.wordpress.com/2020/01/18/fear-less/" TargetMode="External"/><Relationship Id="rId1140" Type="http://schemas.openxmlformats.org/officeDocument/2006/relationships/hyperlink" Target="http://bit.ly/2GfRFSt" TargetMode="External"/><Relationship Id="rId2471" Type="http://schemas.openxmlformats.org/officeDocument/2006/relationships/hyperlink" Target="http://pic.twitter.com/yzOsAga5Ti" TargetMode="External"/><Relationship Id="rId1141" Type="http://schemas.openxmlformats.org/officeDocument/2006/relationships/hyperlink" Target="http://www.mhans.org/" TargetMode="External"/><Relationship Id="rId2472" Type="http://schemas.openxmlformats.org/officeDocument/2006/relationships/hyperlink" Target="http://themostlysunnyblogspot.wordpress.com" TargetMode="External"/><Relationship Id="rId1142" Type="http://schemas.openxmlformats.org/officeDocument/2006/relationships/hyperlink" Target="http://asian-jobs.com" TargetMode="External"/><Relationship Id="rId2473" Type="http://schemas.openxmlformats.org/officeDocument/2006/relationships/hyperlink" Target="https://link.medium.com/SWPG49ild3" TargetMode="External"/><Relationship Id="rId554" Type="http://schemas.openxmlformats.org/officeDocument/2006/relationships/hyperlink" Target="http://www.awaken-mind.com" TargetMode="External"/><Relationship Id="rId1143" Type="http://schemas.openxmlformats.org/officeDocument/2006/relationships/hyperlink" Target="https://buff.ly/301HADS" TargetMode="External"/><Relationship Id="rId2474" Type="http://schemas.openxmlformats.org/officeDocument/2006/relationships/hyperlink" Target="https://medium.com/@djemal.ua" TargetMode="External"/><Relationship Id="rId553" Type="http://schemas.openxmlformats.org/officeDocument/2006/relationships/hyperlink" Target="http://psy.pub/1kbPf6i" TargetMode="External"/><Relationship Id="rId1144" Type="http://schemas.openxmlformats.org/officeDocument/2006/relationships/hyperlink" Target="https://pbs.twimg.com/media/EOlp4FtX4AAp4y_.jpg" TargetMode="External"/><Relationship Id="rId2475" Type="http://schemas.openxmlformats.org/officeDocument/2006/relationships/hyperlink" Target="https://eventbrite.co.uk/e/basic-mental-health-mht1-chelmsford-evening-course-tickets-80047974647" TargetMode="External"/><Relationship Id="rId552" Type="http://schemas.openxmlformats.org/officeDocument/2006/relationships/hyperlink" Target="http://www.awaken-mind.com" TargetMode="External"/><Relationship Id="rId1145" Type="http://schemas.openxmlformats.org/officeDocument/2006/relationships/hyperlink" Target="http://www.asian-jobs.com" TargetMode="External"/><Relationship Id="rId2476" Type="http://schemas.openxmlformats.org/officeDocument/2006/relationships/hyperlink" Target="http://www.seandcessexmind.org.uk" TargetMode="External"/><Relationship Id="rId551" Type="http://schemas.openxmlformats.org/officeDocument/2006/relationships/hyperlink" Target="http://psy.pub/1CZMPDR" TargetMode="External"/><Relationship Id="rId1146" Type="http://schemas.openxmlformats.org/officeDocument/2006/relationships/hyperlink" Target="https://pbs.twimg.com/media/EOlpzT0U0AAC1dl.jpg" TargetMode="External"/><Relationship Id="rId2477" Type="http://schemas.openxmlformats.org/officeDocument/2006/relationships/hyperlink" Target="http://j.mp/2Qwh0OH" TargetMode="External"/><Relationship Id="rId495" Type="http://schemas.openxmlformats.org/officeDocument/2006/relationships/hyperlink" Target="https://www.australialatestnews.com/2017/02/mental-health-and-technological.html" TargetMode="External"/><Relationship Id="rId494" Type="http://schemas.openxmlformats.org/officeDocument/2006/relationships/hyperlink" Target="http://australialatestnews.com" TargetMode="External"/><Relationship Id="rId493" Type="http://schemas.openxmlformats.org/officeDocument/2006/relationships/hyperlink" Target="http://www.purplepatchconsults.com" TargetMode="External"/><Relationship Id="rId492" Type="http://schemas.openxmlformats.org/officeDocument/2006/relationships/hyperlink" Target="https://pbs.twimg.com/media/EOmU8u4UcAEhWVO.jpg" TargetMode="External"/><Relationship Id="rId499" Type="http://schemas.openxmlformats.org/officeDocument/2006/relationships/hyperlink" Target="http://pic.twitter.com/i4hx4eKAb2" TargetMode="External"/><Relationship Id="rId498" Type="http://schemas.openxmlformats.org/officeDocument/2006/relationships/hyperlink" Target="https://open.spotify.com/playlist/1JuZv81p5fmgR1vQg2s9YM?si=0eAZZLjEQW6tYD4fDAzc6g" TargetMode="External"/><Relationship Id="rId497" Type="http://schemas.openxmlformats.org/officeDocument/2006/relationships/hyperlink" Target="http://www.australialatestnews.com" TargetMode="External"/><Relationship Id="rId496" Type="http://schemas.openxmlformats.org/officeDocument/2006/relationships/hyperlink" Target="https://pbs.twimg.com/media/EOmUriAU8AEImQX.jpg" TargetMode="External"/><Relationship Id="rId3810" Type="http://schemas.openxmlformats.org/officeDocument/2006/relationships/hyperlink" Target="https://pbs.twimg.com/media/EOihWA1W4AAAXpW.jpg" TargetMode="External"/><Relationship Id="rId3812" Type="http://schemas.openxmlformats.org/officeDocument/2006/relationships/hyperlink" Target="https://pbs.twimg.com/media/EOihAfQW4AAaqhM.jpg" TargetMode="External"/><Relationship Id="rId3811" Type="http://schemas.openxmlformats.org/officeDocument/2006/relationships/hyperlink" Target="http://squareup.com/store/pen-arts" TargetMode="External"/><Relationship Id="rId3814" Type="http://schemas.openxmlformats.org/officeDocument/2006/relationships/hyperlink" Target="https://www.healingclouds.com" TargetMode="External"/><Relationship Id="rId3813" Type="http://schemas.openxmlformats.org/officeDocument/2006/relationships/hyperlink" Target="http://pic.twitter.com/41xsvBTWkA" TargetMode="External"/><Relationship Id="rId3816" Type="http://schemas.openxmlformats.org/officeDocument/2006/relationships/hyperlink" Target="https://www.gofundme.com/hmgorg" TargetMode="External"/><Relationship Id="rId3815" Type="http://schemas.openxmlformats.org/officeDocument/2006/relationships/hyperlink" Target="https://www.instagram.com/p/B7cuH5_JuXL/?igshid=1nosud6ddopfa" TargetMode="External"/><Relationship Id="rId3818" Type="http://schemas.openxmlformats.org/officeDocument/2006/relationships/hyperlink" Target="https://pbs.twimg.com/media/EOigvo5WkAAthnA.jpg" TargetMode="External"/><Relationship Id="rId3817" Type="http://schemas.openxmlformats.org/officeDocument/2006/relationships/hyperlink" Target="http://www.marianimhurchu.blog" TargetMode="External"/><Relationship Id="rId3819" Type="http://schemas.openxmlformats.org/officeDocument/2006/relationships/hyperlink" Target="http://instagram.com/spicychickenmaruchan" TargetMode="External"/><Relationship Id="rId3801" Type="http://schemas.openxmlformats.org/officeDocument/2006/relationships/hyperlink" Target="http://pic.twitter.com/K0m0LW3OrF" TargetMode="External"/><Relationship Id="rId3800" Type="http://schemas.openxmlformats.org/officeDocument/2006/relationships/hyperlink" Target="http://www.drdeblindh.com" TargetMode="External"/><Relationship Id="rId3803" Type="http://schemas.openxmlformats.org/officeDocument/2006/relationships/hyperlink" Target="https://www.thriveglobal.com/authors/59-lisa-gallagher" TargetMode="External"/><Relationship Id="rId3802" Type="http://schemas.openxmlformats.org/officeDocument/2006/relationships/hyperlink" Target="https://twitter.com/i/web/status/1184743355755958272" TargetMode="External"/><Relationship Id="rId3805" Type="http://schemas.openxmlformats.org/officeDocument/2006/relationships/hyperlink" Target="http://squareup.com/store/pen-arts" TargetMode="External"/><Relationship Id="rId3804" Type="http://schemas.openxmlformats.org/officeDocument/2006/relationships/hyperlink" Target="https://pbs.twimg.com/media/EOih0HFX0AIPasP.jpg" TargetMode="External"/><Relationship Id="rId3807" Type="http://schemas.openxmlformats.org/officeDocument/2006/relationships/hyperlink" Target="http://squareup.com/store/pen-arts" TargetMode="External"/><Relationship Id="rId3806" Type="http://schemas.openxmlformats.org/officeDocument/2006/relationships/hyperlink" Target="https://pbs.twimg.com/media/EOihq8JWkAAj1Vq.jpg" TargetMode="External"/><Relationship Id="rId3809" Type="http://schemas.openxmlformats.org/officeDocument/2006/relationships/hyperlink" Target="http://squareup.com/store/pen-arts" TargetMode="External"/><Relationship Id="rId3808" Type="http://schemas.openxmlformats.org/officeDocument/2006/relationships/hyperlink" Target="https://pbs.twimg.com/media/EOiheMCX0AEzauS.jpg" TargetMode="External"/><Relationship Id="rId1213" Type="http://schemas.openxmlformats.org/officeDocument/2006/relationships/hyperlink" Target="https://app.wysa.io/install" TargetMode="External"/><Relationship Id="rId2544" Type="http://schemas.openxmlformats.org/officeDocument/2006/relationships/hyperlink" Target="https://www.uphold318.com/quicklinks" TargetMode="External"/><Relationship Id="rId3876" Type="http://schemas.openxmlformats.org/officeDocument/2006/relationships/hyperlink" Target="http://www.ahanahospitals.in" TargetMode="External"/><Relationship Id="rId1214" Type="http://schemas.openxmlformats.org/officeDocument/2006/relationships/hyperlink" Target="http://learnedhealth.com" TargetMode="External"/><Relationship Id="rId2545" Type="http://schemas.openxmlformats.org/officeDocument/2006/relationships/hyperlink" Target="http://ow.ly/o7uI30pHmsp" TargetMode="External"/><Relationship Id="rId3875" Type="http://schemas.openxmlformats.org/officeDocument/2006/relationships/hyperlink" Target="https://pbs.twimg.com/media/EOZNu0eUUAUQSRr.png" TargetMode="External"/><Relationship Id="rId1215" Type="http://schemas.openxmlformats.org/officeDocument/2006/relationships/hyperlink" Target="http://learnedhealth.com" TargetMode="External"/><Relationship Id="rId2546" Type="http://schemas.openxmlformats.org/officeDocument/2006/relationships/hyperlink" Target="http://www.easyblindsonline.co.uk" TargetMode="External"/><Relationship Id="rId3878" Type="http://schemas.openxmlformats.org/officeDocument/2006/relationships/hyperlink" Target="http://pic.twitter.com/8EJtrai1pu" TargetMode="External"/><Relationship Id="rId1216" Type="http://schemas.openxmlformats.org/officeDocument/2006/relationships/hyperlink" Target="https://pbs.twimg.com/media/EOllTVyUUAIlJ1n.png" TargetMode="External"/><Relationship Id="rId2547" Type="http://schemas.openxmlformats.org/officeDocument/2006/relationships/hyperlink" Target="http://ow.ly/BdLR30q9ZEZ" TargetMode="External"/><Relationship Id="rId3877" Type="http://schemas.openxmlformats.org/officeDocument/2006/relationships/hyperlink" Target="https://health.clevelandclinic.org/4-foods-you-can-eat-in-bigger-portions/" TargetMode="External"/><Relationship Id="rId1217" Type="http://schemas.openxmlformats.org/officeDocument/2006/relationships/hyperlink" Target="https://learnedhealth.com/" TargetMode="External"/><Relationship Id="rId2548" Type="http://schemas.openxmlformats.org/officeDocument/2006/relationships/hyperlink" Target="https://pbs.twimg.com/media/EOka7JnWAAMb3kT.jpg" TargetMode="External"/><Relationship Id="rId1218" Type="http://schemas.openxmlformats.org/officeDocument/2006/relationships/hyperlink" Target="https://pdmstrong.wordpress.com" TargetMode="External"/><Relationship Id="rId2549" Type="http://schemas.openxmlformats.org/officeDocument/2006/relationships/hyperlink" Target="http://flawlessfoundation.org" TargetMode="External"/><Relationship Id="rId3879" Type="http://schemas.openxmlformats.org/officeDocument/2006/relationships/hyperlink" Target="http://ericabannon.com" TargetMode="External"/><Relationship Id="rId1219" Type="http://schemas.openxmlformats.org/officeDocument/2006/relationships/hyperlink" Target="https://pdmstrong.wordpress.com" TargetMode="External"/><Relationship Id="rId3870" Type="http://schemas.openxmlformats.org/officeDocument/2006/relationships/hyperlink" Target="http://angelafromtheblock.wordpress.com" TargetMode="External"/><Relationship Id="rId2540" Type="http://schemas.openxmlformats.org/officeDocument/2006/relationships/hyperlink" Target="http://instagram.com/lightleakz" TargetMode="External"/><Relationship Id="rId3872" Type="http://schemas.openxmlformats.org/officeDocument/2006/relationships/hyperlink" Target="https://www.mikeveny.com" TargetMode="External"/><Relationship Id="rId1210" Type="http://schemas.openxmlformats.org/officeDocument/2006/relationships/hyperlink" Target="https://pbs.twimg.com/media/EOllZKxVUAAwjOM.jpg" TargetMode="External"/><Relationship Id="rId2541" Type="http://schemas.openxmlformats.org/officeDocument/2006/relationships/hyperlink" Target="http://pic.twitter.com/Sx960qvBMH" TargetMode="External"/><Relationship Id="rId3871" Type="http://schemas.openxmlformats.org/officeDocument/2006/relationships/hyperlink" Target="https://bit.ly/2u7LhvI" TargetMode="External"/><Relationship Id="rId1211" Type="http://schemas.openxmlformats.org/officeDocument/2006/relationships/hyperlink" Target="https://jt.brookstonerealtors.com" TargetMode="External"/><Relationship Id="rId2542" Type="http://schemas.openxmlformats.org/officeDocument/2006/relationships/hyperlink" Target="https://podcasts.apple.com/us/podcast/a-podcast-by-trey/id1459188130?i=1000462538577" TargetMode="External"/><Relationship Id="rId3874" Type="http://schemas.openxmlformats.org/officeDocument/2006/relationships/hyperlink" Target="https://httpslink.com/home_t" TargetMode="External"/><Relationship Id="rId1212" Type="http://schemas.openxmlformats.org/officeDocument/2006/relationships/hyperlink" Target="https://youtu.be/r3aKhHCkkPc" TargetMode="External"/><Relationship Id="rId2543" Type="http://schemas.openxmlformats.org/officeDocument/2006/relationships/hyperlink" Target="http://pic.twitter.com/8AsEsi4GRd" TargetMode="External"/><Relationship Id="rId3873" Type="http://schemas.openxmlformats.org/officeDocument/2006/relationships/hyperlink" Target="http://bit.ly/2Qu5QeE" TargetMode="External"/><Relationship Id="rId1202" Type="http://schemas.openxmlformats.org/officeDocument/2006/relationships/hyperlink" Target="https://pbs.twimg.com/media/EOllr_7UwAAy_cw.jpg" TargetMode="External"/><Relationship Id="rId2533" Type="http://schemas.openxmlformats.org/officeDocument/2006/relationships/hyperlink" Target="https://is.gd/7wK6bl" TargetMode="External"/><Relationship Id="rId3865" Type="http://schemas.openxmlformats.org/officeDocument/2006/relationships/hyperlink" Target="https://instagram.com/guiltyx" TargetMode="External"/><Relationship Id="rId1203" Type="http://schemas.openxmlformats.org/officeDocument/2006/relationships/hyperlink" Target="https://www.riverviewcmhc.org/" TargetMode="External"/><Relationship Id="rId2534" Type="http://schemas.openxmlformats.org/officeDocument/2006/relationships/hyperlink" Target="https://pbs.twimg.com/media/EOkbYGQXkAA15B4.jpg" TargetMode="External"/><Relationship Id="rId3864" Type="http://schemas.openxmlformats.org/officeDocument/2006/relationships/hyperlink" Target="https://pbs.twimg.com/media/EOiYMo_U8AI20Bg.jpg" TargetMode="External"/><Relationship Id="rId1204" Type="http://schemas.openxmlformats.org/officeDocument/2006/relationships/hyperlink" Target="https://pbs.twimg.com/media/EOlliS-WsAIi23C.jpg" TargetMode="External"/><Relationship Id="rId2535" Type="http://schemas.openxmlformats.org/officeDocument/2006/relationships/hyperlink" Target="http://www.recoverycollegeonline.co.uk" TargetMode="External"/><Relationship Id="rId3867" Type="http://schemas.openxmlformats.org/officeDocument/2006/relationships/hyperlink" Target="https://pbs.twimg.com/media/EOiYGXHU8AUrkaV.jpg" TargetMode="External"/><Relationship Id="rId1205" Type="http://schemas.openxmlformats.org/officeDocument/2006/relationships/hyperlink" Target="http://www.riverviewcmhc.org/" TargetMode="External"/><Relationship Id="rId2536" Type="http://schemas.openxmlformats.org/officeDocument/2006/relationships/hyperlink" Target="https://www.mdmag.com/medical-news/bipolar-symptoms-delayed-family-psychotherapy" TargetMode="External"/><Relationship Id="rId3866" Type="http://schemas.openxmlformats.org/officeDocument/2006/relationships/hyperlink" Target="https://mentalhealth.peersalleyconferences.com" TargetMode="External"/><Relationship Id="rId1206" Type="http://schemas.openxmlformats.org/officeDocument/2006/relationships/hyperlink" Target="https://mentalhealthtalk.info/depression-abuse" TargetMode="External"/><Relationship Id="rId2537" Type="http://schemas.openxmlformats.org/officeDocument/2006/relationships/hyperlink" Target="http://www.mdmag.com" TargetMode="External"/><Relationship Id="rId3869" Type="http://schemas.openxmlformats.org/officeDocument/2006/relationships/hyperlink" Target="https://twitter.com/ScottMorrisonMP/status/1218322485738782721" TargetMode="External"/><Relationship Id="rId1207" Type="http://schemas.openxmlformats.org/officeDocument/2006/relationships/hyperlink" Target="http://mentalhealthtalk.info" TargetMode="External"/><Relationship Id="rId2538" Type="http://schemas.openxmlformats.org/officeDocument/2006/relationships/hyperlink" Target="https://pbs.twimg.com/media/EOkbXECU8AAd8Sg.jpg" TargetMode="External"/><Relationship Id="rId3868" Type="http://schemas.openxmlformats.org/officeDocument/2006/relationships/hyperlink" Target="https://mentalhealth.peersalleyconferences.com/" TargetMode="External"/><Relationship Id="rId1208" Type="http://schemas.openxmlformats.org/officeDocument/2006/relationships/hyperlink" Target="http://insanewomanwritings.blogspot.com" TargetMode="External"/><Relationship Id="rId2539" Type="http://schemas.openxmlformats.org/officeDocument/2006/relationships/hyperlink" Target="https://www.mariagaian.com" TargetMode="External"/><Relationship Id="rId1209" Type="http://schemas.openxmlformats.org/officeDocument/2006/relationships/hyperlink" Target="http://cpix.me/a/90161577" TargetMode="External"/><Relationship Id="rId3861" Type="http://schemas.openxmlformats.org/officeDocument/2006/relationships/hyperlink" Target="https://youtu.be/QhXfI4imVJc" TargetMode="External"/><Relationship Id="rId2530" Type="http://schemas.openxmlformats.org/officeDocument/2006/relationships/hyperlink" Target="http://www.therapytoronto.ca" TargetMode="External"/><Relationship Id="rId3860" Type="http://schemas.openxmlformats.org/officeDocument/2006/relationships/hyperlink" Target="https://pbs.twimg.com/media/EOiZgAHX0AAgvlN.jpg" TargetMode="External"/><Relationship Id="rId1200" Type="http://schemas.openxmlformats.org/officeDocument/2006/relationships/hyperlink" Target="https://www.torontohousemusicfestival.com" TargetMode="External"/><Relationship Id="rId2531" Type="http://schemas.openxmlformats.org/officeDocument/2006/relationships/hyperlink" Target="http://www.durham-autism.org/obsessive-repetitive-behaviour-autism/" TargetMode="External"/><Relationship Id="rId3863" Type="http://schemas.openxmlformats.org/officeDocument/2006/relationships/hyperlink" Target="http://freedomfromdistress.com" TargetMode="External"/><Relationship Id="rId1201" Type="http://schemas.openxmlformats.org/officeDocument/2006/relationships/hyperlink" Target="http://www.djdavelive.com" TargetMode="External"/><Relationship Id="rId2532" Type="http://schemas.openxmlformats.org/officeDocument/2006/relationships/hyperlink" Target="http://www.dreampositive.info/" TargetMode="External"/><Relationship Id="rId3862" Type="http://schemas.openxmlformats.org/officeDocument/2006/relationships/hyperlink" Target="http://www.itisyourstory.co.uk" TargetMode="External"/><Relationship Id="rId1235" Type="http://schemas.openxmlformats.org/officeDocument/2006/relationships/hyperlink" Target="https://pbs.twimg.com/media/EOlkaYYW4AAPxf1.jpg" TargetMode="External"/><Relationship Id="rId2566" Type="http://schemas.openxmlformats.org/officeDocument/2006/relationships/hyperlink" Target="http://www.acaciacw.com" TargetMode="External"/><Relationship Id="rId3898" Type="http://schemas.openxmlformats.org/officeDocument/2006/relationships/hyperlink" Target="http://innerself.com" TargetMode="External"/><Relationship Id="rId1236" Type="http://schemas.openxmlformats.org/officeDocument/2006/relationships/hyperlink" Target="https://www.lonelytumbleweed.com" TargetMode="External"/><Relationship Id="rId2567" Type="http://schemas.openxmlformats.org/officeDocument/2006/relationships/hyperlink" Target="https://pbs.twimg.com/media/EOkZ7lVUEAA0XzU.jpg" TargetMode="External"/><Relationship Id="rId3897" Type="http://schemas.openxmlformats.org/officeDocument/2006/relationships/hyperlink" Target="https://pbs.twimg.com/media/EOiUmjgWkAYmn5U.jpg" TargetMode="External"/><Relationship Id="rId1237" Type="http://schemas.openxmlformats.org/officeDocument/2006/relationships/hyperlink" Target="https://pbs.twimg.com/media/EOlkJhHUUAAqoij.jpg" TargetMode="External"/><Relationship Id="rId2568" Type="http://schemas.openxmlformats.org/officeDocument/2006/relationships/hyperlink" Target="http://empowercounseling.net" TargetMode="External"/><Relationship Id="rId1238" Type="http://schemas.openxmlformats.org/officeDocument/2006/relationships/hyperlink" Target="http://pic.twitter.com/dAps0vt7Ev" TargetMode="External"/><Relationship Id="rId2569" Type="http://schemas.openxmlformats.org/officeDocument/2006/relationships/hyperlink" Target="https://bit.ly/2HvP4Il" TargetMode="External"/><Relationship Id="rId3899" Type="http://schemas.openxmlformats.org/officeDocument/2006/relationships/hyperlink" Target="https://pbs.twimg.com/media/EOiT3m8XkAEaASU.jpg" TargetMode="External"/><Relationship Id="rId1239" Type="http://schemas.openxmlformats.org/officeDocument/2006/relationships/hyperlink" Target="http://www.relaxwithlucy.co.uk" TargetMode="External"/><Relationship Id="rId409" Type="http://schemas.openxmlformats.org/officeDocument/2006/relationships/hyperlink" Target="http://cpix.me/a/90241190" TargetMode="External"/><Relationship Id="rId404" Type="http://schemas.openxmlformats.org/officeDocument/2006/relationships/hyperlink" Target="http://clearviewtreatment.com" TargetMode="External"/><Relationship Id="rId403" Type="http://schemas.openxmlformats.org/officeDocument/2006/relationships/hyperlink" Target="https://bit.ly/2NwAD8y" TargetMode="External"/><Relationship Id="rId402" Type="http://schemas.openxmlformats.org/officeDocument/2006/relationships/hyperlink" Target="https://www.wowcafe.org/event/group-therapy/" TargetMode="External"/><Relationship Id="rId401" Type="http://schemas.openxmlformats.org/officeDocument/2006/relationships/hyperlink" Target="https://pbs.twimg.com/media/EOmcTVLU8AMHAy5.jpg" TargetMode="External"/><Relationship Id="rId408" Type="http://schemas.openxmlformats.org/officeDocument/2006/relationships/hyperlink" Target="http://www.jeanettepurkis.com" TargetMode="External"/><Relationship Id="rId407" Type="http://schemas.openxmlformats.org/officeDocument/2006/relationships/hyperlink" Target="https://pbs.twimg.com/media/EOmcHNVVUAAUS-F.jpg" TargetMode="External"/><Relationship Id="rId406" Type="http://schemas.openxmlformats.org/officeDocument/2006/relationships/hyperlink" Target="https://app.wysa.io/install" TargetMode="External"/><Relationship Id="rId405" Type="http://schemas.openxmlformats.org/officeDocument/2006/relationships/hyperlink" Target="https://app.wysa.io/install" TargetMode="External"/><Relationship Id="rId3890" Type="http://schemas.openxmlformats.org/officeDocument/2006/relationships/hyperlink" Target="http://hopecenterforwellness.com/blog.html" TargetMode="External"/><Relationship Id="rId2560" Type="http://schemas.openxmlformats.org/officeDocument/2006/relationships/hyperlink" Target="http://ow.ly/16fJ50xQ2rB" TargetMode="External"/><Relationship Id="rId3892" Type="http://schemas.openxmlformats.org/officeDocument/2006/relationships/hyperlink" Target="http://tinyurl.com/y3qes8n3" TargetMode="External"/><Relationship Id="rId1230" Type="http://schemas.openxmlformats.org/officeDocument/2006/relationships/hyperlink" Target="https://kaylaeduff97.wixsite.com/fictionechoes" TargetMode="External"/><Relationship Id="rId2561" Type="http://schemas.openxmlformats.org/officeDocument/2006/relationships/hyperlink" Target="https://pbs.twimg.com/media/EOkaF0QXsAEgObD.jpg" TargetMode="External"/><Relationship Id="rId3891" Type="http://schemas.openxmlformats.org/officeDocument/2006/relationships/hyperlink" Target="http://hopecenterforwellness.com" TargetMode="External"/><Relationship Id="rId400" Type="http://schemas.openxmlformats.org/officeDocument/2006/relationships/hyperlink" Target="http://bit.ly/2MzI544" TargetMode="External"/><Relationship Id="rId1231" Type="http://schemas.openxmlformats.org/officeDocument/2006/relationships/hyperlink" Target="https://youtu.be/PtzCjgvq13c" TargetMode="External"/><Relationship Id="rId2562" Type="http://schemas.openxmlformats.org/officeDocument/2006/relationships/hyperlink" Target="https://www.priorygroup.com/" TargetMode="External"/><Relationship Id="rId3894" Type="http://schemas.openxmlformats.org/officeDocument/2006/relationships/hyperlink" Target="http://innerself.com/content/social.html" TargetMode="External"/><Relationship Id="rId1232" Type="http://schemas.openxmlformats.org/officeDocument/2006/relationships/hyperlink" Target="http://www.sunriseacademytx.com" TargetMode="External"/><Relationship Id="rId2563" Type="http://schemas.openxmlformats.org/officeDocument/2006/relationships/hyperlink" Target="https://www.mapsofindia.com/my-india/society/top-5-accounts-to-follow-on-instagram-for-a-daily-dose-of-positivity" TargetMode="External"/><Relationship Id="rId3893" Type="http://schemas.openxmlformats.org/officeDocument/2006/relationships/hyperlink" Target="https://pbs.twimg.com/media/EOiUm1rXUAA3sx4.jpg" TargetMode="External"/><Relationship Id="rId1233" Type="http://schemas.openxmlformats.org/officeDocument/2006/relationships/hyperlink" Target="https://mentalhealthtalk.info/cartoon-ebook" TargetMode="External"/><Relationship Id="rId2564" Type="http://schemas.openxmlformats.org/officeDocument/2006/relationships/hyperlink" Target="http://www.mapsofindia.com" TargetMode="External"/><Relationship Id="rId3896" Type="http://schemas.openxmlformats.org/officeDocument/2006/relationships/hyperlink" Target="http://tinyurl.com/y3qes8n3" TargetMode="External"/><Relationship Id="rId1234" Type="http://schemas.openxmlformats.org/officeDocument/2006/relationships/hyperlink" Target="http://mentalhealthtalk.info" TargetMode="External"/><Relationship Id="rId2565" Type="http://schemas.openxmlformats.org/officeDocument/2006/relationships/hyperlink" Target="https://pbs.twimg.com/media/EOkZ9uYWAAA3w9G.jpg" TargetMode="External"/><Relationship Id="rId3895" Type="http://schemas.openxmlformats.org/officeDocument/2006/relationships/hyperlink" Target="http://innerself.com" TargetMode="External"/><Relationship Id="rId1224" Type="http://schemas.openxmlformats.org/officeDocument/2006/relationships/hyperlink" Target="https://mentalhealthtalk.info/anxiety-inherited" TargetMode="External"/><Relationship Id="rId2555" Type="http://schemas.openxmlformats.org/officeDocument/2006/relationships/hyperlink" Target="https://www.instagram.com/p/B7drAeaFfgo/?igshid=1hxpeomgcrglr" TargetMode="External"/><Relationship Id="rId3887" Type="http://schemas.openxmlformats.org/officeDocument/2006/relationships/hyperlink" Target="https://link.medium.com/innkbff8k3" TargetMode="External"/><Relationship Id="rId1225" Type="http://schemas.openxmlformats.org/officeDocument/2006/relationships/hyperlink" Target="http://mentalhealthtalk.info" TargetMode="External"/><Relationship Id="rId2556" Type="http://schemas.openxmlformats.org/officeDocument/2006/relationships/hyperlink" Target="http://depthnweight.com" TargetMode="External"/><Relationship Id="rId3886" Type="http://schemas.openxmlformats.org/officeDocument/2006/relationships/hyperlink" Target="https://www.instagram.com/p/B7coz-sgKl8/?igshid=lylkpqqenzty" TargetMode="External"/><Relationship Id="rId1226" Type="http://schemas.openxmlformats.org/officeDocument/2006/relationships/hyperlink" Target="http://www.sunriseacademytx.com" TargetMode="External"/><Relationship Id="rId2557" Type="http://schemas.openxmlformats.org/officeDocument/2006/relationships/hyperlink" Target="https://pbs.twimg.com/media/EOkaLURWsAAroDy.jpg" TargetMode="External"/><Relationship Id="rId3889" Type="http://schemas.openxmlformats.org/officeDocument/2006/relationships/hyperlink" Target="https://pbs.twimg.com/media/EOiU-l7XkAAnOXU.jpg" TargetMode="External"/><Relationship Id="rId1227" Type="http://schemas.openxmlformats.org/officeDocument/2006/relationships/hyperlink" Target="https://www.theglobeandmail.com/canada/article-half-of-canadians-have-too-few-local-psychiatrists-or-none-at-all/" TargetMode="External"/><Relationship Id="rId2558" Type="http://schemas.openxmlformats.org/officeDocument/2006/relationships/hyperlink" Target="https://pbs.twimg.com/media/EOkaHEMWsAAouND.jpg" TargetMode="External"/><Relationship Id="rId3888" Type="http://schemas.openxmlformats.org/officeDocument/2006/relationships/hyperlink" Target="http://www.quotehope.com" TargetMode="External"/><Relationship Id="rId1228" Type="http://schemas.openxmlformats.org/officeDocument/2006/relationships/hyperlink" Target="https://mentalhealthtalk.info/skin-picking" TargetMode="External"/><Relationship Id="rId2559" Type="http://schemas.openxmlformats.org/officeDocument/2006/relationships/hyperlink" Target="http://www.prophysiotherapy.co.uk" TargetMode="External"/><Relationship Id="rId1229" Type="http://schemas.openxmlformats.org/officeDocument/2006/relationships/hyperlink" Target="http://mentalhealthtalk.info" TargetMode="External"/><Relationship Id="rId3881" Type="http://schemas.openxmlformats.org/officeDocument/2006/relationships/hyperlink" Target="https://pbs.twimg.com/media/EOiWKLnWAAAPX8L.jpg" TargetMode="External"/><Relationship Id="rId2550" Type="http://schemas.openxmlformats.org/officeDocument/2006/relationships/hyperlink" Target="https://www.instagram.com/p/B7drUXGH2PS/?igshid=1ro3tgur26j4o" TargetMode="External"/><Relationship Id="rId3880" Type="http://schemas.openxmlformats.org/officeDocument/2006/relationships/hyperlink" Target="https://buff.ly/2Ql7vkM" TargetMode="External"/><Relationship Id="rId1220" Type="http://schemas.openxmlformats.org/officeDocument/2006/relationships/hyperlink" Target="https://bit.ly/2tMGboD" TargetMode="External"/><Relationship Id="rId2551" Type="http://schemas.openxmlformats.org/officeDocument/2006/relationships/hyperlink" Target="http://fb.me/dirnsa" TargetMode="External"/><Relationship Id="rId3883" Type="http://schemas.openxmlformats.org/officeDocument/2006/relationships/hyperlink" Target="http://boards.medscape.com/forums/?128@@.2a83e317!comment=1" TargetMode="External"/><Relationship Id="rId1221" Type="http://schemas.openxmlformats.org/officeDocument/2006/relationships/hyperlink" Target="http://www.healthyplace.com" TargetMode="External"/><Relationship Id="rId2552" Type="http://schemas.openxmlformats.org/officeDocument/2006/relationships/hyperlink" Target="http://chng.it/jYTm29ZW" TargetMode="External"/><Relationship Id="rId3882" Type="http://schemas.openxmlformats.org/officeDocument/2006/relationships/hyperlink" Target="http://www.nathanrufty.com" TargetMode="External"/><Relationship Id="rId1222" Type="http://schemas.openxmlformats.org/officeDocument/2006/relationships/hyperlink" Target="https://pbs.twimg.com/media/EOa2ftkWoAQoj2Y.jpg" TargetMode="External"/><Relationship Id="rId2553" Type="http://schemas.openxmlformats.org/officeDocument/2006/relationships/hyperlink" Target="http://danningtyas.tumblr.com/" TargetMode="External"/><Relationship Id="rId3885" Type="http://schemas.openxmlformats.org/officeDocument/2006/relationships/hyperlink" Target="https://twitter.com/driibe/status/1218368493495771137" TargetMode="External"/><Relationship Id="rId1223" Type="http://schemas.openxmlformats.org/officeDocument/2006/relationships/hyperlink" Target="http://www.ssafa.org.uk" TargetMode="External"/><Relationship Id="rId2554" Type="http://schemas.openxmlformats.org/officeDocument/2006/relationships/hyperlink" Target="http://pic.twitter.com/6mRhNH3VBE" TargetMode="External"/><Relationship Id="rId3884" Type="http://schemas.openxmlformats.org/officeDocument/2006/relationships/hyperlink" Target="https://sites.google.com/friscoisd.org/allennurse/home" TargetMode="External"/><Relationship Id="rId2500" Type="http://schemas.openxmlformats.org/officeDocument/2006/relationships/hyperlink" Target="https://www.instagram.com/p/B7dsXLtA8o_/?igshid=1s7kvjw1dnz21" TargetMode="External"/><Relationship Id="rId3832" Type="http://schemas.openxmlformats.org/officeDocument/2006/relationships/hyperlink" Target="http://bootscootinreview.com" TargetMode="External"/><Relationship Id="rId2501" Type="http://schemas.openxmlformats.org/officeDocument/2006/relationships/hyperlink" Target="http://www.wscottauthor.com" TargetMode="External"/><Relationship Id="rId3831" Type="http://schemas.openxmlformats.org/officeDocument/2006/relationships/hyperlink" Target="https://pbs.twimg.com/media/EOiepYoXkAE0cau.jpg" TargetMode="External"/><Relationship Id="rId2502" Type="http://schemas.openxmlformats.org/officeDocument/2006/relationships/hyperlink" Target="https://ctt.ec/fJHwT+" TargetMode="External"/><Relationship Id="rId3834" Type="http://schemas.openxmlformats.org/officeDocument/2006/relationships/hyperlink" Target="https://www.fanfiction.net/~officialwhitefirethedragon" TargetMode="External"/><Relationship Id="rId2503" Type="http://schemas.openxmlformats.org/officeDocument/2006/relationships/hyperlink" Target="http://www.facebook.com/rv.drumwright" TargetMode="External"/><Relationship Id="rId3833" Type="http://schemas.openxmlformats.org/officeDocument/2006/relationships/hyperlink" Target="https://pbs.twimg.com/media/EOieV5OWkAA1Imk.jpg" TargetMode="External"/><Relationship Id="rId2504" Type="http://schemas.openxmlformats.org/officeDocument/2006/relationships/hyperlink" Target="http://twitch.tv/cheredrea" TargetMode="External"/><Relationship Id="rId3836" Type="http://schemas.openxmlformats.org/officeDocument/2006/relationships/hyperlink" Target="http://pdnoworries.org" TargetMode="External"/><Relationship Id="rId2505" Type="http://schemas.openxmlformats.org/officeDocument/2006/relationships/hyperlink" Target="https://pbs.twimg.com/media/EOkctk4WoAYOIK5.jpg" TargetMode="External"/><Relationship Id="rId3835" Type="http://schemas.openxmlformats.org/officeDocument/2006/relationships/hyperlink" Target="https://pbs.twimg.com/media/EOieMbDW4AA1AkO.jpg" TargetMode="External"/><Relationship Id="rId2506" Type="http://schemas.openxmlformats.org/officeDocument/2006/relationships/hyperlink" Target="http://claudiocammarano.com" TargetMode="External"/><Relationship Id="rId3838" Type="http://schemas.openxmlformats.org/officeDocument/2006/relationships/hyperlink" Target="http://bit.ly/NatGeoAU-FightToSavePhilippineForests" TargetMode="External"/><Relationship Id="rId2507" Type="http://schemas.openxmlformats.org/officeDocument/2006/relationships/hyperlink" Target="http://www.georgebarnes.co.uk/career/the-corporate-hand-job-loss-profit-mental-health/" TargetMode="External"/><Relationship Id="rId3837" Type="http://schemas.openxmlformats.org/officeDocument/2006/relationships/hyperlink" Target="https://www.nytimes.com/2020/01/17/business/instagram-likes.html?smid=nytcore-ios-share" TargetMode="External"/><Relationship Id="rId2508" Type="http://schemas.openxmlformats.org/officeDocument/2006/relationships/hyperlink" Target="https://pbs.twimg.com/media/EOkcrULW4AEE73i.jpg" TargetMode="External"/><Relationship Id="rId2509" Type="http://schemas.openxmlformats.org/officeDocument/2006/relationships/hyperlink" Target="http://www.georgebarnes.co.uk" TargetMode="External"/><Relationship Id="rId3839" Type="http://schemas.openxmlformats.org/officeDocument/2006/relationships/hyperlink" Target="https://glblctzn.co/e/OzeHryxjg3" TargetMode="External"/><Relationship Id="rId3830" Type="http://schemas.openxmlformats.org/officeDocument/2006/relationships/hyperlink" Target="http://www.timyeungdesign.com" TargetMode="External"/><Relationship Id="rId3821" Type="http://schemas.openxmlformats.org/officeDocument/2006/relationships/hyperlink" Target="http://www.pacleanwater.org" TargetMode="External"/><Relationship Id="rId3820" Type="http://schemas.openxmlformats.org/officeDocument/2006/relationships/hyperlink" Target="https://pbs.twimg.com/media/EOigg1mWoAA7Zrw.jpg" TargetMode="External"/><Relationship Id="rId3823" Type="http://schemas.openxmlformats.org/officeDocument/2006/relationships/hyperlink" Target="http://www.youtube.com/TamaraHtherapist" TargetMode="External"/><Relationship Id="rId3822" Type="http://schemas.openxmlformats.org/officeDocument/2006/relationships/hyperlink" Target="https://youtu.be/KBfEnvmobK0" TargetMode="External"/><Relationship Id="rId3825" Type="http://schemas.openxmlformats.org/officeDocument/2006/relationships/hyperlink" Target="http://www.dtnext.in/" TargetMode="External"/><Relationship Id="rId3824" Type="http://schemas.openxmlformats.org/officeDocument/2006/relationships/hyperlink" Target="https://www.dtnext.in/Lifestyle/Wellbeing/2020/01/18102040/1209992/AI-tool-to-detect-changes-in-patients-mental-health.vpf" TargetMode="External"/><Relationship Id="rId3827" Type="http://schemas.openxmlformats.org/officeDocument/2006/relationships/hyperlink" Target="https://pbs.twimg.com/media/EOifZiBWAAAcO0J.jpg" TargetMode="External"/><Relationship Id="rId3826" Type="http://schemas.openxmlformats.org/officeDocument/2006/relationships/hyperlink" Target="http://snip.ly/fh31l" TargetMode="External"/><Relationship Id="rId3829" Type="http://schemas.openxmlformats.org/officeDocument/2006/relationships/hyperlink" Target="http://incognitoallie.wordpress.com" TargetMode="External"/><Relationship Id="rId3828" Type="http://schemas.openxmlformats.org/officeDocument/2006/relationships/hyperlink" Target="http://anthonyclarkmusic.com" TargetMode="External"/><Relationship Id="rId2522" Type="http://schemas.openxmlformats.org/officeDocument/2006/relationships/hyperlink" Target="https://pbs.twimg.com/media/EOkb09wX0AAk8K9.jpg" TargetMode="External"/><Relationship Id="rId3854" Type="http://schemas.openxmlformats.org/officeDocument/2006/relationships/hyperlink" Target="http://www.achronicvoice.com" TargetMode="External"/><Relationship Id="rId2523" Type="http://schemas.openxmlformats.org/officeDocument/2006/relationships/hyperlink" Target="https://goo.gl/xeVngs" TargetMode="External"/><Relationship Id="rId3853" Type="http://schemas.openxmlformats.org/officeDocument/2006/relationships/hyperlink" Target="https://buff.ly/2Vu1unW" TargetMode="External"/><Relationship Id="rId2524" Type="http://schemas.openxmlformats.org/officeDocument/2006/relationships/hyperlink" Target="http://bit.ly/35U9eDO" TargetMode="External"/><Relationship Id="rId3856" Type="http://schemas.openxmlformats.org/officeDocument/2006/relationships/hyperlink" Target="https://linktr.ee/agcschiz0_d" TargetMode="External"/><Relationship Id="rId2525" Type="http://schemas.openxmlformats.org/officeDocument/2006/relationships/hyperlink" Target="https://pbs.twimg.com/media/EOQeB7hXkAIaJCV.png" TargetMode="External"/><Relationship Id="rId3855" Type="http://schemas.openxmlformats.org/officeDocument/2006/relationships/hyperlink" Target="http://twitch.tv/schiz0_d" TargetMode="External"/><Relationship Id="rId2526" Type="http://schemas.openxmlformats.org/officeDocument/2006/relationships/hyperlink" Target="http://www.southportandformbyccg.nhs.uk/" TargetMode="External"/><Relationship Id="rId3858" Type="http://schemas.openxmlformats.org/officeDocument/2006/relationships/hyperlink" Target="http://pic.twitter.com/1oj3KApAoO" TargetMode="External"/><Relationship Id="rId2527" Type="http://schemas.openxmlformats.org/officeDocument/2006/relationships/hyperlink" Target="https://bit.ly/2E6wHqk" TargetMode="External"/><Relationship Id="rId3857" Type="http://schemas.openxmlformats.org/officeDocument/2006/relationships/hyperlink" Target="http://www.sunriseacademytx.com" TargetMode="External"/><Relationship Id="rId2528" Type="http://schemas.openxmlformats.org/officeDocument/2006/relationships/hyperlink" Target="http://www.sleepio.com" TargetMode="External"/><Relationship Id="rId2529" Type="http://schemas.openxmlformats.org/officeDocument/2006/relationships/hyperlink" Target="https://therapytoronto.ca/news/2019/12/study-looks-at-nature-of-buying-shopping-disorder/" TargetMode="External"/><Relationship Id="rId3859" Type="http://schemas.openxmlformats.org/officeDocument/2006/relationships/hyperlink" Target="https://likeoneanother.com/" TargetMode="External"/><Relationship Id="rId3850" Type="http://schemas.openxmlformats.org/officeDocument/2006/relationships/hyperlink" Target="http://mentalhealthplatform.com" TargetMode="External"/><Relationship Id="rId2520" Type="http://schemas.openxmlformats.org/officeDocument/2006/relationships/hyperlink" Target="https://pbs.twimg.com/media/EOkbzXmWkAEZIi5.jpg" TargetMode="External"/><Relationship Id="rId3852" Type="http://schemas.openxmlformats.org/officeDocument/2006/relationships/hyperlink" Target="http://about.me/caringhandsofmi" TargetMode="External"/><Relationship Id="rId2521" Type="http://schemas.openxmlformats.org/officeDocument/2006/relationships/hyperlink" Target="https://buff.ly/2vAZMFB" TargetMode="External"/><Relationship Id="rId3851" Type="http://schemas.openxmlformats.org/officeDocument/2006/relationships/hyperlink" Target="https://www.instagram.com/p/B7crP0Egphl/?igshid=r7pduytskf3s" TargetMode="External"/><Relationship Id="rId2511" Type="http://schemas.openxmlformats.org/officeDocument/2006/relationships/hyperlink" Target="http://www.helpthinkinganew.com" TargetMode="External"/><Relationship Id="rId3843" Type="http://schemas.openxmlformats.org/officeDocument/2006/relationships/hyperlink" Target="https://spoti.fi/30u7sYZ" TargetMode="External"/><Relationship Id="rId2512" Type="http://schemas.openxmlformats.org/officeDocument/2006/relationships/hyperlink" Target="http://apreslive.com/feature-bottom-rail.html" TargetMode="External"/><Relationship Id="rId3842" Type="http://schemas.openxmlformats.org/officeDocument/2006/relationships/hyperlink" Target="https://pbs.twimg.com/media/EOic8tFUwAATYuw.jpg" TargetMode="External"/><Relationship Id="rId2513" Type="http://schemas.openxmlformats.org/officeDocument/2006/relationships/hyperlink" Target="https://pbs.twimg.com/media/ENxVe0UXsAEs-IE.jpg" TargetMode="External"/><Relationship Id="rId3845" Type="http://schemas.openxmlformats.org/officeDocument/2006/relationships/hyperlink" Target="http://bit.ly/30pyIIg" TargetMode="External"/><Relationship Id="rId2514" Type="http://schemas.openxmlformats.org/officeDocument/2006/relationships/hyperlink" Target="http://www.apreslive.com" TargetMode="External"/><Relationship Id="rId3844" Type="http://schemas.openxmlformats.org/officeDocument/2006/relationships/hyperlink" Target="https://spoti.fi/2QguaQQ" TargetMode="External"/><Relationship Id="rId2515" Type="http://schemas.openxmlformats.org/officeDocument/2006/relationships/hyperlink" Target="https://link.medium.com/azu0sS0Nl3" TargetMode="External"/><Relationship Id="rId3847" Type="http://schemas.openxmlformats.org/officeDocument/2006/relationships/hyperlink" Target="https://wef.ch/2R2YoqR" TargetMode="External"/><Relationship Id="rId2516" Type="http://schemas.openxmlformats.org/officeDocument/2006/relationships/hyperlink" Target="https://medium.com/@djemal.ua" TargetMode="External"/><Relationship Id="rId3846" Type="http://schemas.openxmlformats.org/officeDocument/2006/relationships/hyperlink" Target="http://www.maritimetrustee.ca" TargetMode="External"/><Relationship Id="rId2517" Type="http://schemas.openxmlformats.org/officeDocument/2006/relationships/hyperlink" Target="https://sandcrowrecords.bandcamp.com" TargetMode="External"/><Relationship Id="rId3849" Type="http://schemas.openxmlformats.org/officeDocument/2006/relationships/hyperlink" Target="https://www.netdoctor.co.uk/conditions/depression/a624/anxiety-disorders/" TargetMode="External"/><Relationship Id="rId2518" Type="http://schemas.openxmlformats.org/officeDocument/2006/relationships/hyperlink" Target="https://www.lnk.xyz/BJA6d6RxL?aduc=GuCaWGD1579356559879" TargetMode="External"/><Relationship Id="rId3848" Type="http://schemas.openxmlformats.org/officeDocument/2006/relationships/hyperlink" Target="https://pbs.twimg.com/media/EOgwacEX4As6lKk.jpg" TargetMode="External"/><Relationship Id="rId2519" Type="http://schemas.openxmlformats.org/officeDocument/2006/relationships/hyperlink" Target="https://linktr.ee/dshorbauthor" TargetMode="External"/><Relationship Id="rId3841" Type="http://schemas.openxmlformats.org/officeDocument/2006/relationships/hyperlink" Target="https://society6.com/alightinthedrk" TargetMode="External"/><Relationship Id="rId2510" Type="http://schemas.openxmlformats.org/officeDocument/2006/relationships/hyperlink" Target="http://amzn.to/16y5VAa" TargetMode="External"/><Relationship Id="rId3840" Type="http://schemas.openxmlformats.org/officeDocument/2006/relationships/hyperlink" Target="https://www.youtube.com/watch?v=6bX_SlXijM4&amp;mkt_tok=eyJpIjoiWVRNek16UXlOakppWVRVMCIsInQiOiJpZkhqOXBC" TargetMode="External"/><Relationship Id="rId469" Type="http://schemas.openxmlformats.org/officeDocument/2006/relationships/hyperlink" Target="https://www.commonsensemh.com" TargetMode="External"/><Relationship Id="rId468" Type="http://schemas.openxmlformats.org/officeDocument/2006/relationships/hyperlink" Target="https://pbs.twimg.com/media/EOmVzkNU8AE6-d4.jpg" TargetMode="External"/><Relationship Id="rId467" Type="http://schemas.openxmlformats.org/officeDocument/2006/relationships/hyperlink" Target="http://thielst.typepad.com/my_weblog/healthy_children_and_families/" TargetMode="External"/><Relationship Id="rId1290" Type="http://schemas.openxmlformats.org/officeDocument/2006/relationships/hyperlink" Target="http://www.sexybrilliant.com" TargetMode="External"/><Relationship Id="rId1291" Type="http://schemas.openxmlformats.org/officeDocument/2006/relationships/hyperlink" Target="https://pbs.twimg.com/media/EOlg9OXXkAIxeUV.jpg" TargetMode="External"/><Relationship Id="rId1292" Type="http://schemas.openxmlformats.org/officeDocument/2006/relationships/hyperlink" Target="http://www.sexybrilliant.com" TargetMode="External"/><Relationship Id="rId462" Type="http://schemas.openxmlformats.org/officeDocument/2006/relationships/hyperlink" Target="https://etsy.me/2R79gV2" TargetMode="External"/><Relationship Id="rId1293" Type="http://schemas.openxmlformats.org/officeDocument/2006/relationships/hyperlink" Target="http://pic.twitter.com/cWlmDBLeGG" TargetMode="External"/><Relationship Id="rId461" Type="http://schemas.openxmlformats.org/officeDocument/2006/relationships/hyperlink" Target="https://about.me/e.ahaneku" TargetMode="External"/><Relationship Id="rId1294" Type="http://schemas.openxmlformats.org/officeDocument/2006/relationships/hyperlink" Target="http://bidmc.org/wls" TargetMode="External"/><Relationship Id="rId460" Type="http://schemas.openxmlformats.org/officeDocument/2006/relationships/hyperlink" Target="https://lnkd.in/djhS5CJ" TargetMode="External"/><Relationship Id="rId1295" Type="http://schemas.openxmlformats.org/officeDocument/2006/relationships/hyperlink" Target="http://muskokaregion.com" TargetMode="External"/><Relationship Id="rId1296" Type="http://schemas.openxmlformats.org/officeDocument/2006/relationships/hyperlink" Target="https://www.muskokaregion.com/community-story/9811084-gravenhurst-youth-council-talks-events-arts-and-mental-health/" TargetMode="External"/><Relationship Id="rId466" Type="http://schemas.openxmlformats.org/officeDocument/2006/relationships/hyperlink" Target="https://www.forbes.com/sites/williamhaseltine/2020/01/17/can-home-care-workers-help-older-adults-escape-late-life-depression-and-anxiety/" TargetMode="External"/><Relationship Id="rId1297" Type="http://schemas.openxmlformats.org/officeDocument/2006/relationships/hyperlink" Target="http://www.muskokaregion.com" TargetMode="External"/><Relationship Id="rId465" Type="http://schemas.openxmlformats.org/officeDocument/2006/relationships/hyperlink" Target="https://pbs.twimg.com/media/EOmV3-XUUAA9hy_.jpg" TargetMode="External"/><Relationship Id="rId1298" Type="http://schemas.openxmlformats.org/officeDocument/2006/relationships/hyperlink" Target="https://my.w.tt/LF3WVZt9l3" TargetMode="External"/><Relationship Id="rId464" Type="http://schemas.openxmlformats.org/officeDocument/2006/relationships/hyperlink" Target="https://fineartamerica.com/profiles/kristina-kruskol" TargetMode="External"/><Relationship Id="rId1299" Type="http://schemas.openxmlformats.org/officeDocument/2006/relationships/hyperlink" Target="https://pbs.twimg.com/media/EOlgrerXUAAFVzk.png" TargetMode="External"/><Relationship Id="rId463" Type="http://schemas.openxmlformats.org/officeDocument/2006/relationships/hyperlink" Target="https://pbs.twimg.com/media/EOmV4ZiUwAArCE5.jpg" TargetMode="External"/><Relationship Id="rId459" Type="http://schemas.openxmlformats.org/officeDocument/2006/relationships/hyperlink" Target="https://twitter.com/aimee_brimson/status/1123215698963128320" TargetMode="External"/><Relationship Id="rId458" Type="http://schemas.openxmlformats.org/officeDocument/2006/relationships/hyperlink" Target="http://www.thementalhealthupdate.com" TargetMode="External"/><Relationship Id="rId457" Type="http://schemas.openxmlformats.org/officeDocument/2006/relationships/hyperlink" Target="http://newsletter.thementalhealthupdate.com/archive/221766" TargetMode="External"/><Relationship Id="rId456" Type="http://schemas.openxmlformats.org/officeDocument/2006/relationships/hyperlink" Target="http://totalrecoveryarizona.com/" TargetMode="External"/><Relationship Id="rId1280" Type="http://schemas.openxmlformats.org/officeDocument/2006/relationships/hyperlink" Target="https://www.independent.co.uk/life-style/gadgets-and-tech/news/artificial-intelligence-deepmind-ai-human-brain-neuroscience-a9286661.html" TargetMode="External"/><Relationship Id="rId1281" Type="http://schemas.openxmlformats.org/officeDocument/2006/relationships/hyperlink" Target="http://alphalake.ai" TargetMode="External"/><Relationship Id="rId451" Type="http://schemas.openxmlformats.org/officeDocument/2006/relationships/hyperlink" Target="https://pbs.twimg.com/media/EOmWxI0WAAEhPHx.jpg" TargetMode="External"/><Relationship Id="rId1282" Type="http://schemas.openxmlformats.org/officeDocument/2006/relationships/hyperlink" Target="http://www.lifehurts.net" TargetMode="External"/><Relationship Id="rId450" Type="http://schemas.openxmlformats.org/officeDocument/2006/relationships/hyperlink" Target="https://www.thriveglobal.com/authors/59-lisa-gallagher" TargetMode="External"/><Relationship Id="rId1283" Type="http://schemas.openxmlformats.org/officeDocument/2006/relationships/hyperlink" Target="https://www.greenchimneys.org/therapeutic-special-education/green-chimneys-school/who-we-serve/" TargetMode="External"/><Relationship Id="rId1284" Type="http://schemas.openxmlformats.org/officeDocument/2006/relationships/hyperlink" Target="https://pbs.twimg.com/media/EOg43KVX0AUHYWq.jpg" TargetMode="External"/><Relationship Id="rId1285" Type="http://schemas.openxmlformats.org/officeDocument/2006/relationships/hyperlink" Target="http://www.greenchimneys.org" TargetMode="External"/><Relationship Id="rId455" Type="http://schemas.openxmlformats.org/officeDocument/2006/relationships/hyperlink" Target="https://laurenbersaglio.com" TargetMode="External"/><Relationship Id="rId1286" Type="http://schemas.openxmlformats.org/officeDocument/2006/relationships/hyperlink" Target="https://www.instagram.com/p/B7eOXiwgfRO/?igshid=n0fvtp7q26lx" TargetMode="External"/><Relationship Id="rId454" Type="http://schemas.openxmlformats.org/officeDocument/2006/relationships/hyperlink" Target="https://pbs.twimg.com/media/EOmWvLOX0AAogfD.png" TargetMode="External"/><Relationship Id="rId1287" Type="http://schemas.openxmlformats.org/officeDocument/2006/relationships/hyperlink" Target="http://www.nishparikh.com" TargetMode="External"/><Relationship Id="rId453" Type="http://schemas.openxmlformats.org/officeDocument/2006/relationships/hyperlink" Target="https://ift.tt/2G2qrAt" TargetMode="External"/><Relationship Id="rId1288" Type="http://schemas.openxmlformats.org/officeDocument/2006/relationships/hyperlink" Target="https://www.ncbi.nlm.nih.gov/pubmed/29752493" TargetMode="External"/><Relationship Id="rId452" Type="http://schemas.openxmlformats.org/officeDocument/2006/relationships/hyperlink" Target="http://www.resteasytraining.com" TargetMode="External"/><Relationship Id="rId1289" Type="http://schemas.openxmlformats.org/officeDocument/2006/relationships/hyperlink" Target="http://www.ketka.co.uk" TargetMode="External"/><Relationship Id="rId3018" Type="http://schemas.openxmlformats.org/officeDocument/2006/relationships/hyperlink" Target="http://instagram.com/shaka.brown" TargetMode="External"/><Relationship Id="rId3017" Type="http://schemas.openxmlformats.org/officeDocument/2006/relationships/hyperlink" Target="http://www.pinkskythinking.com" TargetMode="External"/><Relationship Id="rId3019" Type="http://schemas.openxmlformats.org/officeDocument/2006/relationships/hyperlink" Target="https://pbs.twimg.com/media/EOj3AlpWAAADAuE.jpg" TargetMode="External"/><Relationship Id="rId491" Type="http://schemas.openxmlformats.org/officeDocument/2006/relationships/hyperlink" Target="http://jayhollingshed.com" TargetMode="External"/><Relationship Id="rId490" Type="http://schemas.openxmlformats.org/officeDocument/2006/relationships/hyperlink" Target="https://pbs.twimg.com/media/EOmVEuwU4AAL2gf.jpg" TargetMode="External"/><Relationship Id="rId489" Type="http://schemas.openxmlformats.org/officeDocument/2006/relationships/hyperlink" Target="http://thedreamingpanda.com" TargetMode="External"/><Relationship Id="rId484" Type="http://schemas.openxmlformats.org/officeDocument/2006/relationships/hyperlink" Target="http://byupathway.org" TargetMode="External"/><Relationship Id="rId3010" Type="http://schemas.openxmlformats.org/officeDocument/2006/relationships/hyperlink" Target="http://www.drradha.co.uk" TargetMode="External"/><Relationship Id="rId483" Type="http://schemas.openxmlformats.org/officeDocument/2006/relationships/hyperlink" Target="https://pbs.twimg.com/media/EOmVehtUcAAkxhR.jpg" TargetMode="External"/><Relationship Id="rId482" Type="http://schemas.openxmlformats.org/officeDocument/2006/relationships/hyperlink" Target="http://www.mindmosaic.co.uk/" TargetMode="External"/><Relationship Id="rId3012" Type="http://schemas.openxmlformats.org/officeDocument/2006/relationships/hyperlink" Target="https://pbs.twimg.com/media/EOj3cKaXsAAQNWn.jpg" TargetMode="External"/><Relationship Id="rId481" Type="http://schemas.openxmlformats.org/officeDocument/2006/relationships/hyperlink" Target="https://pbs.twimg.com/media/EOmVgqyUwAAxDSF.jpg" TargetMode="External"/><Relationship Id="rId3011" Type="http://schemas.openxmlformats.org/officeDocument/2006/relationships/hyperlink" Target="https://allauthor.com/amazon/33694/" TargetMode="External"/><Relationship Id="rId488" Type="http://schemas.openxmlformats.org/officeDocument/2006/relationships/hyperlink" Target="http://www.healthyplace.com" TargetMode="External"/><Relationship Id="rId3014" Type="http://schemas.openxmlformats.org/officeDocument/2006/relationships/hyperlink" Target="https://bit.ly/2PtAELS" TargetMode="External"/><Relationship Id="rId487" Type="http://schemas.openxmlformats.org/officeDocument/2006/relationships/hyperlink" Target="https://pbs.twimg.com/media/EOmVY54WAAAkYRh.jpg" TargetMode="External"/><Relationship Id="rId3013" Type="http://schemas.openxmlformats.org/officeDocument/2006/relationships/hyperlink" Target="https://amcnallyauthor.wordpress.com" TargetMode="External"/><Relationship Id="rId486" Type="http://schemas.openxmlformats.org/officeDocument/2006/relationships/hyperlink" Target="https://aninconvenientrelative.blogspot.com/" TargetMode="External"/><Relationship Id="rId3016" Type="http://schemas.openxmlformats.org/officeDocument/2006/relationships/hyperlink" Target="https://zora.medium.com/when-black-women-go-from-office-pet-to-office-threat-83bde710332e" TargetMode="External"/><Relationship Id="rId485" Type="http://schemas.openxmlformats.org/officeDocument/2006/relationships/hyperlink" Target="https://aninconvenientrelative.blogspot.com/2020/01/elizabeth-wutzel.html" TargetMode="External"/><Relationship Id="rId3015" Type="http://schemas.openxmlformats.org/officeDocument/2006/relationships/hyperlink" Target="http://www.hughesandsalvidge.co.uk" TargetMode="External"/><Relationship Id="rId3007" Type="http://schemas.openxmlformats.org/officeDocument/2006/relationships/hyperlink" Target="https://pbs.twimg.com/media/EOj3iClX4AIv2We.jpg" TargetMode="External"/><Relationship Id="rId3006" Type="http://schemas.openxmlformats.org/officeDocument/2006/relationships/hyperlink" Target="http://dld.bz/hv8gF" TargetMode="External"/><Relationship Id="rId3009" Type="http://schemas.openxmlformats.org/officeDocument/2006/relationships/hyperlink" Target="http://pic.twitter.com/yPfTl24lxG" TargetMode="External"/><Relationship Id="rId3008" Type="http://schemas.openxmlformats.org/officeDocument/2006/relationships/hyperlink" Target="https://mrshsfavouritethings.com/" TargetMode="External"/><Relationship Id="rId480" Type="http://schemas.openxmlformats.org/officeDocument/2006/relationships/hyperlink" Target="http://www.thearttherapyproject.org/" TargetMode="External"/><Relationship Id="rId479" Type="http://schemas.openxmlformats.org/officeDocument/2006/relationships/hyperlink" Target="https://bit.ly/2NqfuNb" TargetMode="External"/><Relationship Id="rId478" Type="http://schemas.openxmlformats.org/officeDocument/2006/relationships/hyperlink" Target="http://www.successpodcast.com" TargetMode="External"/><Relationship Id="rId473" Type="http://schemas.openxmlformats.org/officeDocument/2006/relationships/hyperlink" Target="http://shehannemoore.wordpress.com/" TargetMode="External"/><Relationship Id="rId472" Type="http://schemas.openxmlformats.org/officeDocument/2006/relationships/hyperlink" Target="https://jolliffe01.com/2020/01/18/rewrite-the-stars-emma-heatherington-5review-emmalou13-harperfiction-fictionpubteam-familydrama-romance-mentalhealth-relationships-life-serendipity-bookreview/" TargetMode="External"/><Relationship Id="rId471" Type="http://schemas.openxmlformats.org/officeDocument/2006/relationships/hyperlink" Target="http://ruthkleinamemoir.com" TargetMode="External"/><Relationship Id="rId3001" Type="http://schemas.openxmlformats.org/officeDocument/2006/relationships/hyperlink" Target="https://pbs.twimg.com/media/EOj3m60WsAAzx10.jpg" TargetMode="External"/><Relationship Id="rId470" Type="http://schemas.openxmlformats.org/officeDocument/2006/relationships/hyperlink" Target="https://pbs.twimg.com/media/EOmVy7OUcAE3XWi.jpg" TargetMode="External"/><Relationship Id="rId3000" Type="http://schemas.openxmlformats.org/officeDocument/2006/relationships/hyperlink" Target="https://www.worryhead.com/" TargetMode="External"/><Relationship Id="rId477" Type="http://schemas.openxmlformats.org/officeDocument/2006/relationships/hyperlink" Target="https://pbs.twimg.com/media/EOmVhhoWAAIukh5.png" TargetMode="External"/><Relationship Id="rId3003" Type="http://schemas.openxmlformats.org/officeDocument/2006/relationships/hyperlink" Target="http://military.capefearvalley.com/events" TargetMode="External"/><Relationship Id="rId476" Type="http://schemas.openxmlformats.org/officeDocument/2006/relationships/hyperlink" Target="http://www.successpodcast.com/show-notes/2016/11/30/uncover-the-root-of-your-pain-how-to-smash-perfectionism-love-yourself-and-live-a-richer-life-with-megan-bruneau" TargetMode="External"/><Relationship Id="rId3002" Type="http://schemas.openxmlformats.org/officeDocument/2006/relationships/hyperlink" Target="http://hypnotherapyinsuffolk.co.uk/hypnotherapy-in-ipswich/" TargetMode="External"/><Relationship Id="rId475" Type="http://schemas.openxmlformats.org/officeDocument/2006/relationships/hyperlink" Target="http://www.laurenpresutti.com" TargetMode="External"/><Relationship Id="rId3005" Type="http://schemas.openxmlformats.org/officeDocument/2006/relationships/hyperlink" Target="http://military.capefearvalley.com/" TargetMode="External"/><Relationship Id="rId474" Type="http://schemas.openxmlformats.org/officeDocument/2006/relationships/hyperlink" Target="https://pbs.twimg.com/media/EOmVbVRWoAANjUk.jpg" TargetMode="External"/><Relationship Id="rId3004" Type="http://schemas.openxmlformats.org/officeDocument/2006/relationships/hyperlink" Target="https://pbs.twimg.com/media/EOj3jxyXkAIc__5.jpg" TargetMode="External"/><Relationship Id="rId1257" Type="http://schemas.openxmlformats.org/officeDocument/2006/relationships/hyperlink" Target="https://brianthomas.me" TargetMode="External"/><Relationship Id="rId2588" Type="http://schemas.openxmlformats.org/officeDocument/2006/relationships/hyperlink" Target="http://www.marcigeller.com" TargetMode="External"/><Relationship Id="rId1258" Type="http://schemas.openxmlformats.org/officeDocument/2006/relationships/hyperlink" Target="https://www.instagram.com/p/B7ePVcdgc-N/?igshid=16exp87v02osk" TargetMode="External"/><Relationship Id="rId2589" Type="http://schemas.openxmlformats.org/officeDocument/2006/relationships/hyperlink" Target="https://pbs.twimg.com/media/EOkYG8WWkAE6zAq.jpg" TargetMode="External"/><Relationship Id="rId1259" Type="http://schemas.openxmlformats.org/officeDocument/2006/relationships/hyperlink" Target="https://mindsettriangle.com" TargetMode="External"/><Relationship Id="rId426" Type="http://schemas.openxmlformats.org/officeDocument/2006/relationships/hyperlink" Target="http://www.melissagriffiths.com.au" TargetMode="External"/><Relationship Id="rId425" Type="http://schemas.openxmlformats.org/officeDocument/2006/relationships/hyperlink" Target="https://www.bbc.com/news/av/uk-england-tyne-51143669/newcastle-children-talk-mental-health-thanks-to-puppets" TargetMode="External"/><Relationship Id="rId424" Type="http://schemas.openxmlformats.org/officeDocument/2006/relationships/hyperlink" Target="https://www.scrappywheelzgaming.com" TargetMode="External"/><Relationship Id="rId423" Type="http://schemas.openxmlformats.org/officeDocument/2006/relationships/hyperlink" Target="https://pbs.twimg.com/media/EOmawriUEAAy78W.jpg" TargetMode="External"/><Relationship Id="rId429" Type="http://schemas.openxmlformats.org/officeDocument/2006/relationships/hyperlink" Target="http://cpix.me/a/90178549" TargetMode="External"/><Relationship Id="rId428" Type="http://schemas.openxmlformats.org/officeDocument/2006/relationships/hyperlink" Target="https://cheofoundation.donordrive.com/index.cfm?fuseaction=donorDrive.event&amp;eventID=633" TargetMode="External"/><Relationship Id="rId427" Type="http://schemas.openxmlformats.org/officeDocument/2006/relationships/hyperlink" Target="https://pbs.twimg.com/media/EOmasgrUcAAwIU9.jpg" TargetMode="External"/><Relationship Id="rId2580" Type="http://schemas.openxmlformats.org/officeDocument/2006/relationships/hyperlink" Target="http://bit.ly/TASCPeerSupport" TargetMode="External"/><Relationship Id="rId1250" Type="http://schemas.openxmlformats.org/officeDocument/2006/relationships/hyperlink" Target="http://linktr.ee/sarajanekehler" TargetMode="External"/><Relationship Id="rId2581" Type="http://schemas.openxmlformats.org/officeDocument/2006/relationships/hyperlink" Target="https://pbs.twimg.com/media/EOKasF5WoAUSzav.jpg" TargetMode="External"/><Relationship Id="rId1251" Type="http://schemas.openxmlformats.org/officeDocument/2006/relationships/hyperlink" Target="https://www.lnk.xyz/HkdcPy-eU?aduc=KdOfcXB1579375292918" TargetMode="External"/><Relationship Id="rId2582" Type="http://schemas.openxmlformats.org/officeDocument/2006/relationships/hyperlink" Target="http://www.theasc.org.uk" TargetMode="External"/><Relationship Id="rId1252" Type="http://schemas.openxmlformats.org/officeDocument/2006/relationships/hyperlink" Target="https://linktr.ee/dshorbauthor" TargetMode="External"/><Relationship Id="rId2583" Type="http://schemas.openxmlformats.org/officeDocument/2006/relationships/hyperlink" Target="http://bit.ly/2Tzaaes" TargetMode="External"/><Relationship Id="rId422" Type="http://schemas.openxmlformats.org/officeDocument/2006/relationships/hyperlink" Target="http://www.lohcounseling.com" TargetMode="External"/><Relationship Id="rId1253" Type="http://schemas.openxmlformats.org/officeDocument/2006/relationships/hyperlink" Target="https://pbs.twimg.com/media/EOljUPVU4AETPBj.jpg" TargetMode="External"/><Relationship Id="rId2584" Type="http://schemas.openxmlformats.org/officeDocument/2006/relationships/hyperlink" Target="https://www.medscape.com/viewarticle/923776" TargetMode="External"/><Relationship Id="rId421" Type="http://schemas.openxmlformats.org/officeDocument/2006/relationships/hyperlink" Target="https://pbs.twimg.com/media/EOlscb3UYAAvYoU.jpg" TargetMode="External"/><Relationship Id="rId1254" Type="http://schemas.openxmlformats.org/officeDocument/2006/relationships/hyperlink" Target="https://pbs.twimg.com/media/EOfgxiVVUAAVXUb.jpg" TargetMode="External"/><Relationship Id="rId2585" Type="http://schemas.openxmlformats.org/officeDocument/2006/relationships/hyperlink" Target="http://www.linkedin.com/in/nicoletta-p-lekka-a5764b135" TargetMode="External"/><Relationship Id="rId420" Type="http://schemas.openxmlformats.org/officeDocument/2006/relationships/hyperlink" Target="http://www.bark.us" TargetMode="External"/><Relationship Id="rId1255" Type="http://schemas.openxmlformats.org/officeDocument/2006/relationships/hyperlink" Target="https://www.linkedin.com/profile/view?id=AAkAAABkILkBDIJzntz9LdqwGnSEHK4QtiGwd8M&amp;authType=NAME_SEARC" TargetMode="External"/><Relationship Id="rId2586" Type="http://schemas.openxmlformats.org/officeDocument/2006/relationships/hyperlink" Target="https://ift.tt/2ubtbsR" TargetMode="External"/><Relationship Id="rId1256" Type="http://schemas.openxmlformats.org/officeDocument/2006/relationships/hyperlink" Target="https://buff.ly/2YqPF2q" TargetMode="External"/><Relationship Id="rId2587" Type="http://schemas.openxmlformats.org/officeDocument/2006/relationships/hyperlink" Target="https://pbs.twimg.com/media/EOkYs9bXkAAQhlo.jpg" TargetMode="External"/><Relationship Id="rId1246" Type="http://schemas.openxmlformats.org/officeDocument/2006/relationships/hyperlink" Target="http://www.mindyourmind.ca" TargetMode="External"/><Relationship Id="rId2577" Type="http://schemas.openxmlformats.org/officeDocument/2006/relationships/hyperlink" Target="https://twitter.com/joncoopertweets/status/1218196309015965696" TargetMode="External"/><Relationship Id="rId1247" Type="http://schemas.openxmlformats.org/officeDocument/2006/relationships/hyperlink" Target="https://pbs.twimg.com/media/EOljXxhVAAEEmz1.jpg" TargetMode="External"/><Relationship Id="rId2578" Type="http://schemas.openxmlformats.org/officeDocument/2006/relationships/hyperlink" Target="https://twitter.com/_lisacherry/status/1218197469965815808" TargetMode="External"/><Relationship Id="rId1248" Type="http://schemas.openxmlformats.org/officeDocument/2006/relationships/hyperlink" Target="https://www.starmediatv.com/" TargetMode="External"/><Relationship Id="rId2579" Type="http://schemas.openxmlformats.org/officeDocument/2006/relationships/hyperlink" Target="https://pbs.twimg.com/media/EOfoJGtXUAAMjgS.jpg" TargetMode="External"/><Relationship Id="rId1249" Type="http://schemas.openxmlformats.org/officeDocument/2006/relationships/hyperlink" Target="https://saralivingfree.com/2020/01/10/being-emotional-is-not-being-weak/" TargetMode="External"/><Relationship Id="rId415" Type="http://schemas.openxmlformats.org/officeDocument/2006/relationships/hyperlink" Target="https://medium.com/live-your-life-on-purpose/be-specific-df4f87af4270" TargetMode="External"/><Relationship Id="rId414" Type="http://schemas.openxmlformats.org/officeDocument/2006/relationships/hyperlink" Target="http://aretehr.com" TargetMode="External"/><Relationship Id="rId413" Type="http://schemas.openxmlformats.org/officeDocument/2006/relationships/hyperlink" Target="https://snip.ly/3p4zgg" TargetMode="External"/><Relationship Id="rId412" Type="http://schemas.openxmlformats.org/officeDocument/2006/relationships/hyperlink" Target="https://www.instagram.com/p/B7erxP4B8H2/?igshid=phqwera91oaw" TargetMode="External"/><Relationship Id="rId419" Type="http://schemas.openxmlformats.org/officeDocument/2006/relationships/hyperlink" Target="https://www.edutopia.org/article/de-escalation-exercise-upset-students" TargetMode="External"/><Relationship Id="rId418" Type="http://schemas.openxmlformats.org/officeDocument/2006/relationships/hyperlink" Target="http://www.sunriseacademytx.com" TargetMode="External"/><Relationship Id="rId417" Type="http://schemas.openxmlformats.org/officeDocument/2006/relationships/hyperlink" Target="https://pbs.twimg.com/media/EOmbxhsX4AMI6Px.jpg" TargetMode="External"/><Relationship Id="rId416" Type="http://schemas.openxmlformats.org/officeDocument/2006/relationships/hyperlink" Target="https://linktr.ee/chrisoldcorn" TargetMode="External"/><Relationship Id="rId2570" Type="http://schemas.openxmlformats.org/officeDocument/2006/relationships/hyperlink" Target="http://www.consultinghealth.com/" TargetMode="External"/><Relationship Id="rId1240" Type="http://schemas.openxmlformats.org/officeDocument/2006/relationships/hyperlink" Target="https://liberomagazine.com/mentalhealth/post-election-self-care/?utm_source=ReviveOldPost&amp;utm_medium=social&amp;utm_campaign=ReviveOldPost" TargetMode="External"/><Relationship Id="rId2571" Type="http://schemas.openxmlformats.org/officeDocument/2006/relationships/hyperlink" Target="http://ow.ly/fbjC50xYvpH" TargetMode="External"/><Relationship Id="rId1241" Type="http://schemas.openxmlformats.org/officeDocument/2006/relationships/hyperlink" Target="https://pbs.twimg.com/media/EOljh28XkAEKg0m.jpg" TargetMode="External"/><Relationship Id="rId2572" Type="http://schemas.openxmlformats.org/officeDocument/2006/relationships/hyperlink" Target="https://pbs.twimg.com/media/EOkZ3uKWoAAYSAq.jpg" TargetMode="External"/><Relationship Id="rId411" Type="http://schemas.openxmlformats.org/officeDocument/2006/relationships/hyperlink" Target="http://www.louisorourke.ipre.com" TargetMode="External"/><Relationship Id="rId1242" Type="http://schemas.openxmlformats.org/officeDocument/2006/relationships/hyperlink" Target="http://www.liberomagazine.com" TargetMode="External"/><Relationship Id="rId2573" Type="http://schemas.openxmlformats.org/officeDocument/2006/relationships/hyperlink" Target="https://tidl.ssw.umich.edu/" TargetMode="External"/><Relationship Id="rId410" Type="http://schemas.openxmlformats.org/officeDocument/2006/relationships/hyperlink" Target="https://pbs.twimg.com/media/EOmcF5ZVUAEkmsd.jpg" TargetMode="External"/><Relationship Id="rId1243" Type="http://schemas.openxmlformats.org/officeDocument/2006/relationships/hyperlink" Target="https://soundcloud.com/joavah/inthezone" TargetMode="External"/><Relationship Id="rId2574" Type="http://schemas.openxmlformats.org/officeDocument/2006/relationships/hyperlink" Target="http://bit.ly/36HGLTC" TargetMode="External"/><Relationship Id="rId1244" Type="http://schemas.openxmlformats.org/officeDocument/2006/relationships/hyperlink" Target="https://bit.ly/2QRrFok" TargetMode="External"/><Relationship Id="rId2575" Type="http://schemas.openxmlformats.org/officeDocument/2006/relationships/hyperlink" Target="https://pbs.twimg.com/media/EOkZ1ddXUAAQAOU.png" TargetMode="External"/><Relationship Id="rId1245" Type="http://schemas.openxmlformats.org/officeDocument/2006/relationships/hyperlink" Target="https://pbs.twimg.com/media/EOLu5oKX4AcJzUA.jpg" TargetMode="External"/><Relationship Id="rId2576" Type="http://schemas.openxmlformats.org/officeDocument/2006/relationships/hyperlink" Target="https://councilfordisabledchildren.org.uk/information-advice-and-support-services-network" TargetMode="External"/><Relationship Id="rId1279" Type="http://schemas.openxmlformats.org/officeDocument/2006/relationships/hyperlink" Target="https://www.linkedin.com/in/melody-okereke-7a23b5143" TargetMode="External"/><Relationship Id="rId448" Type="http://schemas.openxmlformats.org/officeDocument/2006/relationships/hyperlink" Target="http://www.beautybyjess.glossgenius.com" TargetMode="External"/><Relationship Id="rId447" Type="http://schemas.openxmlformats.org/officeDocument/2006/relationships/hyperlink" Target="https://www.cianciaraventures.com/" TargetMode="External"/><Relationship Id="rId446" Type="http://schemas.openxmlformats.org/officeDocument/2006/relationships/hyperlink" Target="https://pbs.twimg.com/media/EOmYZoXUwAAl7hF.jpg" TargetMode="External"/><Relationship Id="rId445" Type="http://schemas.openxmlformats.org/officeDocument/2006/relationships/hyperlink" Target="https://pbs.twimg.com/media/EOmYzHyU8AAZXS_.jpg" TargetMode="External"/><Relationship Id="rId449" Type="http://schemas.openxmlformats.org/officeDocument/2006/relationships/hyperlink" Target="https://pbs.twimg.com/media/D0O6d8HXcAAgWBe.jpg" TargetMode="External"/><Relationship Id="rId1270" Type="http://schemas.openxmlformats.org/officeDocument/2006/relationships/hyperlink" Target="https://pbs.twimg.com/media/EOlh4XPU0AA9-DB.jpg" TargetMode="External"/><Relationship Id="rId440" Type="http://schemas.openxmlformats.org/officeDocument/2006/relationships/hyperlink" Target="http://www.makeupmaniacs.com" TargetMode="External"/><Relationship Id="rId1271" Type="http://schemas.openxmlformats.org/officeDocument/2006/relationships/hyperlink" Target="https://www.motherdistracted.co.uk" TargetMode="External"/><Relationship Id="rId1272" Type="http://schemas.openxmlformats.org/officeDocument/2006/relationships/hyperlink" Target="https://bit.ly/2RfMZmx" TargetMode="External"/><Relationship Id="rId1273" Type="http://schemas.openxmlformats.org/officeDocument/2006/relationships/hyperlink" Target="https://pbs.twimg.com/media/EOlh321X0AA8PCY.jpg" TargetMode="External"/><Relationship Id="rId1274" Type="http://schemas.openxmlformats.org/officeDocument/2006/relationships/hyperlink" Target="http://www.healthyplace.com" TargetMode="External"/><Relationship Id="rId444" Type="http://schemas.openxmlformats.org/officeDocument/2006/relationships/hyperlink" Target="http://pic.twitter.com/dq4Ep38fGi" TargetMode="External"/><Relationship Id="rId1275" Type="http://schemas.openxmlformats.org/officeDocument/2006/relationships/hyperlink" Target="http://bit.ly/3143xAR" TargetMode="External"/><Relationship Id="rId443" Type="http://schemas.openxmlformats.org/officeDocument/2006/relationships/hyperlink" Target="http://nikpatel.net/" TargetMode="External"/><Relationship Id="rId1276" Type="http://schemas.openxmlformats.org/officeDocument/2006/relationships/hyperlink" Target="https://www.talkspace.com/" TargetMode="External"/><Relationship Id="rId442" Type="http://schemas.openxmlformats.org/officeDocument/2006/relationships/hyperlink" Target="https://pbs.twimg.com/media/EOmZUrcX0AEm2Fm.jpg" TargetMode="External"/><Relationship Id="rId1277" Type="http://schemas.openxmlformats.org/officeDocument/2006/relationships/hyperlink" Target="https://pbs.twimg.com/media/EOlh1aEU0AEhZnl.jpg" TargetMode="External"/><Relationship Id="rId441" Type="http://schemas.openxmlformats.org/officeDocument/2006/relationships/hyperlink" Target="https://www.amazon.com/Long-Road-Back-Verwayne-Greenhoe-ebook/dp/B00HUHM1A8/ref=sr_1_4?crid=2BYEVQRFDEWS7&amp;keywords=verwayne+greenhoe&amp;qid=1563829778&amp;s=gateway&amp;sprefix=Verwayne%2Caps%2C152&amp;sr=8-4" TargetMode="External"/><Relationship Id="rId1278" Type="http://schemas.openxmlformats.org/officeDocument/2006/relationships/hyperlink" Target="http://www.foothillsforage.com" TargetMode="External"/><Relationship Id="rId1268" Type="http://schemas.openxmlformats.org/officeDocument/2006/relationships/hyperlink" Target="http://www.calgarycounselling.com" TargetMode="External"/><Relationship Id="rId2599" Type="http://schemas.openxmlformats.org/officeDocument/2006/relationships/hyperlink" Target="https://pbs.twimg.com/media/EOkXGIgWoAAjwig.jpg" TargetMode="External"/><Relationship Id="rId1269" Type="http://schemas.openxmlformats.org/officeDocument/2006/relationships/hyperlink" Target="http://bit.ly/2L1McSu" TargetMode="External"/><Relationship Id="rId437" Type="http://schemas.openxmlformats.org/officeDocument/2006/relationships/hyperlink" Target="https://pbs.twimg.com/media/EOmZY9UU8AY_XBW.jpg" TargetMode="External"/><Relationship Id="rId436" Type="http://schemas.openxmlformats.org/officeDocument/2006/relationships/hyperlink" Target="http://bit.ly/2LtYra2" TargetMode="External"/><Relationship Id="rId435" Type="http://schemas.openxmlformats.org/officeDocument/2006/relationships/hyperlink" Target="https://pbs.twimg.com/media/EOmZzAIX0AM9_Ov.jpg" TargetMode="External"/><Relationship Id="rId434" Type="http://schemas.openxmlformats.org/officeDocument/2006/relationships/hyperlink" Target="https://medium.com/@djemal.ua" TargetMode="External"/><Relationship Id="rId439" Type="http://schemas.openxmlformats.org/officeDocument/2006/relationships/hyperlink" Target="https://www.instagram.com/p/B7eqRxsgeo6/?igshid=l7pxkjc8ak3k" TargetMode="External"/><Relationship Id="rId438" Type="http://schemas.openxmlformats.org/officeDocument/2006/relationships/hyperlink" Target="http://www.mooremomentum.com" TargetMode="External"/><Relationship Id="rId2590" Type="http://schemas.openxmlformats.org/officeDocument/2006/relationships/hyperlink" Target="http://jayhollingshed.com" TargetMode="External"/><Relationship Id="rId1260" Type="http://schemas.openxmlformats.org/officeDocument/2006/relationships/hyperlink" Target="https://www.theguardian.com/uk-news/2020/jan/16/teenager-who-threatened-suicide-on-road-prosecuted-for-third-time" TargetMode="External"/><Relationship Id="rId2591" Type="http://schemas.openxmlformats.org/officeDocument/2006/relationships/hyperlink" Target="https://pbs.twimg.com/media/EOkXiOkXkAE2oI0.jpg" TargetMode="External"/><Relationship Id="rId1261" Type="http://schemas.openxmlformats.org/officeDocument/2006/relationships/hyperlink" Target="http://linktr.ee/katie._.woodland" TargetMode="External"/><Relationship Id="rId2592" Type="http://schemas.openxmlformats.org/officeDocument/2006/relationships/hyperlink" Target="http://ow.ly/1nWb30qadX7" TargetMode="External"/><Relationship Id="rId1262" Type="http://schemas.openxmlformats.org/officeDocument/2006/relationships/hyperlink" Target="https://twitter.com/KeithNHumphreys/status/1218561932023615488" TargetMode="External"/><Relationship Id="rId2593" Type="http://schemas.openxmlformats.org/officeDocument/2006/relationships/hyperlink" Target="https://campsite.bio/paulapiccard" TargetMode="External"/><Relationship Id="rId1263" Type="http://schemas.openxmlformats.org/officeDocument/2006/relationships/hyperlink" Target="https://www.kickstarter.com/projects/211273324/a-thesaurus-for-the-way-water-returns-a-poetry-chapbook?ref=user_menu" TargetMode="External"/><Relationship Id="rId2594" Type="http://schemas.openxmlformats.org/officeDocument/2006/relationships/hyperlink" Target="https://pbs.twimg.com/media/EOkXX4WWoAEdr27.jpg" TargetMode="External"/><Relationship Id="rId433" Type="http://schemas.openxmlformats.org/officeDocument/2006/relationships/hyperlink" Target="https://link.medium.com/Wgu3727t82" TargetMode="External"/><Relationship Id="rId1264" Type="http://schemas.openxmlformats.org/officeDocument/2006/relationships/hyperlink" Target="https://pbs.twimg.com/media/EOlh6DCU4AADR24.jpg" TargetMode="External"/><Relationship Id="rId2595" Type="http://schemas.openxmlformats.org/officeDocument/2006/relationships/hyperlink" Target="https://www.instagram.com/p/B7dpOo5BYnL/?igshid=1q7brskto42z3" TargetMode="External"/><Relationship Id="rId432" Type="http://schemas.openxmlformats.org/officeDocument/2006/relationships/hyperlink" Target="https://pbs.twimg.com/media/EOmZ98SUEAI_mEO.jpg" TargetMode="External"/><Relationship Id="rId1265" Type="http://schemas.openxmlformats.org/officeDocument/2006/relationships/hyperlink" Target="http://sarahsamsaltiel.com" TargetMode="External"/><Relationship Id="rId2596" Type="http://schemas.openxmlformats.org/officeDocument/2006/relationships/hyperlink" Target="https://www.theglobeandmail.com/canada/article-half-of-canadians-have-too-few-local-psychiatrists-or-none-at-all/?utm_medium=Referrer:+Social+Network+/+Media&amp;utm_campaign=Shared+Web+Article+Links" TargetMode="External"/><Relationship Id="rId431" Type="http://schemas.openxmlformats.org/officeDocument/2006/relationships/hyperlink" Target="http://www.idealproperties.com" TargetMode="External"/><Relationship Id="rId1266" Type="http://schemas.openxmlformats.org/officeDocument/2006/relationships/hyperlink" Target="http://ow.ly/vYV930q9r0z" TargetMode="External"/><Relationship Id="rId2597" Type="http://schemas.openxmlformats.org/officeDocument/2006/relationships/hyperlink" Target="https://www.lnk.xyz/Byll3_Uqr?aduc=orrGUz71579355313857" TargetMode="External"/><Relationship Id="rId430" Type="http://schemas.openxmlformats.org/officeDocument/2006/relationships/hyperlink" Target="https://pbs.twimg.com/media/EOmaPMdVAAALgl7.jpg" TargetMode="External"/><Relationship Id="rId1267" Type="http://schemas.openxmlformats.org/officeDocument/2006/relationships/hyperlink" Target="https://pbs.twimg.com/media/EOlh4dvWAAA0f-a.jpg" TargetMode="External"/><Relationship Id="rId2598" Type="http://schemas.openxmlformats.org/officeDocument/2006/relationships/hyperlink" Target="https://linktr.ee/dshorbauthor" TargetMode="External"/><Relationship Id="rId3070" Type="http://schemas.openxmlformats.org/officeDocument/2006/relationships/hyperlink" Target="https://pbs.twimg.com/media/EOjxFMAWkAEyoBX.jpg" TargetMode="External"/><Relationship Id="rId3072" Type="http://schemas.openxmlformats.org/officeDocument/2006/relationships/hyperlink" Target="https://pbs.twimg.com/media/EOjxEmaXsAIR0ad.jpg" TargetMode="External"/><Relationship Id="rId3071" Type="http://schemas.openxmlformats.org/officeDocument/2006/relationships/hyperlink" Target="http://www.yorkmind.org.uk" TargetMode="External"/><Relationship Id="rId3074" Type="http://schemas.openxmlformats.org/officeDocument/2006/relationships/hyperlink" Target="https://pbs.twimg.com/media/EOjw7NKXUAAQjfv.jpg" TargetMode="External"/><Relationship Id="rId3073" Type="http://schemas.openxmlformats.org/officeDocument/2006/relationships/hyperlink" Target="http://www.swan.org.uk" TargetMode="External"/><Relationship Id="rId3076" Type="http://schemas.openxmlformats.org/officeDocument/2006/relationships/hyperlink" Target="http://dld.bz/hbtz3" TargetMode="External"/><Relationship Id="rId3075" Type="http://schemas.openxmlformats.org/officeDocument/2006/relationships/hyperlink" Target="https://christinemcateer.tumblr.com" TargetMode="External"/><Relationship Id="rId3078" Type="http://schemas.openxmlformats.org/officeDocument/2006/relationships/hyperlink" Target="https://curepsoriasisholistically.com" TargetMode="External"/><Relationship Id="rId3077" Type="http://schemas.openxmlformats.org/officeDocument/2006/relationships/hyperlink" Target="https://pbs.twimg.com/media/EOjw1XoXkAE7ULQ.jpg" TargetMode="External"/><Relationship Id="rId3079" Type="http://schemas.openxmlformats.org/officeDocument/2006/relationships/hyperlink" Target="http://ow.ly/ShWfd" TargetMode="External"/><Relationship Id="rId3061" Type="http://schemas.openxmlformats.org/officeDocument/2006/relationships/hyperlink" Target="http://bit.ly/2PcHNA6" TargetMode="External"/><Relationship Id="rId3060" Type="http://schemas.openxmlformats.org/officeDocument/2006/relationships/hyperlink" Target="https://pbs.twimg.com/media/EOgKKIRX4AE4Y_a.jpg" TargetMode="External"/><Relationship Id="rId3063" Type="http://schemas.openxmlformats.org/officeDocument/2006/relationships/hyperlink" Target="http://www.nfer.ac.uk" TargetMode="External"/><Relationship Id="rId3062" Type="http://schemas.openxmlformats.org/officeDocument/2006/relationships/hyperlink" Target="https://pbs.twimg.com/media/EOjxurCWAAEyk9d.jpg" TargetMode="External"/><Relationship Id="rId3065" Type="http://schemas.openxmlformats.org/officeDocument/2006/relationships/hyperlink" Target="about:blank" TargetMode="External"/><Relationship Id="rId3064" Type="http://schemas.openxmlformats.org/officeDocument/2006/relationships/hyperlink" Target="http://instagram.com/arman__Mansouri" TargetMode="External"/><Relationship Id="rId3067" Type="http://schemas.openxmlformats.org/officeDocument/2006/relationships/hyperlink" Target="https://pbs.twimg.com/media/EOjxblxWkAMdRQF.jpg" TargetMode="External"/><Relationship Id="rId3066" Type="http://schemas.openxmlformats.org/officeDocument/2006/relationships/hyperlink" Target="https://www.paypal.me/NATTYCATZ" TargetMode="External"/><Relationship Id="rId3069" Type="http://schemas.openxmlformats.org/officeDocument/2006/relationships/hyperlink" Target="http://www.dreambig-beunique.com" TargetMode="External"/><Relationship Id="rId3068" Type="http://schemas.openxmlformats.org/officeDocument/2006/relationships/hyperlink" Target="https://pbs.twimg.com/media/EOjxUY5XUAArMuq.jpg" TargetMode="External"/><Relationship Id="rId3090" Type="http://schemas.openxmlformats.org/officeDocument/2006/relationships/hyperlink" Target="http://richardcosgrove.co.uk" TargetMode="External"/><Relationship Id="rId3092" Type="http://schemas.openxmlformats.org/officeDocument/2006/relationships/hyperlink" Target="http://www.fourteen0seven.com" TargetMode="External"/><Relationship Id="rId3091" Type="http://schemas.openxmlformats.org/officeDocument/2006/relationships/hyperlink" Target="https://pbs.twimg.com/media/EOjwqSSWsAIYCIk.jpg" TargetMode="External"/><Relationship Id="rId3094" Type="http://schemas.openxmlformats.org/officeDocument/2006/relationships/hyperlink" Target="https://pbs.twimg.com/media/EOjwp4vWkAAIsvC.jpg" TargetMode="External"/><Relationship Id="rId3093" Type="http://schemas.openxmlformats.org/officeDocument/2006/relationships/hyperlink" Target="http://bit.ly/2NXT84f" TargetMode="External"/><Relationship Id="rId3096" Type="http://schemas.openxmlformats.org/officeDocument/2006/relationships/hyperlink" Target="http://bit.ly/2R4Yrm3" TargetMode="External"/><Relationship Id="rId3095" Type="http://schemas.openxmlformats.org/officeDocument/2006/relationships/hyperlink" Target="https://www.motherdistracted.co.uk" TargetMode="External"/><Relationship Id="rId3098" Type="http://schemas.openxmlformats.org/officeDocument/2006/relationships/hyperlink" Target="http://www.uk.mercer.com" TargetMode="External"/><Relationship Id="rId3097" Type="http://schemas.openxmlformats.org/officeDocument/2006/relationships/hyperlink" Target="https://pbs.twimg.com/media/EOjwm4wX0AA8Hr8.jpg" TargetMode="External"/><Relationship Id="rId3099" Type="http://schemas.openxmlformats.org/officeDocument/2006/relationships/hyperlink" Target="https://pbs.twimg.com/media/EOjwkHvWkAAvRGd.jpg" TargetMode="External"/><Relationship Id="rId3081" Type="http://schemas.openxmlformats.org/officeDocument/2006/relationships/hyperlink" Target="https://spencercoffman.jeunesseglobal.com/en-US/m1nd" TargetMode="External"/><Relationship Id="rId3080" Type="http://schemas.openxmlformats.org/officeDocument/2006/relationships/hyperlink" Target="http://www.franksonnenbergonline.com" TargetMode="External"/><Relationship Id="rId3083" Type="http://schemas.openxmlformats.org/officeDocument/2006/relationships/hyperlink" Target="https://pbs.twimg.com/media/EOjwvUuXUAAekWa.jpg" TargetMode="External"/><Relationship Id="rId3082" Type="http://schemas.openxmlformats.org/officeDocument/2006/relationships/hyperlink" Target="http://spencercoffman.com" TargetMode="External"/><Relationship Id="rId3085" Type="http://schemas.openxmlformats.org/officeDocument/2006/relationships/hyperlink" Target="http://evolutionmhs.com" TargetMode="External"/><Relationship Id="rId3084" Type="http://schemas.openxmlformats.org/officeDocument/2006/relationships/hyperlink" Target="http://www.mindmosaic.co.uk/" TargetMode="External"/><Relationship Id="rId3087" Type="http://schemas.openxmlformats.org/officeDocument/2006/relationships/hyperlink" Target="http://www.evolutionmhs.com" TargetMode="External"/><Relationship Id="rId3086" Type="http://schemas.openxmlformats.org/officeDocument/2006/relationships/hyperlink" Target="https://pbs.twimg.com/media/EOjwtWmWAAESTLs.jpg" TargetMode="External"/><Relationship Id="rId3089" Type="http://schemas.openxmlformats.org/officeDocument/2006/relationships/hyperlink" Target="https://pbs.twimg.com/media/EOjwrPyX0AA3fy-.jpg" TargetMode="External"/><Relationship Id="rId3088" Type="http://schemas.openxmlformats.org/officeDocument/2006/relationships/hyperlink" Target="http://bit.ly/2pbLlI3" TargetMode="External"/><Relationship Id="rId3039" Type="http://schemas.openxmlformats.org/officeDocument/2006/relationships/hyperlink" Target="http://www.sos-medical.co.uk" TargetMode="External"/><Relationship Id="rId1" Type="http://schemas.openxmlformats.org/officeDocument/2006/relationships/hyperlink" Target="https://www.lnk.xyz/HkdcPy-eU?aduc=CX9DmtC1579404277716" TargetMode="External"/><Relationship Id="rId2" Type="http://schemas.openxmlformats.org/officeDocument/2006/relationships/hyperlink" Target="https://linktr.ee/dshorbauthor" TargetMode="External"/><Relationship Id="rId3" Type="http://schemas.openxmlformats.org/officeDocument/2006/relationships/hyperlink" Target="http://www.malarchuk.com" TargetMode="External"/><Relationship Id="rId4" Type="http://schemas.openxmlformats.org/officeDocument/2006/relationships/hyperlink" Target="https://sueghosh.wordpress.com/2020/01/17/anxiety/" TargetMode="External"/><Relationship Id="rId3030" Type="http://schemas.openxmlformats.org/officeDocument/2006/relationships/hyperlink" Target="https://pbs.twimg.com/media/EOj1J_WXUAAHfaY.jpg" TargetMode="External"/><Relationship Id="rId9" Type="http://schemas.openxmlformats.org/officeDocument/2006/relationships/hyperlink" Target="http://www.eminenceonline.in" TargetMode="External"/><Relationship Id="rId3032" Type="http://schemas.openxmlformats.org/officeDocument/2006/relationships/hyperlink" Target="http://www.markhenick.com" TargetMode="External"/><Relationship Id="rId3031" Type="http://schemas.openxmlformats.org/officeDocument/2006/relationships/hyperlink" Target="https://www.esquire.com/entertainment/a25133821/bruce-springsteen-interview-netflix-broadway-2018/" TargetMode="External"/><Relationship Id="rId3034" Type="http://schemas.openxmlformats.org/officeDocument/2006/relationships/hyperlink" Target="https://linktr.ee/dshorbauthor" TargetMode="External"/><Relationship Id="rId3033" Type="http://schemas.openxmlformats.org/officeDocument/2006/relationships/hyperlink" Target="https://www.lnk.xyz/HkdcPy-eU?aduc=6kCk4zC1579346309432" TargetMode="External"/><Relationship Id="rId5" Type="http://schemas.openxmlformats.org/officeDocument/2006/relationships/hyperlink" Target="https://www.amazon.com/Sudesna-Ghosh/e/B00AOPT3Z4" TargetMode="External"/><Relationship Id="rId3036" Type="http://schemas.openxmlformats.org/officeDocument/2006/relationships/hyperlink" Target="https://pbs.twimg.com/media/EOj0vNcXUAA6JXD.jpg" TargetMode="External"/><Relationship Id="rId6" Type="http://schemas.openxmlformats.org/officeDocument/2006/relationships/hyperlink" Target="https://pdmstrong.wordpress.com" TargetMode="External"/><Relationship Id="rId3035" Type="http://schemas.openxmlformats.org/officeDocument/2006/relationships/hyperlink" Target="https://buff.ly/2MHv2Mf" TargetMode="External"/><Relationship Id="rId7" Type="http://schemas.openxmlformats.org/officeDocument/2006/relationships/hyperlink" Target="https://pdmstrong.wordpress.com" TargetMode="External"/><Relationship Id="rId3038" Type="http://schemas.openxmlformats.org/officeDocument/2006/relationships/hyperlink" Target="https://pbs.twimg.com/media/EOj0sPdXUAIqSx8.jpg" TargetMode="External"/><Relationship Id="rId8" Type="http://schemas.openxmlformats.org/officeDocument/2006/relationships/hyperlink" Target="https://indianexpress.com/article/india/praveen-kumar-former-medium-pacer-cricket-struggle-mental-ailments-6223705/" TargetMode="External"/><Relationship Id="rId3037" Type="http://schemas.openxmlformats.org/officeDocument/2006/relationships/hyperlink" Target="http://www.slam.org.uk" TargetMode="External"/><Relationship Id="rId3029" Type="http://schemas.openxmlformats.org/officeDocument/2006/relationships/hyperlink" Target="https://www.healthyyoungmindslsc.co.uk/home" TargetMode="External"/><Relationship Id="rId3028" Type="http://schemas.openxmlformats.org/officeDocument/2006/relationships/hyperlink" Target="https://pbs.twimg.com/media/ELf214JX0AAEwkB.jpg" TargetMode="External"/><Relationship Id="rId3021" Type="http://schemas.openxmlformats.org/officeDocument/2006/relationships/hyperlink" Target="https://www.instagram.com/p/B7dZR1WHTAE/?igshid=1c58ykb66givy" TargetMode="External"/><Relationship Id="rId3020" Type="http://schemas.openxmlformats.org/officeDocument/2006/relationships/hyperlink" Target="https://pbs.twimg.com/media/EOj3CSvWsAEoRLU.jpg" TargetMode="External"/><Relationship Id="rId3023" Type="http://schemas.openxmlformats.org/officeDocument/2006/relationships/hyperlink" Target="https://youtu.be/oXtxNTZ51YE" TargetMode="External"/><Relationship Id="rId3022" Type="http://schemas.openxmlformats.org/officeDocument/2006/relationships/hyperlink" Target="http://stmplymouth.org.uk" TargetMode="External"/><Relationship Id="rId3025" Type="http://schemas.openxmlformats.org/officeDocument/2006/relationships/hyperlink" Target="https://www.littlekaatie.com" TargetMode="External"/><Relationship Id="rId3024" Type="http://schemas.openxmlformats.org/officeDocument/2006/relationships/hyperlink" Target="https://www.instagram.com/p/B7dVlEdBEvY/?igshid=uycivjs5c7jp" TargetMode="External"/><Relationship Id="rId3027" Type="http://schemas.openxmlformats.org/officeDocument/2006/relationships/hyperlink" Target="https://bit.ly/38uKtR6" TargetMode="External"/><Relationship Id="rId3026" Type="http://schemas.openxmlformats.org/officeDocument/2006/relationships/hyperlink" Target="https://pbs.twimg.com/media/EOj1gYDWAAAGQcU.jpg" TargetMode="External"/><Relationship Id="rId3050" Type="http://schemas.openxmlformats.org/officeDocument/2006/relationships/hyperlink" Target="http://www.apexdearborn.com" TargetMode="External"/><Relationship Id="rId3052" Type="http://schemas.openxmlformats.org/officeDocument/2006/relationships/hyperlink" Target="http://www.lulu.com/spotlight/AlwinW" TargetMode="External"/><Relationship Id="rId3051" Type="http://schemas.openxmlformats.org/officeDocument/2006/relationships/hyperlink" Target="https://pbs.twimg.com/media/EOjy52iVAAAaG3w.jpg" TargetMode="External"/><Relationship Id="rId3054" Type="http://schemas.openxmlformats.org/officeDocument/2006/relationships/hyperlink" Target="https://pbs.twimg.com/media/EOjyhriWAAMi20z.jpg" TargetMode="External"/><Relationship Id="rId3053" Type="http://schemas.openxmlformats.org/officeDocument/2006/relationships/hyperlink" Target="http://www.templeheelis.co.uk" TargetMode="External"/><Relationship Id="rId3056" Type="http://schemas.openxmlformats.org/officeDocument/2006/relationships/hyperlink" Target="http://mindyourself.io" TargetMode="External"/><Relationship Id="rId3055" Type="http://schemas.openxmlformats.org/officeDocument/2006/relationships/hyperlink" Target="http://www.ryanrides.co.uk" TargetMode="External"/><Relationship Id="rId3058" Type="http://schemas.openxmlformats.org/officeDocument/2006/relationships/hyperlink" Target="https://pbs.twimg.com/media/EOjyKsHX4AAh5oc.jpg" TargetMode="External"/><Relationship Id="rId3057" Type="http://schemas.openxmlformats.org/officeDocument/2006/relationships/hyperlink" Target="http://www.sandydeboice.com/" TargetMode="External"/><Relationship Id="rId3059" Type="http://schemas.openxmlformats.org/officeDocument/2006/relationships/hyperlink" Target="http://www.aceofspadesgardens.co.uk" TargetMode="External"/><Relationship Id="rId3041" Type="http://schemas.openxmlformats.org/officeDocument/2006/relationships/hyperlink" Target="https://pbs.twimg.com/media/EOj0Xc5X4AEAMzN.jpg" TargetMode="External"/><Relationship Id="rId3040" Type="http://schemas.openxmlformats.org/officeDocument/2006/relationships/hyperlink" Target="https://pbs.twimg.com/media/EOj0ht8X0AI7iuS.jpg" TargetMode="External"/><Relationship Id="rId3043" Type="http://schemas.openxmlformats.org/officeDocument/2006/relationships/hyperlink" Target="https://www.nejm.org/doi/full/10.1056/NEJMp1909298?query=TOC" TargetMode="External"/><Relationship Id="rId3042" Type="http://schemas.openxmlformats.org/officeDocument/2006/relationships/hyperlink" Target="http://womensbrainproject.com/" TargetMode="External"/><Relationship Id="rId3045" Type="http://schemas.openxmlformats.org/officeDocument/2006/relationships/hyperlink" Target="https://pbs.twimg.com/media/EOj0BaLWsAAUOc-.jpg" TargetMode="External"/><Relationship Id="rId3044" Type="http://schemas.openxmlformats.org/officeDocument/2006/relationships/hyperlink" Target="http://bit.ly/2P7ejBn" TargetMode="External"/><Relationship Id="rId3047" Type="http://schemas.openxmlformats.org/officeDocument/2006/relationships/hyperlink" Target="https://pbs.twimg.com/media/EOjzXw1WAAALJM0.jpg" TargetMode="External"/><Relationship Id="rId3046" Type="http://schemas.openxmlformats.org/officeDocument/2006/relationships/hyperlink" Target="http://www.dimhn.org" TargetMode="External"/><Relationship Id="rId3049" Type="http://schemas.openxmlformats.org/officeDocument/2006/relationships/hyperlink" Target="https://pbs.twimg.com/media/EOjzR3dXkAI-AWm.jpg" TargetMode="External"/><Relationship Id="rId3048" Type="http://schemas.openxmlformats.org/officeDocument/2006/relationships/hyperlink" Target="https://mixer.com/StoneyJames" TargetMode="External"/><Relationship Id="rId3911" Type="http://schemas.openxmlformats.org/officeDocument/2006/relationships/hyperlink" Target="https://linktr.ee/padhamhealthnews" TargetMode="External"/><Relationship Id="rId3910" Type="http://schemas.openxmlformats.org/officeDocument/2006/relationships/hyperlink" Target="http://padhamhealthnews.org/easy-ways-to-relieve-stress-lead-a-happy-life/" TargetMode="External"/><Relationship Id="rId3913" Type="http://schemas.openxmlformats.org/officeDocument/2006/relationships/hyperlink" Target="http://linktr.ee/rahulsethau" TargetMode="External"/><Relationship Id="rId3912" Type="http://schemas.openxmlformats.org/officeDocument/2006/relationships/hyperlink" Target="https://mashable.com/article/community-care-versus-self-care/" TargetMode="External"/><Relationship Id="rId3915" Type="http://schemas.openxmlformats.org/officeDocument/2006/relationships/hyperlink" Target="http://www.scandicneuro.com" TargetMode="External"/><Relationship Id="rId3914" Type="http://schemas.openxmlformats.org/officeDocument/2006/relationships/hyperlink" Target="https://www.bbc.co.uk/news/uk-51014028" TargetMode="External"/><Relationship Id="rId3917" Type="http://schemas.openxmlformats.org/officeDocument/2006/relationships/hyperlink" Target="http://www.bettermementalhealth.com" TargetMode="External"/><Relationship Id="rId3916" Type="http://schemas.openxmlformats.org/officeDocument/2006/relationships/hyperlink" Target="https://pbs.twimg.com/media/EOiQhUxXkAAsANZ.jpg" TargetMode="External"/><Relationship Id="rId3919" Type="http://schemas.openxmlformats.org/officeDocument/2006/relationships/hyperlink" Target="http://www.whiteswanfoundation.org" TargetMode="External"/><Relationship Id="rId3918" Type="http://schemas.openxmlformats.org/officeDocument/2006/relationships/hyperlink" Target="https://www.youtube.com/watch?v=lX9RjyNJ_9g&amp;list=PL3LYCEMgJ1uooBTit-HLCRnAGQSBogR95&amp;index=10&amp;platform=hootsuite&amp;utm_campaign=HSCampaign" TargetMode="External"/><Relationship Id="rId3900" Type="http://schemas.openxmlformats.org/officeDocument/2006/relationships/hyperlink" Target="http://bit.ly/2SlHNfK" TargetMode="External"/><Relationship Id="rId3902" Type="http://schemas.openxmlformats.org/officeDocument/2006/relationships/hyperlink" Target="https://www.facebook.com/godwin.mbogo" TargetMode="External"/><Relationship Id="rId3901" Type="http://schemas.openxmlformats.org/officeDocument/2006/relationships/hyperlink" Target="http://tanyajpeterson.com" TargetMode="External"/><Relationship Id="rId3904" Type="http://schemas.openxmlformats.org/officeDocument/2006/relationships/hyperlink" Target="http://www.linkedin.com/in/jennylaurello/" TargetMode="External"/><Relationship Id="rId3903" Type="http://schemas.openxmlformats.org/officeDocument/2006/relationships/hyperlink" Target="https://www.forbes.com/sites/williamhaseltine/2020/01/17/can-home-care-workers-help-older-adults-escape-late-life-depression-and-anxiety/" TargetMode="External"/><Relationship Id="rId3906" Type="http://schemas.openxmlformats.org/officeDocument/2006/relationships/hyperlink" Target="http://pic.twitter.com/Da4pNGGqUy" TargetMode="External"/><Relationship Id="rId3905" Type="http://schemas.openxmlformats.org/officeDocument/2006/relationships/hyperlink" Target="http://totalrecoveryarizona.com/" TargetMode="External"/><Relationship Id="rId3908" Type="http://schemas.openxmlformats.org/officeDocument/2006/relationships/hyperlink" Target="https://www.instagram.com/p/B7cnBIOHmMh/?igshid=1ewrwuqocwx3v" TargetMode="External"/><Relationship Id="rId3907" Type="http://schemas.openxmlformats.org/officeDocument/2006/relationships/hyperlink" Target="https://www.youtube.com/user/KimChron2" TargetMode="External"/><Relationship Id="rId3909" Type="http://schemas.openxmlformats.org/officeDocument/2006/relationships/hyperlink" Target="http://ourmadlife.com" TargetMode="External"/><Relationship Id="rId3931" Type="http://schemas.openxmlformats.org/officeDocument/2006/relationships/hyperlink" Target="http://www.ginmanconsulting.com" TargetMode="External"/><Relationship Id="rId2600" Type="http://schemas.openxmlformats.org/officeDocument/2006/relationships/hyperlink" Target="http://pic.twitter.com/I9qyeEMT9D" TargetMode="External"/><Relationship Id="rId3930" Type="http://schemas.openxmlformats.org/officeDocument/2006/relationships/hyperlink" Target="https://pbs.twimg.com/media/EOiNuENXUAAtdAj.jpg" TargetMode="External"/><Relationship Id="rId2601" Type="http://schemas.openxmlformats.org/officeDocument/2006/relationships/hyperlink" Target="http://www.goodreads.com/SpecialCornersConnie" TargetMode="External"/><Relationship Id="rId3933" Type="http://schemas.openxmlformats.org/officeDocument/2006/relationships/hyperlink" Target="http://totalrecoveryarizona.com/" TargetMode="External"/><Relationship Id="rId2602" Type="http://schemas.openxmlformats.org/officeDocument/2006/relationships/hyperlink" Target="https://pbs.twimg.com/media/EOkWTd2WkAA2lnn.jpg" TargetMode="External"/><Relationship Id="rId3932" Type="http://schemas.openxmlformats.org/officeDocument/2006/relationships/hyperlink" Target="https://vm.tiktok.com/4Rs76U/" TargetMode="External"/><Relationship Id="rId2603" Type="http://schemas.openxmlformats.org/officeDocument/2006/relationships/hyperlink" Target="http://www.instagram.com/drgetaheadspace/" TargetMode="External"/><Relationship Id="rId3935" Type="http://schemas.openxmlformats.org/officeDocument/2006/relationships/hyperlink" Target="https://residentbolde.org/" TargetMode="External"/><Relationship Id="rId2604" Type="http://schemas.openxmlformats.org/officeDocument/2006/relationships/hyperlink" Target="https://pbs.twimg.com/media/EOkWSItX0AETeym.jpg" TargetMode="External"/><Relationship Id="rId3934" Type="http://schemas.openxmlformats.org/officeDocument/2006/relationships/hyperlink" Target="https://twitter.com/2023drmeowmeow/status/1218308486217576448" TargetMode="External"/><Relationship Id="rId2605" Type="http://schemas.openxmlformats.org/officeDocument/2006/relationships/hyperlink" Target="http://womensbrainproject.com/" TargetMode="External"/><Relationship Id="rId3937" Type="http://schemas.openxmlformats.org/officeDocument/2006/relationships/hyperlink" Target="http://www.3kingspa.com" TargetMode="External"/><Relationship Id="rId2606" Type="http://schemas.openxmlformats.org/officeDocument/2006/relationships/hyperlink" Target="https://pbs.twimg.com/media/EOkVIzZW4Ag5zhf.jpg" TargetMode="External"/><Relationship Id="rId3936" Type="http://schemas.openxmlformats.org/officeDocument/2006/relationships/hyperlink" Target="https://www.businessinsider.com/psychotherapist-10-ways-to-stop-giving-people-power-over-you-2020-1" TargetMode="External"/><Relationship Id="rId808" Type="http://schemas.openxmlformats.org/officeDocument/2006/relationships/hyperlink" Target="https://twitter.com/ttf_ella/status/1218610524864307201" TargetMode="External"/><Relationship Id="rId2607" Type="http://schemas.openxmlformats.org/officeDocument/2006/relationships/hyperlink" Target="http://twitch.tv/SirPenguins" TargetMode="External"/><Relationship Id="rId3939" Type="http://schemas.openxmlformats.org/officeDocument/2006/relationships/hyperlink" Target="http://www.consultinghealth.com/" TargetMode="External"/><Relationship Id="rId807" Type="http://schemas.openxmlformats.org/officeDocument/2006/relationships/hyperlink" Target="http://heatherlostnowfound.com" TargetMode="External"/><Relationship Id="rId2608" Type="http://schemas.openxmlformats.org/officeDocument/2006/relationships/hyperlink" Target="https://neesasunar.net/blog/f/i-dont-take-photos-and-its-bad" TargetMode="External"/><Relationship Id="rId3938" Type="http://schemas.openxmlformats.org/officeDocument/2006/relationships/hyperlink" Target="http://psy.pub/1jnqtSc" TargetMode="External"/><Relationship Id="rId806" Type="http://schemas.openxmlformats.org/officeDocument/2006/relationships/hyperlink" Target="https://heatherlostnowfound.com/2020/01/18/january-blues/" TargetMode="External"/><Relationship Id="rId2609" Type="http://schemas.openxmlformats.org/officeDocument/2006/relationships/hyperlink" Target="http://neesasunar.net" TargetMode="External"/><Relationship Id="rId805" Type="http://schemas.openxmlformats.org/officeDocument/2006/relationships/hyperlink" Target="http://pic.twitter.com/15I66BX3FO" TargetMode="External"/><Relationship Id="rId809" Type="http://schemas.openxmlformats.org/officeDocument/2006/relationships/hyperlink" Target="https://www.blogger.com/profile/12082146445356829527" TargetMode="External"/><Relationship Id="rId800" Type="http://schemas.openxmlformats.org/officeDocument/2006/relationships/hyperlink" Target="https://www.instagram.com/p/B7edIwLBRPp/?igshid=1qbvi720uwvwf" TargetMode="External"/><Relationship Id="rId804" Type="http://schemas.openxmlformats.org/officeDocument/2006/relationships/hyperlink" Target="http://www.thestar.com" TargetMode="External"/><Relationship Id="rId803" Type="http://schemas.openxmlformats.org/officeDocument/2006/relationships/hyperlink" Target="http://goo.gl/rQ59TT" TargetMode="External"/><Relationship Id="rId802" Type="http://schemas.openxmlformats.org/officeDocument/2006/relationships/hyperlink" Target="http://psy.pub/1jnqtS6" TargetMode="External"/><Relationship Id="rId801" Type="http://schemas.openxmlformats.org/officeDocument/2006/relationships/hyperlink" Target="http://hisimageokc.wordpress.com" TargetMode="External"/><Relationship Id="rId3920" Type="http://schemas.openxmlformats.org/officeDocument/2006/relationships/hyperlink" Target="https://pbs.twimg.com/media/EOiQVMmWAAAEHLj.jpg" TargetMode="External"/><Relationship Id="rId3922" Type="http://schemas.openxmlformats.org/officeDocument/2006/relationships/hyperlink" Target="https://anchor.fm/lorenzo-scott-iii/episodes/Ep--24-Mamba-Mentality-ea8lri" TargetMode="External"/><Relationship Id="rId3921" Type="http://schemas.openxmlformats.org/officeDocument/2006/relationships/hyperlink" Target="https://www.inc.com/andrew-thomas/how-to-create-a-company-culture-that-supports-mental-health-and-thrives-as-a-result.html" TargetMode="External"/><Relationship Id="rId3924" Type="http://schemas.openxmlformats.org/officeDocument/2006/relationships/hyperlink" Target="https://vm.tiktok.com/48Ug2L/" TargetMode="External"/><Relationship Id="rId3923" Type="http://schemas.openxmlformats.org/officeDocument/2006/relationships/hyperlink" Target="https://play.google.com/music/m/Irswsi6wzsvq4sh5gztuviabpwi?t=Medicine_Ball" TargetMode="External"/><Relationship Id="rId3926" Type="http://schemas.openxmlformats.org/officeDocument/2006/relationships/hyperlink" Target="http://linkedin.com/in/katie-maniaci-45999014" TargetMode="External"/><Relationship Id="rId3925" Type="http://schemas.openxmlformats.org/officeDocument/2006/relationships/hyperlink" Target="http://totalrecoveryarizona.com/" TargetMode="External"/><Relationship Id="rId3928" Type="http://schemas.openxmlformats.org/officeDocument/2006/relationships/hyperlink" Target="http://simplyalvin.wordpress.com" TargetMode="External"/><Relationship Id="rId3927" Type="http://schemas.openxmlformats.org/officeDocument/2006/relationships/hyperlink" Target="http://pic.twitter.com/SC8skOn0ks" TargetMode="External"/><Relationship Id="rId3929" Type="http://schemas.openxmlformats.org/officeDocument/2006/relationships/hyperlink" Target="https://pbs.twimg.com/media/EOiNyBYUUAAfz_o.jpg" TargetMode="External"/><Relationship Id="rId1334" Type="http://schemas.openxmlformats.org/officeDocument/2006/relationships/hyperlink" Target="http://www.ktl-ltd.co.uk" TargetMode="External"/><Relationship Id="rId2665" Type="http://schemas.openxmlformats.org/officeDocument/2006/relationships/hyperlink" Target="http://www.cybersmarties.com" TargetMode="External"/><Relationship Id="rId3997" Type="http://schemas.openxmlformats.org/officeDocument/2006/relationships/hyperlink" Target="https://www.youtube.com/channel/UCwMspONz0YVvWJLO8C8XzxA?sub_confirmation=1" TargetMode="External"/><Relationship Id="rId1335" Type="http://schemas.openxmlformats.org/officeDocument/2006/relationships/hyperlink" Target="http://mylifemystory862.wordpress.com" TargetMode="External"/><Relationship Id="rId2666" Type="http://schemas.openxmlformats.org/officeDocument/2006/relationships/hyperlink" Target="http://dennissantaniello.com" TargetMode="External"/><Relationship Id="rId3996" Type="http://schemas.openxmlformats.org/officeDocument/2006/relationships/hyperlink" Target="https://pbs.twimg.com/media/EOiDK4YWkAAHNS7.jpg" TargetMode="External"/><Relationship Id="rId1336" Type="http://schemas.openxmlformats.org/officeDocument/2006/relationships/hyperlink" Target="https://buff.ly/2TlZEHb" TargetMode="External"/><Relationship Id="rId2667" Type="http://schemas.openxmlformats.org/officeDocument/2006/relationships/hyperlink" Target="http://bit.ly/ZSAinSt" TargetMode="External"/><Relationship Id="rId3999" Type="http://schemas.openxmlformats.org/officeDocument/2006/relationships/hyperlink" Target="https://pbs.twimg.com/media/EOiC_vqXkAE9ugt.jpg" TargetMode="External"/><Relationship Id="rId1337" Type="http://schemas.openxmlformats.org/officeDocument/2006/relationships/hyperlink" Target="https://pbs.twimg.com/media/EOlejJ_U8AAkjOs.jpg" TargetMode="External"/><Relationship Id="rId2668" Type="http://schemas.openxmlformats.org/officeDocument/2006/relationships/hyperlink" Target="https://pbs.twimg.com/media/EOkRxIPX4AAwAbq.jpg" TargetMode="External"/><Relationship Id="rId3998" Type="http://schemas.openxmlformats.org/officeDocument/2006/relationships/hyperlink" Target="https://youtu.be/-3BkDESKFSA" TargetMode="External"/><Relationship Id="rId1338" Type="http://schemas.openxmlformats.org/officeDocument/2006/relationships/hyperlink" Target="https://henpicked.net/" TargetMode="External"/><Relationship Id="rId2669" Type="http://schemas.openxmlformats.org/officeDocument/2006/relationships/hyperlink" Target="http://www.lincolnshirewestccg.nhs.uk" TargetMode="External"/><Relationship Id="rId1339" Type="http://schemas.openxmlformats.org/officeDocument/2006/relationships/hyperlink" Target="https://www.psychologytoday.com/us/blog/reaching-across-the-divide/202001/make-daily-meditation-your-new-years-resolution" TargetMode="External"/><Relationship Id="rId745" Type="http://schemas.openxmlformats.org/officeDocument/2006/relationships/hyperlink" Target="https://www.facebook.com/onemanandhisnikon/" TargetMode="External"/><Relationship Id="rId744" Type="http://schemas.openxmlformats.org/officeDocument/2006/relationships/hyperlink" Target="https://pbs.twimg.com/media/EOA7OOXWsAAdtlU.jpg" TargetMode="External"/><Relationship Id="rId743" Type="http://schemas.openxmlformats.org/officeDocument/2006/relationships/hyperlink" Target="https://www.youtube.com/channel/UCg-ZjZxbrEhSR3Y2PvGVftQ" TargetMode="External"/><Relationship Id="rId742" Type="http://schemas.openxmlformats.org/officeDocument/2006/relationships/hyperlink" Target="http://drmetzner.com/" TargetMode="External"/><Relationship Id="rId749" Type="http://schemas.openxmlformats.org/officeDocument/2006/relationships/hyperlink" Target="http://cpix.me/a/90110769" TargetMode="External"/><Relationship Id="rId748" Type="http://schemas.openxmlformats.org/officeDocument/2006/relationships/hyperlink" Target="https://pbs.twimg.com/media/EOmBhIbUwAATq89.jpg" TargetMode="External"/><Relationship Id="rId747" Type="http://schemas.openxmlformats.org/officeDocument/2006/relationships/hyperlink" Target="http://cpix.me/a/90110770" TargetMode="External"/><Relationship Id="rId746" Type="http://schemas.openxmlformats.org/officeDocument/2006/relationships/hyperlink" Target="https://www.instagram.com/p/B7eer7ZH34JcJ9NDUiN0fiAncOvH3P2Awwjp1E0/?igshid=1dczefmwd0nlb" TargetMode="External"/><Relationship Id="rId3991" Type="http://schemas.openxmlformats.org/officeDocument/2006/relationships/hyperlink" Target="http://laceylondon.co.uk" TargetMode="External"/><Relationship Id="rId2660" Type="http://schemas.openxmlformats.org/officeDocument/2006/relationships/hyperlink" Target="http://tophergen.com/2020/01/18/not-on-the-priority-list-part-2-embarrassing-ocd-moments/" TargetMode="External"/><Relationship Id="rId3990" Type="http://schemas.openxmlformats.org/officeDocument/2006/relationships/hyperlink" Target="https://read.amazon.com/kp/embed?asin=B01N7PVJPR&amp;preview=newtab&amp;linkCode=kpe&amp;ref_=cm_sw_r_kb_dp_38eTDbDW7CYM6" TargetMode="External"/><Relationship Id="rId741" Type="http://schemas.openxmlformats.org/officeDocument/2006/relationships/hyperlink" Target="http://psy.pub/1KNGyB2" TargetMode="External"/><Relationship Id="rId1330" Type="http://schemas.openxmlformats.org/officeDocument/2006/relationships/hyperlink" Target="https://pbs.twimg.com/media/EOleqgYU4AoVO4v.jpg" TargetMode="External"/><Relationship Id="rId2661" Type="http://schemas.openxmlformats.org/officeDocument/2006/relationships/hyperlink" Target="http://tophergen.com" TargetMode="External"/><Relationship Id="rId3993" Type="http://schemas.openxmlformats.org/officeDocument/2006/relationships/hyperlink" Target="https://www.youtube.com/channel/UC_6UEEIJ7V37Xu0xrrULLkw" TargetMode="External"/><Relationship Id="rId740" Type="http://schemas.openxmlformats.org/officeDocument/2006/relationships/hyperlink" Target="https://pbs.twimg.com/media/EOmB947W4Ag33t3.jpg" TargetMode="External"/><Relationship Id="rId1331" Type="http://schemas.openxmlformats.org/officeDocument/2006/relationships/hyperlink" Target="http://www.karenrsw.com" TargetMode="External"/><Relationship Id="rId2662" Type="http://schemas.openxmlformats.org/officeDocument/2006/relationships/hyperlink" Target="https://theunemployedalcoholic.com/encouragement/2020/01/18" TargetMode="External"/><Relationship Id="rId3992" Type="http://schemas.openxmlformats.org/officeDocument/2006/relationships/hyperlink" Target="https://pbs.twimg.com/media/EOiEOFGXsAACq9d.jpg" TargetMode="External"/><Relationship Id="rId1332" Type="http://schemas.openxmlformats.org/officeDocument/2006/relationships/hyperlink" Target="http://tiny.cc/7wbk8y" TargetMode="External"/><Relationship Id="rId2663" Type="http://schemas.openxmlformats.org/officeDocument/2006/relationships/hyperlink" Target="http://theunemployedalcoholic.com" TargetMode="External"/><Relationship Id="rId3995" Type="http://schemas.openxmlformats.org/officeDocument/2006/relationships/hyperlink" Target="http://durham-autism.org" TargetMode="External"/><Relationship Id="rId1333" Type="http://schemas.openxmlformats.org/officeDocument/2006/relationships/hyperlink" Target="https://pbs.twimg.com/media/EOlepLTVAAAZ_W_.jpg" TargetMode="External"/><Relationship Id="rId2664" Type="http://schemas.openxmlformats.org/officeDocument/2006/relationships/hyperlink" Target="https://pbs.twimg.com/media/EOkSTaTX4AEjZ8s.jpg" TargetMode="External"/><Relationship Id="rId3994" Type="http://schemas.openxmlformats.org/officeDocument/2006/relationships/hyperlink" Target="http://www.durham-autism.org/what-is-autism/" TargetMode="External"/><Relationship Id="rId1323" Type="http://schemas.openxmlformats.org/officeDocument/2006/relationships/hyperlink" Target="http://raderward.com" TargetMode="External"/><Relationship Id="rId2654" Type="http://schemas.openxmlformats.org/officeDocument/2006/relationships/hyperlink" Target="http://www.collingwoodsearch.co.uk/about-us/" TargetMode="External"/><Relationship Id="rId3986" Type="http://schemas.openxmlformats.org/officeDocument/2006/relationships/hyperlink" Target="https://pbs.twimg.com/media/EOiE04YWoAAWCSk.jpg" TargetMode="External"/><Relationship Id="rId1324" Type="http://schemas.openxmlformats.org/officeDocument/2006/relationships/hyperlink" Target="https://www.theglobeandmail.com/canada/article-half-of-canadians-have-too-few-local-psychiatrists-or-none-at-all/" TargetMode="External"/><Relationship Id="rId2655" Type="http://schemas.openxmlformats.org/officeDocument/2006/relationships/hyperlink" Target="https://doi.org/10.1093/icesjms/fsz247" TargetMode="External"/><Relationship Id="rId3985" Type="http://schemas.openxmlformats.org/officeDocument/2006/relationships/hyperlink" Target="http://pinchmedough.com" TargetMode="External"/><Relationship Id="rId1325" Type="http://schemas.openxmlformats.org/officeDocument/2006/relationships/hyperlink" Target="https://pbs.twimg.com/media/DZsd3boXkAEHiCB.jpg" TargetMode="External"/><Relationship Id="rId2656" Type="http://schemas.openxmlformats.org/officeDocument/2006/relationships/hyperlink" Target="https://scholar.google.ca/citations?user=CFAgvSQAAAAJ&amp;hl=en" TargetMode="External"/><Relationship Id="rId3988" Type="http://schemas.openxmlformats.org/officeDocument/2006/relationships/hyperlink" Target="https://facebook.com/unlockyourmindcounselingservice/photos/a.240320360188085/464763321077120/" TargetMode="External"/><Relationship Id="rId1326" Type="http://schemas.openxmlformats.org/officeDocument/2006/relationships/hyperlink" Target="http://www.leadcoalition.org" TargetMode="External"/><Relationship Id="rId2657" Type="http://schemas.openxmlformats.org/officeDocument/2006/relationships/hyperlink" Target="https://pbs.twimg.com/media/EOkSkcbXsAEeMkv.jpg" TargetMode="External"/><Relationship Id="rId3987" Type="http://schemas.openxmlformats.org/officeDocument/2006/relationships/hyperlink" Target="http://pinchmedough.com/" TargetMode="External"/><Relationship Id="rId1327" Type="http://schemas.openxmlformats.org/officeDocument/2006/relationships/hyperlink" Target="http://cpix.me/a/90122842" TargetMode="External"/><Relationship Id="rId2658" Type="http://schemas.openxmlformats.org/officeDocument/2006/relationships/hyperlink" Target="https://www.podbean.com/eu/pb-jkvb2-d002f9" TargetMode="External"/><Relationship Id="rId1328" Type="http://schemas.openxmlformats.org/officeDocument/2006/relationships/hyperlink" Target="https://pbs.twimg.com/media/EOle_AXUcAABB4Q.jpg" TargetMode="External"/><Relationship Id="rId2659" Type="http://schemas.openxmlformats.org/officeDocument/2006/relationships/hyperlink" Target="https://worksmartlivesmart.com" TargetMode="External"/><Relationship Id="rId3989" Type="http://schemas.openxmlformats.org/officeDocument/2006/relationships/hyperlink" Target="https://pbs.twimg.com/media/EOiEzmNUYAAi-2X.jpg" TargetMode="External"/><Relationship Id="rId1329" Type="http://schemas.openxmlformats.org/officeDocument/2006/relationships/hyperlink" Target="https://buff.ly/36zlJ93" TargetMode="External"/><Relationship Id="rId739" Type="http://schemas.openxmlformats.org/officeDocument/2006/relationships/hyperlink" Target="http://teifidancer-teifidancer.blogspot.co.uk" TargetMode="External"/><Relationship Id="rId734" Type="http://schemas.openxmlformats.org/officeDocument/2006/relationships/hyperlink" Target="http://www.jon-salmon.com" TargetMode="External"/><Relationship Id="rId733" Type="http://schemas.openxmlformats.org/officeDocument/2006/relationships/hyperlink" Target="https://pbs.twimg.com/media/EOmCm0yU8AACTZK.jpg" TargetMode="External"/><Relationship Id="rId732" Type="http://schemas.openxmlformats.org/officeDocument/2006/relationships/hyperlink" Target="http://www.djdavelive.com" TargetMode="External"/><Relationship Id="rId731" Type="http://schemas.openxmlformats.org/officeDocument/2006/relationships/hyperlink" Target="https://www.torontohousemusicfestival.com/vip" TargetMode="External"/><Relationship Id="rId738" Type="http://schemas.openxmlformats.org/officeDocument/2006/relationships/hyperlink" Target="https://my.uplift.ie/petitions/better-mental-health-services-1?bucket=&amp;source=twitter-share-button&amp;utm_campaign=&amp;utm_source=twitter&amp;share=5601e263-651b-4b82-bf25-c8e30a194cfa" TargetMode="External"/><Relationship Id="rId737" Type="http://schemas.openxmlformats.org/officeDocument/2006/relationships/hyperlink" Target="https://www.washingtonpost.com/politics/2019/live-updates/general-election/fact-checking-the-first-democratic-debate/how-many-people-are-in-prison-on-marijuana-charges/?arc404=true" TargetMode="External"/><Relationship Id="rId736" Type="http://schemas.openxmlformats.org/officeDocument/2006/relationships/hyperlink" Target="https://pbs.twimg.com/media/EOmCbcVWoAon7jV.jpg" TargetMode="External"/><Relationship Id="rId735" Type="http://schemas.openxmlformats.org/officeDocument/2006/relationships/hyperlink" Target="http://cpix.me/a/90241498" TargetMode="External"/><Relationship Id="rId3980" Type="http://schemas.openxmlformats.org/officeDocument/2006/relationships/hyperlink" Target="https://linktr.ee/dshorbauthor" TargetMode="External"/><Relationship Id="rId730" Type="http://schemas.openxmlformats.org/officeDocument/2006/relationships/hyperlink" Target="http://housemusicradio.ca" TargetMode="External"/><Relationship Id="rId2650" Type="http://schemas.openxmlformats.org/officeDocument/2006/relationships/hyperlink" Target="http://www.regishealthcare.co.uk" TargetMode="External"/><Relationship Id="rId3982" Type="http://schemas.openxmlformats.org/officeDocument/2006/relationships/hyperlink" Target="http://www.wjso.com" TargetMode="External"/><Relationship Id="rId1320" Type="http://schemas.openxmlformats.org/officeDocument/2006/relationships/hyperlink" Target="https://link.medium.com/JQJZIFjRs2" TargetMode="External"/><Relationship Id="rId2651" Type="http://schemas.openxmlformats.org/officeDocument/2006/relationships/hyperlink" Target="https://hubs.ly/H0mDfDn0" TargetMode="External"/><Relationship Id="rId3981" Type="http://schemas.openxmlformats.org/officeDocument/2006/relationships/hyperlink" Target="https://pbs.twimg.com/media/EOiFbc7VUAEaxna.jpg" TargetMode="External"/><Relationship Id="rId1321" Type="http://schemas.openxmlformats.org/officeDocument/2006/relationships/hyperlink" Target="https://medium.com/@djemal.ua" TargetMode="External"/><Relationship Id="rId2652" Type="http://schemas.openxmlformats.org/officeDocument/2006/relationships/hyperlink" Target="http://www.collingwoodsearch.co.uk" TargetMode="External"/><Relationship Id="rId3984" Type="http://schemas.openxmlformats.org/officeDocument/2006/relationships/hyperlink" Target="https://pbs.twimg.com/media/EOiEk_FXUAAL9q6.jpg" TargetMode="External"/><Relationship Id="rId1322" Type="http://schemas.openxmlformats.org/officeDocument/2006/relationships/hyperlink" Target="https://pbs.twimg.com/media/EOlfj12XsAMwosL.jpg" TargetMode="External"/><Relationship Id="rId2653" Type="http://schemas.openxmlformats.org/officeDocument/2006/relationships/hyperlink" Target="https://hubs.ly/H0mDcz10" TargetMode="External"/><Relationship Id="rId3983" Type="http://schemas.openxmlformats.org/officeDocument/2006/relationships/hyperlink" Target="https://twitter.com/MrBedford2/status/1218369474698579969" TargetMode="External"/><Relationship Id="rId1356" Type="http://schemas.openxmlformats.org/officeDocument/2006/relationships/hyperlink" Target="http://www.adhdsnap.com" TargetMode="External"/><Relationship Id="rId2687" Type="http://schemas.openxmlformats.org/officeDocument/2006/relationships/hyperlink" Target="http://www.toddschmenk.com" TargetMode="External"/><Relationship Id="rId1357" Type="http://schemas.openxmlformats.org/officeDocument/2006/relationships/hyperlink" Target="https://www.bbc.co.uk/news/uk-wales-51156066" TargetMode="External"/><Relationship Id="rId2688" Type="http://schemas.openxmlformats.org/officeDocument/2006/relationships/hyperlink" Target="https://pbs.twimg.com/media/EOkPXeUVUAAs4vZ.jpg" TargetMode="External"/><Relationship Id="rId1358" Type="http://schemas.openxmlformats.org/officeDocument/2006/relationships/hyperlink" Target="https://goatysnews.wordpress.com" TargetMode="External"/><Relationship Id="rId2689" Type="http://schemas.openxmlformats.org/officeDocument/2006/relationships/hyperlink" Target="http://www.matrrix.in" TargetMode="External"/><Relationship Id="rId1359" Type="http://schemas.openxmlformats.org/officeDocument/2006/relationships/hyperlink" Target="https://www.bbc.co.uk/news/av/uk-england-hampshire-51148311/southampton-airport-use-therapy-dogs-for-nervous-flyers" TargetMode="External"/><Relationship Id="rId767" Type="http://schemas.openxmlformats.org/officeDocument/2006/relationships/hyperlink" Target="https://youtu.be/PtzCjgvq13c" TargetMode="External"/><Relationship Id="rId766" Type="http://schemas.openxmlformats.org/officeDocument/2006/relationships/hyperlink" Target="https://twitter.com/benzosarebad/status/1218621942632239105" TargetMode="External"/><Relationship Id="rId765" Type="http://schemas.openxmlformats.org/officeDocument/2006/relationships/hyperlink" Target="http://www.healthyplace.com" TargetMode="External"/><Relationship Id="rId764" Type="http://schemas.openxmlformats.org/officeDocument/2006/relationships/hyperlink" Target="https://pbs.twimg.com/media/EOmAxzDUwAAG-jk.jpg" TargetMode="External"/><Relationship Id="rId769" Type="http://schemas.openxmlformats.org/officeDocument/2006/relationships/hyperlink" Target="http://jolliffe01.com/2020/01/18/rewrite-the-stars-emma-heatherington-5review-emmalou13-harperfiction-fictionpubteam-familydrama-romance-mentalhealth-relationships-life-serendipity-bookreview/" TargetMode="External"/><Relationship Id="rId768" Type="http://schemas.openxmlformats.org/officeDocument/2006/relationships/hyperlink" Target="http://www.sunriseacademytx.com" TargetMode="External"/><Relationship Id="rId2680" Type="http://schemas.openxmlformats.org/officeDocument/2006/relationships/hyperlink" Target="https://medium.com/@djemal.ua" TargetMode="External"/><Relationship Id="rId1350" Type="http://schemas.openxmlformats.org/officeDocument/2006/relationships/hyperlink" Target="https://pbs.twimg.com/media/EOlec1KWAAA_OMp.jpg" TargetMode="External"/><Relationship Id="rId2681" Type="http://schemas.openxmlformats.org/officeDocument/2006/relationships/hyperlink" Target="https://pbs.twimg.com/media/EOgmCwCXkAAjIBj.jpg" TargetMode="External"/><Relationship Id="rId1351" Type="http://schemas.openxmlformats.org/officeDocument/2006/relationships/hyperlink" Target="http://www.shoppingforagift.com" TargetMode="External"/><Relationship Id="rId2682" Type="http://schemas.openxmlformats.org/officeDocument/2006/relationships/hyperlink" Target="http://dennissantaniello.com" TargetMode="External"/><Relationship Id="rId763" Type="http://schemas.openxmlformats.org/officeDocument/2006/relationships/hyperlink" Target="https://bit.ly/2Tu99UW" TargetMode="External"/><Relationship Id="rId1352" Type="http://schemas.openxmlformats.org/officeDocument/2006/relationships/hyperlink" Target="https://bbc.in/2RujGN7" TargetMode="External"/><Relationship Id="rId2683" Type="http://schemas.openxmlformats.org/officeDocument/2006/relationships/hyperlink" Target="http://www.sunriseacademytx.com" TargetMode="External"/><Relationship Id="rId762" Type="http://schemas.openxmlformats.org/officeDocument/2006/relationships/hyperlink" Target="http://madinamerica.com" TargetMode="External"/><Relationship Id="rId1353" Type="http://schemas.openxmlformats.org/officeDocument/2006/relationships/hyperlink" Target="http://linkedin.com/in/rickrossprofile" TargetMode="External"/><Relationship Id="rId2684" Type="http://schemas.openxmlformats.org/officeDocument/2006/relationships/hyperlink" Target="https://pbs.twimg.com/media/EOkPmDaWAAEnw1h.jpg" TargetMode="External"/><Relationship Id="rId761" Type="http://schemas.openxmlformats.org/officeDocument/2006/relationships/hyperlink" Target="https://www.madinamerica.com/2020/01/amanda-burrill-self-advocacy-self-belief-escaping-psychiatric-drugs/" TargetMode="External"/><Relationship Id="rId1354" Type="http://schemas.openxmlformats.org/officeDocument/2006/relationships/hyperlink" Target="http://www.adhdsnap.com" TargetMode="External"/><Relationship Id="rId2685" Type="http://schemas.openxmlformats.org/officeDocument/2006/relationships/hyperlink" Target="https://walxcoastandcountry.co.uk" TargetMode="External"/><Relationship Id="rId760" Type="http://schemas.openxmlformats.org/officeDocument/2006/relationships/hyperlink" Target="http://borrowbox.com" TargetMode="External"/><Relationship Id="rId1355" Type="http://schemas.openxmlformats.org/officeDocument/2006/relationships/hyperlink" Target="https://pbs.twimg.com/media/EOleSwYWsAEk40V.jpg" TargetMode="External"/><Relationship Id="rId2686" Type="http://schemas.openxmlformats.org/officeDocument/2006/relationships/hyperlink" Target="https://pbs.twimg.com/media/EOkPgm-XkAA99CG.jpg" TargetMode="External"/><Relationship Id="rId1345" Type="http://schemas.openxmlformats.org/officeDocument/2006/relationships/hyperlink" Target="http://www.uk.mercer.com" TargetMode="External"/><Relationship Id="rId2676" Type="http://schemas.openxmlformats.org/officeDocument/2006/relationships/hyperlink" Target="http://www.mindinbradford.org.uk" TargetMode="External"/><Relationship Id="rId1346" Type="http://schemas.openxmlformats.org/officeDocument/2006/relationships/hyperlink" Target="https://bit.ly/2QHCAky" TargetMode="External"/><Relationship Id="rId2677" Type="http://schemas.openxmlformats.org/officeDocument/2006/relationships/hyperlink" Target="http://ow.ly/Kgtk30q9vfb" TargetMode="External"/><Relationship Id="rId1347" Type="http://schemas.openxmlformats.org/officeDocument/2006/relationships/hyperlink" Target="https://pbs.twimg.com/media/EOlefCzWoAQf4LW.jpg" TargetMode="External"/><Relationship Id="rId2678" Type="http://schemas.openxmlformats.org/officeDocument/2006/relationships/hyperlink" Target="http://therealtruthabouthealth.com" TargetMode="External"/><Relationship Id="rId1348" Type="http://schemas.openxmlformats.org/officeDocument/2006/relationships/hyperlink" Target="http://www.healthyplace.com" TargetMode="External"/><Relationship Id="rId2679" Type="http://schemas.openxmlformats.org/officeDocument/2006/relationships/hyperlink" Target="https://link.medium.com/llGG5hBoi3" TargetMode="External"/><Relationship Id="rId1349" Type="http://schemas.openxmlformats.org/officeDocument/2006/relationships/hyperlink" Target="http://bit.ly/2TAYYhp" TargetMode="External"/><Relationship Id="rId756" Type="http://schemas.openxmlformats.org/officeDocument/2006/relationships/hyperlink" Target="http://www.sunriseacademytx.com" TargetMode="External"/><Relationship Id="rId755" Type="http://schemas.openxmlformats.org/officeDocument/2006/relationships/hyperlink" Target="https://youtu.be/XsPcyhsV1Ng" TargetMode="External"/><Relationship Id="rId754" Type="http://schemas.openxmlformats.org/officeDocument/2006/relationships/hyperlink" Target="http://www.youtube.com/asminor" TargetMode="External"/><Relationship Id="rId753" Type="http://schemas.openxmlformats.org/officeDocument/2006/relationships/hyperlink" Target="https://www.counsellingfordancers.com" TargetMode="External"/><Relationship Id="rId759" Type="http://schemas.openxmlformats.org/officeDocument/2006/relationships/hyperlink" Target="https://pbs.twimg.com/media/EOmAyz9UYAAgX6h.jpg" TargetMode="External"/><Relationship Id="rId758" Type="http://schemas.openxmlformats.org/officeDocument/2006/relationships/hyperlink" Target="https://pbs.twimg.com/media/EOmA7XDU4AANpLx.jpg" TargetMode="External"/><Relationship Id="rId757" Type="http://schemas.openxmlformats.org/officeDocument/2006/relationships/hyperlink" Target="http://www.sharonblady.ca" TargetMode="External"/><Relationship Id="rId2670" Type="http://schemas.openxmlformats.org/officeDocument/2006/relationships/hyperlink" Target="https://t.co/W5jz04uUc9" TargetMode="External"/><Relationship Id="rId1340" Type="http://schemas.openxmlformats.org/officeDocument/2006/relationships/hyperlink" Target="http://www.imageryandmusic.com" TargetMode="External"/><Relationship Id="rId2671" Type="http://schemas.openxmlformats.org/officeDocument/2006/relationships/hyperlink" Target="https://pbs.twimg.com/media/EOkRIA_XkAA-FTE.jpg" TargetMode="External"/><Relationship Id="rId752" Type="http://schemas.openxmlformats.org/officeDocument/2006/relationships/hyperlink" Target="https://www.dancemagazine.com/bullying-teachers-2581811648.html" TargetMode="External"/><Relationship Id="rId1341" Type="http://schemas.openxmlformats.org/officeDocument/2006/relationships/hyperlink" Target="https://pbs.twimg.com/media/EOlehY6UYAAmq6C.jpg" TargetMode="External"/><Relationship Id="rId2672" Type="http://schemas.openxmlformats.org/officeDocument/2006/relationships/hyperlink" Target="https://www.researchgate.net/profile/Maureen_Busby" TargetMode="External"/><Relationship Id="rId751" Type="http://schemas.openxmlformats.org/officeDocument/2006/relationships/hyperlink" Target="http://www.donandbubba.com" TargetMode="External"/><Relationship Id="rId1342" Type="http://schemas.openxmlformats.org/officeDocument/2006/relationships/hyperlink" Target="http://www.metimetherapy.org" TargetMode="External"/><Relationship Id="rId2673" Type="http://schemas.openxmlformats.org/officeDocument/2006/relationships/hyperlink" Target="https://lnkd.in/gnrz4zu" TargetMode="External"/><Relationship Id="rId750" Type="http://schemas.openxmlformats.org/officeDocument/2006/relationships/hyperlink" Target="https://pbs.twimg.com/media/EOmBg24WAAElLki.jpg" TargetMode="External"/><Relationship Id="rId1343" Type="http://schemas.openxmlformats.org/officeDocument/2006/relationships/hyperlink" Target="http://bit.ly/378HFYO" TargetMode="External"/><Relationship Id="rId2674" Type="http://schemas.openxmlformats.org/officeDocument/2006/relationships/hyperlink" Target="https://www.time-to-change.org.uk/blog/talking-about-mental-health-not-weakness-%E2%80%94-we-need-to-break-stigma" TargetMode="External"/><Relationship Id="rId1344" Type="http://schemas.openxmlformats.org/officeDocument/2006/relationships/hyperlink" Target="https://pbs.twimg.com/media/EOlefRfUEAA1iIj.jpg" TargetMode="External"/><Relationship Id="rId2675" Type="http://schemas.openxmlformats.org/officeDocument/2006/relationships/hyperlink" Target="https://pbs.twimg.com/media/EOkQoMvWoAIITif.png" TargetMode="External"/><Relationship Id="rId2621" Type="http://schemas.openxmlformats.org/officeDocument/2006/relationships/hyperlink" Target="http://reverbnation.com/rapperllove/song/29982666-l-love-baby-girl-mental-health" TargetMode="External"/><Relationship Id="rId3953" Type="http://schemas.openxmlformats.org/officeDocument/2006/relationships/hyperlink" Target="http://www.lighthousearabia.com" TargetMode="External"/><Relationship Id="rId2622" Type="http://schemas.openxmlformats.org/officeDocument/2006/relationships/hyperlink" Target="https://store.cdbaby.com/cd/llove8" TargetMode="External"/><Relationship Id="rId3952" Type="http://schemas.openxmlformats.org/officeDocument/2006/relationships/hyperlink" Target="https://pbs.twimg.com/media/EOiKfPcWAAIX47v.png" TargetMode="External"/><Relationship Id="rId2623" Type="http://schemas.openxmlformats.org/officeDocument/2006/relationships/hyperlink" Target="https://twitter.com/hashtagme_world/status/1218479390713053184" TargetMode="External"/><Relationship Id="rId3955" Type="http://schemas.openxmlformats.org/officeDocument/2006/relationships/hyperlink" Target="http://totalrecoveryarizona.com/" TargetMode="External"/><Relationship Id="rId2624" Type="http://schemas.openxmlformats.org/officeDocument/2006/relationships/hyperlink" Target="https://pbs.twimg.com/media/EOjoi4QXkAAQMCp.jpg" TargetMode="External"/><Relationship Id="rId3954" Type="http://schemas.openxmlformats.org/officeDocument/2006/relationships/hyperlink" Target="http://www.sunriseacademytx.com" TargetMode="External"/><Relationship Id="rId2625" Type="http://schemas.openxmlformats.org/officeDocument/2006/relationships/hyperlink" Target="https://www.reddit.com/r/cogsci/comments/eqbdlt/study_shows_how_inhibiting_norepinephrine/" TargetMode="External"/><Relationship Id="rId3957" Type="http://schemas.openxmlformats.org/officeDocument/2006/relationships/hyperlink" Target="https://app.wysa.io/install" TargetMode="External"/><Relationship Id="rId2626" Type="http://schemas.openxmlformats.org/officeDocument/2006/relationships/hyperlink" Target="https://pbs.twimg.com/media/EOkUvjdU8AIgz6_.jpg" TargetMode="External"/><Relationship Id="rId3956" Type="http://schemas.openxmlformats.org/officeDocument/2006/relationships/hyperlink" Target="https://app.wysa.io/sleep" TargetMode="External"/><Relationship Id="rId2627" Type="http://schemas.openxmlformats.org/officeDocument/2006/relationships/hyperlink" Target="https://pbs.twimg.com/media/EOkUtqHWoAEqnEO.jpg" TargetMode="External"/><Relationship Id="rId3959" Type="http://schemas.openxmlformats.org/officeDocument/2006/relationships/hyperlink" Target="https://pbs.twimg.com/media/EOiJU9lX4AEzaZK.jpg" TargetMode="External"/><Relationship Id="rId2628" Type="http://schemas.openxmlformats.org/officeDocument/2006/relationships/hyperlink" Target="http://www.onebody-fitness.co.uk" TargetMode="External"/><Relationship Id="rId3958" Type="http://schemas.openxmlformats.org/officeDocument/2006/relationships/hyperlink" Target="https://zurl.co/ipKz" TargetMode="External"/><Relationship Id="rId709" Type="http://schemas.openxmlformats.org/officeDocument/2006/relationships/hyperlink" Target="https://soundcloud.com/matt-barker-29" TargetMode="External"/><Relationship Id="rId2629" Type="http://schemas.openxmlformats.org/officeDocument/2006/relationships/hyperlink" Target="http://ow.ly/X5rt50xYQsd" TargetMode="External"/><Relationship Id="rId708" Type="http://schemas.openxmlformats.org/officeDocument/2006/relationships/hyperlink" Target="https://soundcloud.com/matt-barker-29/4-lost" TargetMode="External"/><Relationship Id="rId707" Type="http://schemas.openxmlformats.org/officeDocument/2006/relationships/hyperlink" Target="http://hayesarttherapy.com" TargetMode="External"/><Relationship Id="rId706" Type="http://schemas.openxmlformats.org/officeDocument/2006/relationships/hyperlink" Target="https://www.8newsnow.com/news/local-news/how-two-young-men-broke-the-mold-by-using-art-therapy-to-help-autistic-children/" TargetMode="External"/><Relationship Id="rId701" Type="http://schemas.openxmlformats.org/officeDocument/2006/relationships/hyperlink" Target="https://pdmstrong.wordpress.com" TargetMode="External"/><Relationship Id="rId700" Type="http://schemas.openxmlformats.org/officeDocument/2006/relationships/hyperlink" Target="https://premium.chat/RobinMalone2468" TargetMode="External"/><Relationship Id="rId705" Type="http://schemas.openxmlformats.org/officeDocument/2006/relationships/hyperlink" Target="https://www.theguardian.com/commentisfree/2020/jan/17/grief-frustration-guilt-the-bushfires-show-the-far-reaching-mental-health-impacts-of-climate-change" TargetMode="External"/><Relationship Id="rId704" Type="http://schemas.openxmlformats.org/officeDocument/2006/relationships/hyperlink" Target="https://www.instagram.com/p/B7egeY9nIQ_/?igshid=1jvsbxrtjk3l1" TargetMode="External"/><Relationship Id="rId703" Type="http://schemas.openxmlformats.org/officeDocument/2006/relationships/hyperlink" Target="https://www.gofundme.com/f/help-mayumi-study-and-develop-workshop" TargetMode="External"/><Relationship Id="rId702" Type="http://schemas.openxmlformats.org/officeDocument/2006/relationships/hyperlink" Target="https://pdmstrong.wordpress.com" TargetMode="External"/><Relationship Id="rId3951" Type="http://schemas.openxmlformats.org/officeDocument/2006/relationships/hyperlink" Target="https://pbs.twimg.com/media/EOiKu9OXkAAbfJB.jpg" TargetMode="External"/><Relationship Id="rId2620" Type="http://schemas.openxmlformats.org/officeDocument/2006/relationships/hyperlink" Target="https://www.youtube.com/channel/UCguBgUmYBI2oaSPcMpZN7Wg/" TargetMode="External"/><Relationship Id="rId3950" Type="http://schemas.openxmlformats.org/officeDocument/2006/relationships/hyperlink" Target="https://twitch.tv/deckape" TargetMode="External"/><Relationship Id="rId2610" Type="http://schemas.openxmlformats.org/officeDocument/2006/relationships/hyperlink" Target="https://pbs.twimg.com/media/EOZWLTmWAAEhdyE.jpg" TargetMode="External"/><Relationship Id="rId3942" Type="http://schemas.openxmlformats.org/officeDocument/2006/relationships/hyperlink" Target="https://sparlinmentalhealth.com/how-to-approach-purposeful-parenting/" TargetMode="External"/><Relationship Id="rId2611" Type="http://schemas.openxmlformats.org/officeDocument/2006/relationships/hyperlink" Target="http://www.human-nature.org.uk" TargetMode="External"/><Relationship Id="rId3941" Type="http://schemas.openxmlformats.org/officeDocument/2006/relationships/hyperlink" Target="http://www.shirtoffyourbackaz.com" TargetMode="External"/><Relationship Id="rId2612" Type="http://schemas.openxmlformats.org/officeDocument/2006/relationships/hyperlink" Target="https://pbs.twimg.com/media/EOkVt7UWkAAT8K-.jpg" TargetMode="External"/><Relationship Id="rId3944" Type="http://schemas.openxmlformats.org/officeDocument/2006/relationships/hyperlink" Target="https://pbs.twimg.com/media/EOiMtDbW4AArLQN.jpg" TargetMode="External"/><Relationship Id="rId2613" Type="http://schemas.openxmlformats.org/officeDocument/2006/relationships/hyperlink" Target="http://www.headhearttherapy.com" TargetMode="External"/><Relationship Id="rId3943" Type="http://schemas.openxmlformats.org/officeDocument/2006/relationships/hyperlink" Target="https://sparlinmentalhealth.com/" TargetMode="External"/><Relationship Id="rId2614" Type="http://schemas.openxmlformats.org/officeDocument/2006/relationships/hyperlink" Target="https://pbs.twimg.com/media/EOkVQYGXsAEe706.jpg" TargetMode="External"/><Relationship Id="rId3946" Type="http://schemas.openxmlformats.org/officeDocument/2006/relationships/hyperlink" Target="https://pbs.twimg.com/media/EOiMUi4WoAEaOOp.jpg" TargetMode="External"/><Relationship Id="rId2615" Type="http://schemas.openxmlformats.org/officeDocument/2006/relationships/hyperlink" Target="http://www.compassionatecuppa.co.uk" TargetMode="External"/><Relationship Id="rId3945" Type="http://schemas.openxmlformats.org/officeDocument/2006/relationships/hyperlink" Target="http://chicklitgurrl.com" TargetMode="External"/><Relationship Id="rId2616" Type="http://schemas.openxmlformats.org/officeDocument/2006/relationships/hyperlink" Target="http://ow.ly/d7RT50xUOVQ" TargetMode="External"/><Relationship Id="rId3948" Type="http://schemas.openxmlformats.org/officeDocument/2006/relationships/hyperlink" Target="https://www.cnn.com/2020/01/03/health/mental-health-2020-wellness/index.html" TargetMode="External"/><Relationship Id="rId2617" Type="http://schemas.openxmlformats.org/officeDocument/2006/relationships/hyperlink" Target="https://pbs.twimg.com/media/EOkVNVwX4AANP-K.jpg" TargetMode="External"/><Relationship Id="rId3947" Type="http://schemas.openxmlformats.org/officeDocument/2006/relationships/hyperlink" Target="http://www.sunriseacademytx.com" TargetMode="External"/><Relationship Id="rId2618" Type="http://schemas.openxmlformats.org/officeDocument/2006/relationships/hyperlink" Target="http://www.colebrooksw.org/heads-count/" TargetMode="External"/><Relationship Id="rId2619" Type="http://schemas.openxmlformats.org/officeDocument/2006/relationships/hyperlink" Target="https://pbs.twimg.com/media/EOkVIzZW4Ag5zhf.jpg" TargetMode="External"/><Relationship Id="rId3949" Type="http://schemas.openxmlformats.org/officeDocument/2006/relationships/hyperlink" Target="https://www.t-mha.org/" TargetMode="External"/><Relationship Id="rId3940" Type="http://schemas.openxmlformats.org/officeDocument/2006/relationships/hyperlink" Target="https://www.dexteroustime.com/privacy-policy/" TargetMode="External"/><Relationship Id="rId1312" Type="http://schemas.openxmlformats.org/officeDocument/2006/relationships/hyperlink" Target="https://pbs.twimg.com/media/EOlgFveXUAEg160.jpg" TargetMode="External"/><Relationship Id="rId2643" Type="http://schemas.openxmlformats.org/officeDocument/2006/relationships/hyperlink" Target="https://aninconvenientrelative.blogspot.com/2020/01/are-you-narcissist.html" TargetMode="External"/><Relationship Id="rId3975" Type="http://schemas.openxmlformats.org/officeDocument/2006/relationships/hyperlink" Target="https://www.instagram.com/p/B7cgxKaHoLb/?igshid=6trvhf6x044f" TargetMode="External"/><Relationship Id="rId1313" Type="http://schemas.openxmlformats.org/officeDocument/2006/relationships/hyperlink" Target="http://www.ruislip-rc.co.uk" TargetMode="External"/><Relationship Id="rId2644" Type="http://schemas.openxmlformats.org/officeDocument/2006/relationships/hyperlink" Target="https://aninconvenientrelative.blogspot.com/" TargetMode="External"/><Relationship Id="rId3974" Type="http://schemas.openxmlformats.org/officeDocument/2006/relationships/hyperlink" Target="https://www.facebook.com/jawahar.singh2" TargetMode="External"/><Relationship Id="rId1314" Type="http://schemas.openxmlformats.org/officeDocument/2006/relationships/hyperlink" Target="http://instagram.com/tonys_creatures" TargetMode="External"/><Relationship Id="rId2645" Type="http://schemas.openxmlformats.org/officeDocument/2006/relationships/hyperlink" Target="https://buff.ly/2qtUsVp" TargetMode="External"/><Relationship Id="rId3977" Type="http://schemas.openxmlformats.org/officeDocument/2006/relationships/hyperlink" Target="http://twitch.tv/chronically_meg" TargetMode="External"/><Relationship Id="rId1315" Type="http://schemas.openxmlformats.org/officeDocument/2006/relationships/hyperlink" Target="https://twitter.com/BpoolCouncil/status/1218213191542624262" TargetMode="External"/><Relationship Id="rId2646" Type="http://schemas.openxmlformats.org/officeDocument/2006/relationships/hyperlink" Target="https://pbs.twimg.com/media/EOkTIlUXkAEgF26.jpg" TargetMode="External"/><Relationship Id="rId3976" Type="http://schemas.openxmlformats.org/officeDocument/2006/relationships/hyperlink" Target="http://yogaretreatsireland.com" TargetMode="External"/><Relationship Id="rId1316" Type="http://schemas.openxmlformats.org/officeDocument/2006/relationships/hyperlink" Target="https://pbs.twimg.com/media/EOf2b-QX0AAePHK.jpg" TargetMode="External"/><Relationship Id="rId2647" Type="http://schemas.openxmlformats.org/officeDocument/2006/relationships/hyperlink" Target="http://www.granuaile.co.uk" TargetMode="External"/><Relationship Id="rId3979" Type="http://schemas.openxmlformats.org/officeDocument/2006/relationships/hyperlink" Target="https://www.lnk.xyz/HkdcPy-eU?aduc=M9pyNLb1579317150301" TargetMode="External"/><Relationship Id="rId1317" Type="http://schemas.openxmlformats.org/officeDocument/2006/relationships/hyperlink" Target="http://www.blackpoolcarers.org" TargetMode="External"/><Relationship Id="rId2648" Type="http://schemas.openxmlformats.org/officeDocument/2006/relationships/hyperlink" Target="https://www.regishealthcare.co.uk/post/a-typical-day-at-the-only-low-secure-camhs-unit-in-wales" TargetMode="External"/><Relationship Id="rId3978" Type="http://schemas.openxmlformats.org/officeDocument/2006/relationships/hyperlink" Target="http://twitch.tv/chronically_meg" TargetMode="External"/><Relationship Id="rId1318" Type="http://schemas.openxmlformats.org/officeDocument/2006/relationships/hyperlink" Target="https://neurosciencenews.com/blood-brain-barrier-chip-15394/" TargetMode="External"/><Relationship Id="rId2649" Type="http://schemas.openxmlformats.org/officeDocument/2006/relationships/hyperlink" Target="https://pbs.twimg.com/media/EOkS-fpXkAAuYck.jpg" TargetMode="External"/><Relationship Id="rId1319" Type="http://schemas.openxmlformats.org/officeDocument/2006/relationships/hyperlink" Target="https://premium.chat/RobinMalone2468" TargetMode="External"/><Relationship Id="rId729" Type="http://schemas.openxmlformats.org/officeDocument/2006/relationships/hyperlink" Target="https://www.mindful.org/6-reasons-why-mindfulness-begins-with-the-breath/?fbclid=IwAR1zArMtvwmxxhd9ogDWe641HcDXDkVoFTX6y1la_cI7FDWYizS52VRABnk" TargetMode="External"/><Relationship Id="rId728" Type="http://schemas.openxmlformats.org/officeDocument/2006/relationships/hyperlink" Target="http://www.sherrybensonpodolchuk.com" TargetMode="External"/><Relationship Id="rId723" Type="http://schemas.openxmlformats.org/officeDocument/2006/relationships/hyperlink" Target="http://bit.ly/2I8mWw5" TargetMode="External"/><Relationship Id="rId722" Type="http://schemas.openxmlformats.org/officeDocument/2006/relationships/hyperlink" Target="http://bit.ly/365j1qV" TargetMode="External"/><Relationship Id="rId721" Type="http://schemas.openxmlformats.org/officeDocument/2006/relationships/hyperlink" Target="https://pbs.twimg.com/media/EOQvhlYWkAAOq1R.png" TargetMode="External"/><Relationship Id="rId720" Type="http://schemas.openxmlformats.org/officeDocument/2006/relationships/hyperlink" Target="http://ontariocaregiver.ca" TargetMode="External"/><Relationship Id="rId727" Type="http://schemas.openxmlformats.org/officeDocument/2006/relationships/hyperlink" Target="https://madmimi.com/s/d8d9101" TargetMode="External"/><Relationship Id="rId726" Type="http://schemas.openxmlformats.org/officeDocument/2006/relationships/hyperlink" Target="https://www.twitch.tv/warrdean" TargetMode="External"/><Relationship Id="rId725" Type="http://schemas.openxmlformats.org/officeDocument/2006/relationships/hyperlink" Target="http://pic.twitter.com/p9IiGZrBD3" TargetMode="External"/><Relationship Id="rId724" Type="http://schemas.openxmlformats.org/officeDocument/2006/relationships/hyperlink" Target="https://twitch.tv/warrdean" TargetMode="External"/><Relationship Id="rId3971" Type="http://schemas.openxmlformats.org/officeDocument/2006/relationships/hyperlink" Target="https://pbs.twimg.com/media/EOiHBvxXsAIMYHp.jpg" TargetMode="External"/><Relationship Id="rId2640" Type="http://schemas.openxmlformats.org/officeDocument/2006/relationships/hyperlink" Target="http://www.venuscow.com" TargetMode="External"/><Relationship Id="rId3970" Type="http://schemas.openxmlformats.org/officeDocument/2006/relationships/hyperlink" Target="https://buff.ly/3aqrB79" TargetMode="External"/><Relationship Id="rId1310" Type="http://schemas.openxmlformats.org/officeDocument/2006/relationships/hyperlink" Target="https://kingsumo.com/g/9agctd/giveaway-january-2020/mp97o47" TargetMode="External"/><Relationship Id="rId2641" Type="http://schemas.openxmlformats.org/officeDocument/2006/relationships/hyperlink" Target="http://bit.ly/1mRGotv" TargetMode="External"/><Relationship Id="rId3973" Type="http://schemas.openxmlformats.org/officeDocument/2006/relationships/hyperlink" Target="http://www.relentlesspursuitpartners.com" TargetMode="External"/><Relationship Id="rId1311" Type="http://schemas.openxmlformats.org/officeDocument/2006/relationships/hyperlink" Target="http://www.kimadele.org" TargetMode="External"/><Relationship Id="rId2642" Type="http://schemas.openxmlformats.org/officeDocument/2006/relationships/hyperlink" Target="http://www.durham-autism.org/" TargetMode="External"/><Relationship Id="rId3972" Type="http://schemas.openxmlformats.org/officeDocument/2006/relationships/hyperlink" Target="http://pic.twitter.com/b78duOiUfH" TargetMode="External"/><Relationship Id="rId1301" Type="http://schemas.openxmlformats.org/officeDocument/2006/relationships/hyperlink" Target="https://youtu.be/4V_H52mXDoc" TargetMode="External"/><Relationship Id="rId2632" Type="http://schemas.openxmlformats.org/officeDocument/2006/relationships/hyperlink" Target="http://www.thoughtify.co.uk" TargetMode="External"/><Relationship Id="rId3964" Type="http://schemas.openxmlformats.org/officeDocument/2006/relationships/hyperlink" Target="http://osmihelp.org" TargetMode="External"/><Relationship Id="rId1302" Type="http://schemas.openxmlformats.org/officeDocument/2006/relationships/hyperlink" Target="https://www.youtube.com/channel/UCdeH6ceO1yPtHImJ3beziXQ?view_as=subscriber" TargetMode="External"/><Relationship Id="rId2633" Type="http://schemas.openxmlformats.org/officeDocument/2006/relationships/hyperlink" Target="http://www.knowledge.scot.nhs.uk/media/14489639/postnatal%20depression%20rd%20jan.pdf" TargetMode="External"/><Relationship Id="rId3963" Type="http://schemas.openxmlformats.org/officeDocument/2006/relationships/hyperlink" Target="https://pbs.twimg.com/media/EOhbG2ZWAAAKfcr.jpg" TargetMode="External"/><Relationship Id="rId1303" Type="http://schemas.openxmlformats.org/officeDocument/2006/relationships/hyperlink" Target="http://psy.pub/teenage-suicide" TargetMode="External"/><Relationship Id="rId2634" Type="http://schemas.openxmlformats.org/officeDocument/2006/relationships/hyperlink" Target="http://www.nhsggc.org.uk/libraryservices" TargetMode="External"/><Relationship Id="rId3966" Type="http://schemas.openxmlformats.org/officeDocument/2006/relationships/hyperlink" Target="https://simplyshrocking.kartra.com/page/dareu-app" TargetMode="External"/><Relationship Id="rId1304" Type="http://schemas.openxmlformats.org/officeDocument/2006/relationships/hyperlink" Target="http://journalpsyche.org/" TargetMode="External"/><Relationship Id="rId2635" Type="http://schemas.openxmlformats.org/officeDocument/2006/relationships/hyperlink" Target="http://aninconvenientrelative.blogspot.com/2018/06/inconvenient-relative.html" TargetMode="External"/><Relationship Id="rId3965" Type="http://schemas.openxmlformats.org/officeDocument/2006/relationships/hyperlink" Target="https://pbs.twimg.com/media/EOiH2XeWAAA5yxG.jpg" TargetMode="External"/><Relationship Id="rId1305" Type="http://schemas.openxmlformats.org/officeDocument/2006/relationships/hyperlink" Target="http://dcontario.org" TargetMode="External"/><Relationship Id="rId2636" Type="http://schemas.openxmlformats.org/officeDocument/2006/relationships/hyperlink" Target="https://aninconvenientrelative.blogspot.com/" TargetMode="External"/><Relationship Id="rId3968" Type="http://schemas.openxmlformats.org/officeDocument/2006/relationships/hyperlink" Target="https://pbs.twimg.com/media/EOiHKB2WsAAD0of.jpg" TargetMode="External"/><Relationship Id="rId1306" Type="http://schemas.openxmlformats.org/officeDocument/2006/relationships/hyperlink" Target="https://pbs.twimg.com/media/EOlgaFMXUAE3TqM.jpg" TargetMode="External"/><Relationship Id="rId2637" Type="http://schemas.openxmlformats.org/officeDocument/2006/relationships/hyperlink" Target="https://www.theglobeandmail.com/canada/article-half-of-canadians-have-too-few-local-psychiatrists-or-none-at-all/?utm_medium=Referrer:+Social+Network+/+Media&amp;utm_campaign=Shared+Web+Article+Links" TargetMode="External"/><Relationship Id="rId3967" Type="http://schemas.openxmlformats.org/officeDocument/2006/relationships/hyperlink" Target="http://bipolarmedstudent97.blogspot.com" TargetMode="External"/><Relationship Id="rId1307" Type="http://schemas.openxmlformats.org/officeDocument/2006/relationships/hyperlink" Target="http://dcontario.org" TargetMode="External"/><Relationship Id="rId2638" Type="http://schemas.openxmlformats.org/officeDocument/2006/relationships/hyperlink" Target="http://www.andrepicard.com" TargetMode="External"/><Relationship Id="rId1308" Type="http://schemas.openxmlformats.org/officeDocument/2006/relationships/hyperlink" Target="https://pbs.twimg.com/media/EOlgRa_U0AIbOT8.jpg" TargetMode="External"/><Relationship Id="rId2639" Type="http://schemas.openxmlformats.org/officeDocument/2006/relationships/hyperlink" Target="https://pbs.twimg.com/media/EOkTVLaX4AAa4_5.jpg" TargetMode="External"/><Relationship Id="rId3969" Type="http://schemas.openxmlformats.org/officeDocument/2006/relationships/hyperlink" Target="https://www.thehikikomoripact.com" TargetMode="External"/><Relationship Id="rId1309" Type="http://schemas.openxmlformats.org/officeDocument/2006/relationships/hyperlink" Target="http://reneelovesartreflections.com" TargetMode="External"/><Relationship Id="rId719" Type="http://schemas.openxmlformats.org/officeDocument/2006/relationships/hyperlink" Target="http://www.themontentottehotel.com" TargetMode="External"/><Relationship Id="rId718" Type="http://schemas.openxmlformats.org/officeDocument/2006/relationships/hyperlink" Target="https://pbs.twimg.com/media/EOmD51gVUAAvqFz.jpg" TargetMode="External"/><Relationship Id="rId717" Type="http://schemas.openxmlformats.org/officeDocument/2006/relationships/hyperlink" Target="http://www.franksonnenbergonline.com" TargetMode="External"/><Relationship Id="rId712" Type="http://schemas.openxmlformats.org/officeDocument/2006/relationships/hyperlink" Target="https://pbs.twimg.com/media/EOmETqwU4AE4iZ5.jpg" TargetMode="External"/><Relationship Id="rId711" Type="http://schemas.openxmlformats.org/officeDocument/2006/relationships/hyperlink" Target="https://itunes.apple.com/us/podcast/anxzenity-podcast/id1450065642?mt=2" TargetMode="External"/><Relationship Id="rId710" Type="http://schemas.openxmlformats.org/officeDocument/2006/relationships/hyperlink" Target="https://anchor.fm/anxzenity/episodes/S2E02-Attacking-Student-Loan-Debt--Who-is-Wim-Hof--and-How-His-Method-Can-Reduce-Your-Anxiety-ea91f1" TargetMode="External"/><Relationship Id="rId716" Type="http://schemas.openxmlformats.org/officeDocument/2006/relationships/hyperlink" Target="http://bit.ly/2AGcG8h" TargetMode="External"/><Relationship Id="rId715" Type="http://schemas.openxmlformats.org/officeDocument/2006/relationships/hyperlink" Target="https://pbs.twimg.com/media/EOmENKWUEAA4tVR.jpg" TargetMode="External"/><Relationship Id="rId714" Type="http://schemas.openxmlformats.org/officeDocument/2006/relationships/hyperlink" Target="http://www.hopeandvisionoutreach.com" TargetMode="External"/><Relationship Id="rId713" Type="http://schemas.openxmlformats.org/officeDocument/2006/relationships/hyperlink" Target="https://pbs.twimg.com/media/EOmEP2LXkAMrcfQ.jpg" TargetMode="External"/><Relationship Id="rId3960" Type="http://schemas.openxmlformats.org/officeDocument/2006/relationships/hyperlink" Target="https://www.worryhead.com/" TargetMode="External"/><Relationship Id="rId2630" Type="http://schemas.openxmlformats.org/officeDocument/2006/relationships/hyperlink" Target="http://www.pcicollege.ie" TargetMode="External"/><Relationship Id="rId3962" Type="http://schemas.openxmlformats.org/officeDocument/2006/relationships/hyperlink" Target="https://leanpub.com/u/osmi" TargetMode="External"/><Relationship Id="rId1300" Type="http://schemas.openxmlformats.org/officeDocument/2006/relationships/hyperlink" Target="https://www.wattpad.com/user/Architectonics" TargetMode="External"/><Relationship Id="rId2631" Type="http://schemas.openxmlformats.org/officeDocument/2006/relationships/hyperlink" Target="https://www.linkedin.com/posts/thomasfoxprofile_announcing-the-finalists-activity-6622470657517080576-NlZQ" TargetMode="External"/><Relationship Id="rId3961" Type="http://schemas.openxmlformats.org/officeDocument/2006/relationships/hyperlink" Target="http://instagram.com/tonys_creatures" TargetMode="External"/><Relationship Id="rId3117" Type="http://schemas.openxmlformats.org/officeDocument/2006/relationships/hyperlink" Target="http://introvertedit.com/2019/08/17/classic-literature-and-mental-health/" TargetMode="External"/><Relationship Id="rId3116" Type="http://schemas.openxmlformats.org/officeDocument/2006/relationships/hyperlink" Target="https://twitter.com/lethebook/status/1218070266837962752" TargetMode="External"/><Relationship Id="rId3119" Type="http://schemas.openxmlformats.org/officeDocument/2006/relationships/hyperlink" Target="http://pic.twitter.com/XlA1A5a2Fa" TargetMode="External"/><Relationship Id="rId3118" Type="http://schemas.openxmlformats.org/officeDocument/2006/relationships/hyperlink" Target="http://www.introvertedit.com" TargetMode="External"/><Relationship Id="rId3111" Type="http://schemas.openxmlformats.org/officeDocument/2006/relationships/hyperlink" Target="http://www.generation-success.com" TargetMode="External"/><Relationship Id="rId3110" Type="http://schemas.openxmlformats.org/officeDocument/2006/relationships/hyperlink" Target="https://app.quuu.co/r/8jQQK" TargetMode="External"/><Relationship Id="rId3113" Type="http://schemas.openxmlformats.org/officeDocument/2006/relationships/hyperlink" Target="https://bit.ly/2OKWxVt" TargetMode="External"/><Relationship Id="rId3112" Type="http://schemas.openxmlformats.org/officeDocument/2006/relationships/hyperlink" Target="https://pbs.twimg.com/media/EOjuxKuWAAEapsK.jpg" TargetMode="External"/><Relationship Id="rId3115" Type="http://schemas.openxmlformats.org/officeDocument/2006/relationships/hyperlink" Target="http://www.thelinkcentre.co.uk/" TargetMode="External"/><Relationship Id="rId3114" Type="http://schemas.openxmlformats.org/officeDocument/2006/relationships/hyperlink" Target="https://pbs.twimg.com/media/EOVEeyPW4AI7aP7.jpg" TargetMode="External"/><Relationship Id="rId3106" Type="http://schemas.openxmlformats.org/officeDocument/2006/relationships/hyperlink" Target="https://buff.ly/376Mthl" TargetMode="External"/><Relationship Id="rId3105" Type="http://schemas.openxmlformats.org/officeDocument/2006/relationships/hyperlink" Target="http://workinglivingtravellinginireland.com" TargetMode="External"/><Relationship Id="rId3108" Type="http://schemas.openxmlformats.org/officeDocument/2006/relationships/hyperlink" Target="http://www.alanemtage.com" TargetMode="External"/><Relationship Id="rId3107" Type="http://schemas.openxmlformats.org/officeDocument/2006/relationships/hyperlink" Target="https://pbs.twimg.com/media/EOjv4fRWsAUCv_o.jpg" TargetMode="External"/><Relationship Id="rId3109" Type="http://schemas.openxmlformats.org/officeDocument/2006/relationships/hyperlink" Target="https://app.quuu.co/r/gblgyao" TargetMode="External"/><Relationship Id="rId3100" Type="http://schemas.openxmlformats.org/officeDocument/2006/relationships/hyperlink" Target="http://www.katjajaqueline.com" TargetMode="External"/><Relationship Id="rId3102" Type="http://schemas.openxmlformats.org/officeDocument/2006/relationships/hyperlink" Target="http://www.aidingmentalhealth.com" TargetMode="External"/><Relationship Id="rId3101" Type="http://schemas.openxmlformats.org/officeDocument/2006/relationships/hyperlink" Target="https://pbs.twimg.com/media/EOjwMmxWsAAdFR4.jpg" TargetMode="External"/><Relationship Id="rId3104" Type="http://schemas.openxmlformats.org/officeDocument/2006/relationships/hyperlink" Target="https://pbs.twimg.com/media/EOjwMq7WsAEUmZ9.jpg" TargetMode="External"/><Relationship Id="rId3103" Type="http://schemas.openxmlformats.org/officeDocument/2006/relationships/hyperlink" Target="https://ift.tt/30DzIZl" TargetMode="External"/><Relationship Id="rId3139" Type="http://schemas.openxmlformats.org/officeDocument/2006/relationships/hyperlink" Target="https://pbs.twimg.com/media/EOjr_6CX4AA4qHM.jpg" TargetMode="External"/><Relationship Id="rId3138" Type="http://schemas.openxmlformats.org/officeDocument/2006/relationships/hyperlink" Target="http://bit.ly/2TsfUXd" TargetMode="External"/><Relationship Id="rId3131" Type="http://schemas.openxmlformats.org/officeDocument/2006/relationships/hyperlink" Target="http://pic.twitter.com/SNkf6PzgPx" TargetMode="External"/><Relationship Id="rId3130" Type="http://schemas.openxmlformats.org/officeDocument/2006/relationships/hyperlink" Target="https://linktr.ee/andreasgerden" TargetMode="External"/><Relationship Id="rId3133" Type="http://schemas.openxmlformats.org/officeDocument/2006/relationships/hyperlink" Target="https://pbs.twimg.com/media/EOjsb-nWoAEhyyG.jpg" TargetMode="External"/><Relationship Id="rId3132" Type="http://schemas.openxmlformats.org/officeDocument/2006/relationships/hyperlink" Target="https://www.instagram.com/tv/B7dTPWyHNiU/?igshid=e1g1prd11vui" TargetMode="External"/><Relationship Id="rId3135" Type="http://schemas.openxmlformats.org/officeDocument/2006/relationships/hyperlink" Target="https://sherikanecounselling.me" TargetMode="External"/><Relationship Id="rId3134" Type="http://schemas.openxmlformats.org/officeDocument/2006/relationships/hyperlink" Target="http://onedroppublishing.com" TargetMode="External"/><Relationship Id="rId3137" Type="http://schemas.openxmlformats.org/officeDocument/2006/relationships/hyperlink" Target="https://amzn.to/2JjQveW" TargetMode="External"/><Relationship Id="rId3136" Type="http://schemas.openxmlformats.org/officeDocument/2006/relationships/hyperlink" Target="http://pic.twitter.com/ek8JLSinlj" TargetMode="External"/><Relationship Id="rId3128" Type="http://schemas.openxmlformats.org/officeDocument/2006/relationships/hyperlink" Target="https://www.theguardian.com/global/2020/jan/18/meghan-gets-more-than-twice-as-many-negative-headlines-as-positive?CMP=share_btn_tw" TargetMode="External"/><Relationship Id="rId3127" Type="http://schemas.openxmlformats.org/officeDocument/2006/relationships/hyperlink" Target="https://aninconvenientrelative.blogspot.com/" TargetMode="External"/><Relationship Id="rId3129" Type="http://schemas.openxmlformats.org/officeDocument/2006/relationships/hyperlink" Target="https://www.linkedin.com/in/claire-bardner-22a14519/" TargetMode="External"/><Relationship Id="rId3120" Type="http://schemas.openxmlformats.org/officeDocument/2006/relationships/hyperlink" Target="http://www.gospeakyourmind.org" TargetMode="External"/><Relationship Id="rId3122" Type="http://schemas.openxmlformats.org/officeDocument/2006/relationships/hyperlink" Target="http://www.allinrhyme.blogspot.co.uk/" TargetMode="External"/><Relationship Id="rId3121" Type="http://schemas.openxmlformats.org/officeDocument/2006/relationships/hyperlink" Target="https://pbs.twimg.com/media/EOjsb-nWoAEhyyG.jpg" TargetMode="External"/><Relationship Id="rId3124" Type="http://schemas.openxmlformats.org/officeDocument/2006/relationships/hyperlink" Target="https://pbs.twimg.com/media/EOjtF9kU0AEx5B_.jpg" TargetMode="External"/><Relationship Id="rId3123" Type="http://schemas.openxmlformats.org/officeDocument/2006/relationships/hyperlink" Target="http://therapyroute.com" TargetMode="External"/><Relationship Id="rId3126" Type="http://schemas.openxmlformats.org/officeDocument/2006/relationships/hyperlink" Target="https://aninconvenientrelative.blogspot.com/2020/01/are-you-narcissist.html" TargetMode="External"/><Relationship Id="rId3125" Type="http://schemas.openxmlformats.org/officeDocument/2006/relationships/hyperlink" Target="http://www.therapyroute.com" TargetMode="External"/><Relationship Id="rId1378" Type="http://schemas.openxmlformats.org/officeDocument/2006/relationships/hyperlink" Target="https://www.youtube.com/channel/UCEWmLI3diGEgNYHVIHChfOg" TargetMode="External"/><Relationship Id="rId1379" Type="http://schemas.openxmlformats.org/officeDocument/2006/relationships/hyperlink" Target="https://www.granthalliburton.org" TargetMode="External"/><Relationship Id="rId789" Type="http://schemas.openxmlformats.org/officeDocument/2006/relationships/hyperlink" Target="https://clarrouge.fitness.blog/2020/01/18/bad-streak-how-to-take-care-of-yourself-in-difficult-times/" TargetMode="External"/><Relationship Id="rId788" Type="http://schemas.openxmlformats.org/officeDocument/2006/relationships/hyperlink" Target="http://www.centreforglobalmentalhealth.org/" TargetMode="External"/><Relationship Id="rId787" Type="http://schemas.openxmlformats.org/officeDocument/2006/relationships/hyperlink" Target="https://pbs.twimg.com/media/Dj5fJKSXoAESlIV.jpg" TargetMode="External"/><Relationship Id="rId786" Type="http://schemas.openxmlformats.org/officeDocument/2006/relationships/hyperlink" Target="https://twitter.com/UNICEF/status/1026362378278121473" TargetMode="External"/><Relationship Id="rId781" Type="http://schemas.openxmlformats.org/officeDocument/2006/relationships/hyperlink" Target="https://twitter.com/finolacolgan/status/1218525819565498368" TargetMode="External"/><Relationship Id="rId1370" Type="http://schemas.openxmlformats.org/officeDocument/2006/relationships/hyperlink" Target="https://pbs.twimg.com/media/EOldSxGU8AAJZjA.jpg" TargetMode="External"/><Relationship Id="rId780" Type="http://schemas.openxmlformats.org/officeDocument/2006/relationships/hyperlink" Target="https://www.youtube.com/channel/UCKaOtx9-q9zjXj0Tnv1rBbw" TargetMode="External"/><Relationship Id="rId1371" Type="http://schemas.openxmlformats.org/officeDocument/2006/relationships/hyperlink" Target="http://www.thewellnessuniverse.com" TargetMode="External"/><Relationship Id="rId1372" Type="http://schemas.openxmlformats.org/officeDocument/2006/relationships/hyperlink" Target="http://bit.ly/EIDebiSilber" TargetMode="External"/><Relationship Id="rId1373" Type="http://schemas.openxmlformats.org/officeDocument/2006/relationships/hyperlink" Target="https://pbs.twimg.com/media/EOldSqFWoAUXxg5.jpg" TargetMode="External"/><Relationship Id="rId785" Type="http://schemas.openxmlformats.org/officeDocument/2006/relationships/hyperlink" Target="https://pbs.twimg.com/media/EL-6UXdXUAE2xGX.jpg" TargetMode="External"/><Relationship Id="rId1374" Type="http://schemas.openxmlformats.org/officeDocument/2006/relationships/hyperlink" Target="https://www.facebook.com/jennyspositiveposts" TargetMode="External"/><Relationship Id="rId784" Type="http://schemas.openxmlformats.org/officeDocument/2006/relationships/hyperlink" Target="https://www.smartsurvey.co.uk/s/JQXUR/" TargetMode="External"/><Relationship Id="rId1375" Type="http://schemas.openxmlformats.org/officeDocument/2006/relationships/hyperlink" Target="https://twitter.com/sadiariies/status/1216780422681546752" TargetMode="External"/><Relationship Id="rId783" Type="http://schemas.openxmlformats.org/officeDocument/2006/relationships/hyperlink" Target="https://pbs.twimg.com/media/EOl_txXUYAA7cIk.jpg" TargetMode="External"/><Relationship Id="rId1376" Type="http://schemas.openxmlformats.org/officeDocument/2006/relationships/hyperlink" Target="http://pic.twitter.com/ckAidkkfeL" TargetMode="External"/><Relationship Id="rId782" Type="http://schemas.openxmlformats.org/officeDocument/2006/relationships/hyperlink" Target="http://lisageraghty3.wix.com/lgmediation" TargetMode="External"/><Relationship Id="rId1377" Type="http://schemas.openxmlformats.org/officeDocument/2006/relationships/hyperlink" Target="http://pic.twitter.com/wqwx0hwJ37" TargetMode="External"/><Relationship Id="rId1367" Type="http://schemas.openxmlformats.org/officeDocument/2006/relationships/hyperlink" Target="https://pbs.twimg.com/media/EOldSv5VUAAERGl.jpg" TargetMode="External"/><Relationship Id="rId2698" Type="http://schemas.openxmlformats.org/officeDocument/2006/relationships/hyperlink" Target="http://bit.ly/2nj393Q" TargetMode="External"/><Relationship Id="rId1368" Type="http://schemas.openxmlformats.org/officeDocument/2006/relationships/hyperlink" Target="https://www.thewellnessuniverse.com" TargetMode="External"/><Relationship Id="rId2699" Type="http://schemas.openxmlformats.org/officeDocument/2006/relationships/hyperlink" Target="https://pbs.twimg.com/media/EOkOkKJXUAA5Dle.jpg" TargetMode="External"/><Relationship Id="rId1369" Type="http://schemas.openxmlformats.org/officeDocument/2006/relationships/hyperlink" Target="http://bit.ly/EIDebiSilber" TargetMode="External"/><Relationship Id="rId778" Type="http://schemas.openxmlformats.org/officeDocument/2006/relationships/hyperlink" Target="http://www.platinumrealtyflorida.com/" TargetMode="External"/><Relationship Id="rId777" Type="http://schemas.openxmlformats.org/officeDocument/2006/relationships/hyperlink" Target="https://pbs.twimg.com/media/EOmAJVPWsAEFIEx.jpg" TargetMode="External"/><Relationship Id="rId776" Type="http://schemas.openxmlformats.org/officeDocument/2006/relationships/hyperlink" Target="http://cpix.me/a/90126101" TargetMode="External"/><Relationship Id="rId775" Type="http://schemas.openxmlformats.org/officeDocument/2006/relationships/hyperlink" Target="https://timdreby.com" TargetMode="External"/><Relationship Id="rId779" Type="http://schemas.openxmlformats.org/officeDocument/2006/relationships/hyperlink" Target="https://pbs.twimg.com/media/EOmAIYIUUAADijJ.jpg" TargetMode="External"/><Relationship Id="rId770" Type="http://schemas.openxmlformats.org/officeDocument/2006/relationships/hyperlink" Target="http://about.me/jolliffe" TargetMode="External"/><Relationship Id="rId2690" Type="http://schemas.openxmlformats.org/officeDocument/2006/relationships/hyperlink" Target="http://bit.ly/38hqULb" TargetMode="External"/><Relationship Id="rId1360" Type="http://schemas.openxmlformats.org/officeDocument/2006/relationships/hyperlink" Target="http://www.jimhawkins.co.uk" TargetMode="External"/><Relationship Id="rId2691" Type="http://schemas.openxmlformats.org/officeDocument/2006/relationships/hyperlink" Target="https://pbs.twimg.com/media/EOkPDMmWsAIlzms.jpg" TargetMode="External"/><Relationship Id="rId1361" Type="http://schemas.openxmlformats.org/officeDocument/2006/relationships/hyperlink" Target="https://pbs.twimg.com/media/EOldpggXUAElcNB.jpg" TargetMode="External"/><Relationship Id="rId2692" Type="http://schemas.openxmlformats.org/officeDocument/2006/relationships/hyperlink" Target="http://www.motoraty.com" TargetMode="External"/><Relationship Id="rId1362" Type="http://schemas.openxmlformats.org/officeDocument/2006/relationships/hyperlink" Target="https://pbs.twimg.com/media/EOldmNQWoAIzUh8.jpg" TargetMode="External"/><Relationship Id="rId2693" Type="http://schemas.openxmlformats.org/officeDocument/2006/relationships/hyperlink" Target="http://laurynslaw.org" TargetMode="External"/><Relationship Id="rId774" Type="http://schemas.openxmlformats.org/officeDocument/2006/relationships/hyperlink" Target="https://timdreby.com/what-do-you-do-when-your-loved-one-thinks-you-are-evil/" TargetMode="External"/><Relationship Id="rId1363" Type="http://schemas.openxmlformats.org/officeDocument/2006/relationships/hyperlink" Target="http://streamlabs.com/loudmrsbrooks" TargetMode="External"/><Relationship Id="rId2694" Type="http://schemas.openxmlformats.org/officeDocument/2006/relationships/hyperlink" Target="https://twitter.com/KaySocLearn/status/1218444389606920192" TargetMode="External"/><Relationship Id="rId773" Type="http://schemas.openxmlformats.org/officeDocument/2006/relationships/hyperlink" Target="http://www.truenorthhr.ca" TargetMode="External"/><Relationship Id="rId1364" Type="http://schemas.openxmlformats.org/officeDocument/2006/relationships/hyperlink" Target="https://www.bbc.co.uk/news/av/uk-england-tyne-51143669/newcastle-children-talk-mental-health-thanks-to-puppets" TargetMode="External"/><Relationship Id="rId2695" Type="http://schemas.openxmlformats.org/officeDocument/2006/relationships/hyperlink" Target="https://pbs.twimg.com/media/EOjItoLWAAEyVZw.jpg" TargetMode="External"/><Relationship Id="rId772" Type="http://schemas.openxmlformats.org/officeDocument/2006/relationships/hyperlink" Target="https://pbs.twimg.com/media/EOmAT0uVUAATJg5.jpg" TargetMode="External"/><Relationship Id="rId1365" Type="http://schemas.openxmlformats.org/officeDocument/2006/relationships/hyperlink" Target="http://www.jimhawkins.co.uk" TargetMode="External"/><Relationship Id="rId2696" Type="http://schemas.openxmlformats.org/officeDocument/2006/relationships/hyperlink" Target="http://www.newcollege.leicester.sch.uk" TargetMode="External"/><Relationship Id="rId771" Type="http://schemas.openxmlformats.org/officeDocument/2006/relationships/hyperlink" Target="https://buff.ly/2sY1XWf" TargetMode="External"/><Relationship Id="rId1366" Type="http://schemas.openxmlformats.org/officeDocument/2006/relationships/hyperlink" Target="http://bit.ly/EIDebiSilber" TargetMode="External"/><Relationship Id="rId2697" Type="http://schemas.openxmlformats.org/officeDocument/2006/relationships/hyperlink" Target="http://pic.twitter.com/BPk0fEA1x2" TargetMode="External"/><Relationship Id="rId1390" Type="http://schemas.openxmlformats.org/officeDocument/2006/relationships/hyperlink" Target="https://www.mdmag.com/medical-news/mental-health-openness-improves-med-students-attitudes" TargetMode="External"/><Relationship Id="rId1391" Type="http://schemas.openxmlformats.org/officeDocument/2006/relationships/hyperlink" Target="https://medicine.yale.edu/pediatrics/" TargetMode="External"/><Relationship Id="rId1392" Type="http://schemas.openxmlformats.org/officeDocument/2006/relationships/hyperlink" Target="https://kingzer0.itch.io/" TargetMode="External"/><Relationship Id="rId1393" Type="http://schemas.openxmlformats.org/officeDocument/2006/relationships/hyperlink" Target="https://www.psychcongress.com/article/evidence-exercise-antidepressant-growing-underrecognized?utm_campaign=meetedgar&amp;utm_medium=social&amp;utm_source=meetedgar.com" TargetMode="External"/><Relationship Id="rId1394" Type="http://schemas.openxmlformats.org/officeDocument/2006/relationships/hyperlink" Target="http://mdlogix.com" TargetMode="External"/><Relationship Id="rId1395" Type="http://schemas.openxmlformats.org/officeDocument/2006/relationships/hyperlink" Target="https://www.ruralmentalhealthmatters.co.uk/" TargetMode="External"/><Relationship Id="rId1396" Type="http://schemas.openxmlformats.org/officeDocument/2006/relationships/hyperlink" Target="https://pbs.twimg.com/media/EOlbhojUYAAizlb.jpg" TargetMode="External"/><Relationship Id="rId1397" Type="http://schemas.openxmlformats.org/officeDocument/2006/relationships/hyperlink" Target="http://bit.ly/REDJan2020" TargetMode="External"/><Relationship Id="rId1398" Type="http://schemas.openxmlformats.org/officeDocument/2006/relationships/hyperlink" Target="https://pbs.twimg.com/media/EOlbgw4UYAAuz4n.jpg" TargetMode="External"/><Relationship Id="rId1399" Type="http://schemas.openxmlformats.org/officeDocument/2006/relationships/hyperlink" Target="http://www.dorsetmind.uk" TargetMode="External"/><Relationship Id="rId1389" Type="http://schemas.openxmlformats.org/officeDocument/2006/relationships/hyperlink" Target="https://soundcloud.com/mbongenidlomo" TargetMode="External"/><Relationship Id="rId799" Type="http://schemas.openxmlformats.org/officeDocument/2006/relationships/hyperlink" Target="http://www.shannakattari.com" TargetMode="External"/><Relationship Id="rId798" Type="http://schemas.openxmlformats.org/officeDocument/2006/relationships/hyperlink" Target="https://pbs.twimg.com/media/EOl-rLcXsAAwJJb.jpg" TargetMode="External"/><Relationship Id="rId797" Type="http://schemas.openxmlformats.org/officeDocument/2006/relationships/hyperlink" Target="https://www.northernslant.com/tag/international-biocentric-psychoanalysis-institute/" TargetMode="External"/><Relationship Id="rId1380" Type="http://schemas.openxmlformats.org/officeDocument/2006/relationships/hyperlink" Target="https://www.youtube.com/user/RobinVovin" TargetMode="External"/><Relationship Id="rId792" Type="http://schemas.openxmlformats.org/officeDocument/2006/relationships/hyperlink" Target="https://mentalhealthadvocate2024.wordpress.com" TargetMode="External"/><Relationship Id="rId1381" Type="http://schemas.openxmlformats.org/officeDocument/2006/relationships/hyperlink" Target="http://ow.ly/PDnG50xYWJr" TargetMode="External"/><Relationship Id="rId791" Type="http://schemas.openxmlformats.org/officeDocument/2006/relationships/hyperlink" Target="http://pic.twitter.com/yqYlkulSzv" TargetMode="External"/><Relationship Id="rId1382" Type="http://schemas.openxmlformats.org/officeDocument/2006/relationships/hyperlink" Target="http://www.ed-psy.com" TargetMode="External"/><Relationship Id="rId790" Type="http://schemas.openxmlformats.org/officeDocument/2006/relationships/hyperlink" Target="https://clarrouge.fitness.blog/" TargetMode="External"/><Relationship Id="rId1383" Type="http://schemas.openxmlformats.org/officeDocument/2006/relationships/hyperlink" Target="http://bit.ly/2Zdf4gk" TargetMode="External"/><Relationship Id="rId1384" Type="http://schemas.openxmlformats.org/officeDocument/2006/relationships/hyperlink" Target="http://www.voamn.org" TargetMode="External"/><Relationship Id="rId796" Type="http://schemas.openxmlformats.org/officeDocument/2006/relationships/hyperlink" Target="https://pbs.twimg.com/media/EOlrldHU0AA07yc.jpg" TargetMode="External"/><Relationship Id="rId1385" Type="http://schemas.openxmlformats.org/officeDocument/2006/relationships/hyperlink" Target="http://www.harriethunter.org" TargetMode="External"/><Relationship Id="rId795" Type="http://schemas.openxmlformats.org/officeDocument/2006/relationships/hyperlink" Target="https://twitter.com/DucaCanavan/status/1218623505945763842" TargetMode="External"/><Relationship Id="rId1386" Type="http://schemas.openxmlformats.org/officeDocument/2006/relationships/hyperlink" Target="https://pbs.twimg.com/media/EOlcTa5VUAU7RCj.jpg" TargetMode="External"/><Relationship Id="rId794" Type="http://schemas.openxmlformats.org/officeDocument/2006/relationships/hyperlink" Target="https://pbs.twimg.com/media/EOkrSYFX4AEU7xT.jpg" TargetMode="External"/><Relationship Id="rId1387" Type="http://schemas.openxmlformats.org/officeDocument/2006/relationships/hyperlink" Target="http://www.hricdubai.com" TargetMode="External"/><Relationship Id="rId793" Type="http://schemas.openxmlformats.org/officeDocument/2006/relationships/hyperlink" Target="https://twitter.com/sengillibrand/status/1218552772989214721" TargetMode="External"/><Relationship Id="rId1388" Type="http://schemas.openxmlformats.org/officeDocument/2006/relationships/hyperlink" Target="http://www.sultancode.com" TargetMode="External"/><Relationship Id="rId3191" Type="http://schemas.openxmlformats.org/officeDocument/2006/relationships/hyperlink" Target="https://twitter.com/applausethought/status/1218131814465835008" TargetMode="External"/><Relationship Id="rId3190" Type="http://schemas.openxmlformats.org/officeDocument/2006/relationships/hyperlink" Target="http://www.andrewmayers.info" TargetMode="External"/><Relationship Id="rId3193" Type="http://schemas.openxmlformats.org/officeDocument/2006/relationships/hyperlink" Target="http://www.annemarielewisthomas.co.uk" TargetMode="External"/><Relationship Id="rId3192" Type="http://schemas.openxmlformats.org/officeDocument/2006/relationships/hyperlink" Target="https://pbs.twimg.com/media/EOesbXGX4AAl2eZ.jpg" TargetMode="External"/><Relationship Id="rId3195" Type="http://schemas.openxmlformats.org/officeDocument/2006/relationships/hyperlink" Target="https://trailfestscotland.com/maps-for-trailrunners-project/" TargetMode="External"/><Relationship Id="rId3194" Type="http://schemas.openxmlformats.org/officeDocument/2006/relationships/hyperlink" Target="http://www.sunriseacademytx.com" TargetMode="External"/><Relationship Id="rId3197" Type="http://schemas.openxmlformats.org/officeDocument/2006/relationships/hyperlink" Target="http://www.plana.earth" TargetMode="External"/><Relationship Id="rId3196" Type="http://schemas.openxmlformats.org/officeDocument/2006/relationships/hyperlink" Target="http://bit.ly/2QDktw5" TargetMode="External"/><Relationship Id="rId3199" Type="http://schemas.openxmlformats.org/officeDocument/2006/relationships/hyperlink" Target="http://www.janeclarkpsychotherapy.co.uk" TargetMode="External"/><Relationship Id="rId3198" Type="http://schemas.openxmlformats.org/officeDocument/2006/relationships/hyperlink" Target="https://nyti.ms/2RrLXUH" TargetMode="External"/><Relationship Id="rId3180" Type="http://schemas.openxmlformats.org/officeDocument/2006/relationships/hyperlink" Target="https://karlosinternational.com" TargetMode="External"/><Relationship Id="rId3182" Type="http://schemas.openxmlformats.org/officeDocument/2006/relationships/hyperlink" Target="http://www.skerriescommunitycollege.ie" TargetMode="External"/><Relationship Id="rId3181" Type="http://schemas.openxmlformats.org/officeDocument/2006/relationships/hyperlink" Target="https://pbs.twimg.com/media/EOjn8-KX4AI9GPW.jpg" TargetMode="External"/><Relationship Id="rId3184" Type="http://schemas.openxmlformats.org/officeDocument/2006/relationships/hyperlink" Target="http://cubkit.co.uk/2018/03/30/the-health-benefits-of-keeping-a-journal/" TargetMode="External"/><Relationship Id="rId3183" Type="http://schemas.openxmlformats.org/officeDocument/2006/relationships/hyperlink" Target="http://guidedogcompany.com" TargetMode="External"/><Relationship Id="rId3186" Type="http://schemas.openxmlformats.org/officeDocument/2006/relationships/hyperlink" Target="https://pbs.twimg.com/media/EOjnxnoWoAIo-0D.jpg" TargetMode="External"/><Relationship Id="rId3185" Type="http://schemas.openxmlformats.org/officeDocument/2006/relationships/hyperlink" Target="http://www.cubkit.co.uk" TargetMode="External"/><Relationship Id="rId3188" Type="http://schemas.openxmlformats.org/officeDocument/2006/relationships/hyperlink" Target="https://pbs.twimg.com/media/EOjnfhIWAAAgQa1.jpg" TargetMode="External"/><Relationship Id="rId3187" Type="http://schemas.openxmlformats.org/officeDocument/2006/relationships/hyperlink" Target="http://www.behindandbeyondthebadge.com/" TargetMode="External"/><Relationship Id="rId3189" Type="http://schemas.openxmlformats.org/officeDocument/2006/relationships/hyperlink" Target="https://pbs.twimg.com/media/EOjnPwxWoAAyvSf.jpg" TargetMode="External"/><Relationship Id="rId3151" Type="http://schemas.openxmlformats.org/officeDocument/2006/relationships/hyperlink" Target="https://pbs.twimg.com/media/EOZSE_BWoAAMAW9.jpg" TargetMode="External"/><Relationship Id="rId3150" Type="http://schemas.openxmlformats.org/officeDocument/2006/relationships/hyperlink" Target="https://www.etsy.com/shop/cheeseburgerempire" TargetMode="External"/><Relationship Id="rId3153" Type="http://schemas.openxmlformats.org/officeDocument/2006/relationships/hyperlink" Target="http://pachaworld.org/mentalhealth-stress-depression-anxiety-be-a-warrior-not-a-worrier-how-to-de-stress-and-cope-with-anxiety-naturally-reviews" TargetMode="External"/><Relationship Id="rId3152" Type="http://schemas.openxmlformats.org/officeDocument/2006/relationships/hyperlink" Target="https://www.waleshigh.com/wellbeing/" TargetMode="External"/><Relationship Id="rId3155" Type="http://schemas.openxmlformats.org/officeDocument/2006/relationships/hyperlink" Target="https://www.pinterest.com/bestmetabooster/" TargetMode="External"/><Relationship Id="rId3154" Type="http://schemas.openxmlformats.org/officeDocument/2006/relationships/hyperlink" Target="https://pbs.twimg.com/media/EOjrNcJWsAAlhVK.jpg" TargetMode="External"/><Relationship Id="rId3157" Type="http://schemas.openxmlformats.org/officeDocument/2006/relationships/hyperlink" Target="http://pic.twitter.com/4g8K5M7Nmu" TargetMode="External"/><Relationship Id="rId3156" Type="http://schemas.openxmlformats.org/officeDocument/2006/relationships/hyperlink" Target="https://pbs.twimg.com/media/EOjqyuQXUAAxN9K.jpg" TargetMode="External"/><Relationship Id="rId3159" Type="http://schemas.openxmlformats.org/officeDocument/2006/relationships/hyperlink" Target="https://twitter.com/KariJoys/status/1218450480365547521" TargetMode="External"/><Relationship Id="rId3158" Type="http://schemas.openxmlformats.org/officeDocument/2006/relationships/hyperlink" Target="http://mentalkhealth.co.ke" TargetMode="External"/><Relationship Id="rId3149" Type="http://schemas.openxmlformats.org/officeDocument/2006/relationships/hyperlink" Target="http://www.corstorphinepsychologyservices.co.uk" TargetMode="External"/><Relationship Id="rId3140" Type="http://schemas.openxmlformats.org/officeDocument/2006/relationships/hyperlink" Target="http://lothianbuses.co.uk" TargetMode="External"/><Relationship Id="rId3142" Type="http://schemas.openxmlformats.org/officeDocument/2006/relationships/hyperlink" Target="https://www.instagram.com/p/B7dTuwLlyVq/?igshid=z4sakvrielep" TargetMode="External"/><Relationship Id="rId3141" Type="http://schemas.openxmlformats.org/officeDocument/2006/relationships/hyperlink" Target="https://www.facebook.com/groups/334841447318652/" TargetMode="External"/><Relationship Id="rId3144" Type="http://schemas.openxmlformats.org/officeDocument/2006/relationships/hyperlink" Target="http://pic.twitter.com/cUfWJ953jB" TargetMode="External"/><Relationship Id="rId3143" Type="http://schemas.openxmlformats.org/officeDocument/2006/relationships/hyperlink" Target="https://www.facebook.com/ElaineTerryCounsellingServcies" TargetMode="External"/><Relationship Id="rId3146" Type="http://schemas.openxmlformats.org/officeDocument/2006/relationships/hyperlink" Target="https://bit.ly/2tOwiXd" TargetMode="External"/><Relationship Id="rId3145" Type="http://schemas.openxmlformats.org/officeDocument/2006/relationships/hyperlink" Target="https://pbs.twimg.com/media/EOjrmnQXkAAL9-D.jpg" TargetMode="External"/><Relationship Id="rId3148" Type="http://schemas.openxmlformats.org/officeDocument/2006/relationships/hyperlink" Target="https://m.youtube.com/watch?feature=youtu.be&amp;v=9TID2bIiAOU" TargetMode="External"/><Relationship Id="rId3147" Type="http://schemas.openxmlformats.org/officeDocument/2006/relationships/hyperlink" Target="https://www.lboro.ac.uk/departments/ssehs/staff/sophia-jowett/" TargetMode="External"/><Relationship Id="rId3171" Type="http://schemas.openxmlformats.org/officeDocument/2006/relationships/hyperlink" Target="http://www.parentsvoice.co.uk" TargetMode="External"/><Relationship Id="rId3170" Type="http://schemas.openxmlformats.org/officeDocument/2006/relationships/hyperlink" Target="https://pbs.twimg.com/media/EOjpwA0XsAALRVj.jpg" TargetMode="External"/><Relationship Id="rId3173" Type="http://schemas.openxmlformats.org/officeDocument/2006/relationships/hyperlink" Target="https://towokesouls.com/" TargetMode="External"/><Relationship Id="rId3172" Type="http://schemas.openxmlformats.org/officeDocument/2006/relationships/hyperlink" Target="https://pbs.twimg.com/media/EOji5kRXsAEnubB.jpg" TargetMode="External"/><Relationship Id="rId3175" Type="http://schemas.openxmlformats.org/officeDocument/2006/relationships/hyperlink" Target="https://pbs.twimg.com/media/EOjov80WsAACWf5.jpg" TargetMode="External"/><Relationship Id="rId3174" Type="http://schemas.openxmlformats.org/officeDocument/2006/relationships/hyperlink" Target="https://pbs.twimg.com/media/EOjo4JOXsAA8ikR.jpg" TargetMode="External"/><Relationship Id="rId3177" Type="http://schemas.openxmlformats.org/officeDocument/2006/relationships/hyperlink" Target="http://drbenjaminhabib.wordpress.com/" TargetMode="External"/><Relationship Id="rId3176" Type="http://schemas.openxmlformats.org/officeDocument/2006/relationships/hyperlink" Target="http://www.theunsungworld.com" TargetMode="External"/><Relationship Id="rId3179" Type="http://schemas.openxmlformats.org/officeDocument/2006/relationships/hyperlink" Target="http://www.seandcessexmind.org.uk" TargetMode="External"/><Relationship Id="rId3178" Type="http://schemas.openxmlformats.org/officeDocument/2006/relationships/hyperlink" Target="https://pbs.twimg.com/media/EOjokw_WoAEZaq_.jpg" TargetMode="External"/><Relationship Id="rId3160" Type="http://schemas.openxmlformats.org/officeDocument/2006/relationships/hyperlink" Target="https://pbs.twimg.com/media/DUuDBDQWsAA1dFq.jpg" TargetMode="External"/><Relationship Id="rId3162" Type="http://schemas.openxmlformats.org/officeDocument/2006/relationships/hyperlink" Target="http://linktr.ee/depression.get.rid" TargetMode="External"/><Relationship Id="rId3161" Type="http://schemas.openxmlformats.org/officeDocument/2006/relationships/hyperlink" Target="https://pbs.twimg.com/media/EOjqAtNX4AA_xYz.jpg" TargetMode="External"/><Relationship Id="rId3164" Type="http://schemas.openxmlformats.org/officeDocument/2006/relationships/hyperlink" Target="https://literaryartsbykgpetrone.com" TargetMode="External"/><Relationship Id="rId3163" Type="http://schemas.openxmlformats.org/officeDocument/2006/relationships/hyperlink" Target="http://pic.twitter.com/Fy1gcBOCEn" TargetMode="External"/><Relationship Id="rId3166" Type="http://schemas.openxmlformats.org/officeDocument/2006/relationships/hyperlink" Target="http://www.worthit.org.uk" TargetMode="External"/><Relationship Id="rId3165" Type="http://schemas.openxmlformats.org/officeDocument/2006/relationships/hyperlink" Target="https://pbs.twimg.com/media/EOjpxGXXUAEbby7.jpg" TargetMode="External"/><Relationship Id="rId3168" Type="http://schemas.openxmlformats.org/officeDocument/2006/relationships/hyperlink" Target="http://www.fegans.org.uk" TargetMode="External"/><Relationship Id="rId3167" Type="http://schemas.openxmlformats.org/officeDocument/2006/relationships/hyperlink" Target="https://pbs.twimg.com/media/EOjpx7UX0AAuhWF.jpg" TargetMode="External"/><Relationship Id="rId3169" Type="http://schemas.openxmlformats.org/officeDocument/2006/relationships/hyperlink" Target="https://www.bbc.co.uk/programmes/articles/5QM6H01X6b3jTQF85GLgbFl/when-i-worry-about-things" TargetMode="External"/><Relationship Id="rId2700" Type="http://schemas.openxmlformats.org/officeDocument/2006/relationships/hyperlink" Target="http://curve.life/" TargetMode="External"/><Relationship Id="rId2701" Type="http://schemas.openxmlformats.org/officeDocument/2006/relationships/hyperlink" Target="https://pbs.twimg.com/media/EOkOVIsW4AUmIHa.jpg" TargetMode="External"/><Relationship Id="rId2702" Type="http://schemas.openxmlformats.org/officeDocument/2006/relationships/hyperlink" Target="https://themighty.com/content/5e2302ac8e319a00d6e4ba67/" TargetMode="External"/><Relationship Id="rId2703" Type="http://schemas.openxmlformats.org/officeDocument/2006/relationships/hyperlink" Target="https://karlosinternational.com" TargetMode="External"/><Relationship Id="rId2704" Type="http://schemas.openxmlformats.org/officeDocument/2006/relationships/hyperlink" Target="https://www.medicinenet.com/script/main/art.asp?articlekey=227478" TargetMode="External"/><Relationship Id="rId2705" Type="http://schemas.openxmlformats.org/officeDocument/2006/relationships/hyperlink" Target="https://www.instagram.com/p/B7dkpJEASpn/?igshid=1cvhupgfltja4" TargetMode="External"/><Relationship Id="rId2706" Type="http://schemas.openxmlformats.org/officeDocument/2006/relationships/hyperlink" Target="http://ningshouse.blogspot.com/,www.ningsplace.com" TargetMode="External"/><Relationship Id="rId2707" Type="http://schemas.openxmlformats.org/officeDocument/2006/relationships/hyperlink" Target="https://www.medicinenet.com/script/main/art.asp?articlekey=227466" TargetMode="External"/><Relationship Id="rId2708" Type="http://schemas.openxmlformats.org/officeDocument/2006/relationships/hyperlink" Target="https://stlcfd.us3.list-manage.com/subscribe?u=2f97b253a0238dc47d99c9251&amp;id=ca1fd409b4" TargetMode="External"/><Relationship Id="rId2709" Type="http://schemas.openxmlformats.org/officeDocument/2006/relationships/hyperlink" Target="https://pbs.twimg.com/media/EOkM3XAXkAA0Buy.png" TargetMode="External"/><Relationship Id="rId2720" Type="http://schemas.openxmlformats.org/officeDocument/2006/relationships/hyperlink" Target="http://chasingjadehorizons.org" TargetMode="External"/><Relationship Id="rId2721" Type="http://schemas.openxmlformats.org/officeDocument/2006/relationships/hyperlink" Target="http://ow.ly/q9Pm30q14ai" TargetMode="External"/><Relationship Id="rId2722" Type="http://schemas.openxmlformats.org/officeDocument/2006/relationships/hyperlink" Target="https://mhstories.com/" TargetMode="External"/><Relationship Id="rId2723" Type="http://schemas.openxmlformats.org/officeDocument/2006/relationships/hyperlink" Target="https://medium.com/@edy1nathan/dealing-with-grief-daily-e2a5ddec010a" TargetMode="External"/><Relationship Id="rId2724" Type="http://schemas.openxmlformats.org/officeDocument/2006/relationships/hyperlink" Target="https://pbs.twimg.com/media/EOkMOw9WsAENF_s.jpg" TargetMode="External"/><Relationship Id="rId2725" Type="http://schemas.openxmlformats.org/officeDocument/2006/relationships/hyperlink" Target="http://www.edynathan.com" TargetMode="External"/><Relationship Id="rId2726" Type="http://schemas.openxmlformats.org/officeDocument/2006/relationships/hyperlink" Target="https://twitter.com/PhilEchols/status/1218307579509690368" TargetMode="External"/><Relationship Id="rId2727" Type="http://schemas.openxmlformats.org/officeDocument/2006/relationships/hyperlink" Target="http://reginaldwilliams.org" TargetMode="External"/><Relationship Id="rId2728" Type="http://schemas.openxmlformats.org/officeDocument/2006/relationships/hyperlink" Target="http://ow.ly/W0eQ50xY1ZV" TargetMode="External"/><Relationship Id="rId2729" Type="http://schemas.openxmlformats.org/officeDocument/2006/relationships/hyperlink" Target="https://pbs.twimg.com/media/EOkMKBIX4AAHSNG.jpg" TargetMode="External"/><Relationship Id="rId2710" Type="http://schemas.openxmlformats.org/officeDocument/2006/relationships/hyperlink" Target="https://sparlinmentalhealth.com/" TargetMode="External"/><Relationship Id="rId2711" Type="http://schemas.openxmlformats.org/officeDocument/2006/relationships/hyperlink" Target="https://pbs.twimg.com/media/EOkM06_WsAE2nGc.jpg" TargetMode="External"/><Relationship Id="rId2712" Type="http://schemas.openxmlformats.org/officeDocument/2006/relationships/hyperlink" Target="https://pbs.twimg.com/media/EOkMh0ZUcAIBx-Q.jpg" TargetMode="External"/><Relationship Id="rId2713" Type="http://schemas.openxmlformats.org/officeDocument/2006/relationships/hyperlink" Target="https://www.coalesceresearchgroup.com/" TargetMode="External"/><Relationship Id="rId2714" Type="http://schemas.openxmlformats.org/officeDocument/2006/relationships/hyperlink" Target="https://pbs.twimg.com/media/EOkMZwNXUAAEl0_.jpg" TargetMode="External"/><Relationship Id="rId2715" Type="http://schemas.openxmlformats.org/officeDocument/2006/relationships/hyperlink" Target="https://m.facebook.com/Jamilasegacy/" TargetMode="External"/><Relationship Id="rId2716" Type="http://schemas.openxmlformats.org/officeDocument/2006/relationships/hyperlink" Target="http://ow.ly/CVbn50xVqCu" TargetMode="External"/><Relationship Id="rId2717" Type="http://schemas.openxmlformats.org/officeDocument/2006/relationships/hyperlink" Target="https://pbs.twimg.com/media/EOkMTbgWoAAOaKf.png" TargetMode="External"/><Relationship Id="rId2718" Type="http://schemas.openxmlformats.org/officeDocument/2006/relationships/hyperlink" Target="https://www.pameladwilson.com" TargetMode="External"/><Relationship Id="rId2719" Type="http://schemas.openxmlformats.org/officeDocument/2006/relationships/hyperlink" Target="https://pbs.twimg.com/media/EOkMFkaX4AAgKlB.jpg" TargetMode="External"/><Relationship Id="rId1455" Type="http://schemas.openxmlformats.org/officeDocument/2006/relationships/hyperlink" Target="https://www.smartcookiecoach.com" TargetMode="External"/><Relationship Id="rId2786" Type="http://schemas.openxmlformats.org/officeDocument/2006/relationships/hyperlink" Target="http://www.wjso.com" TargetMode="External"/><Relationship Id="rId1456" Type="http://schemas.openxmlformats.org/officeDocument/2006/relationships/hyperlink" Target="https://twitter.com/karijoys/status/1218552995912138752" TargetMode="External"/><Relationship Id="rId2787" Type="http://schemas.openxmlformats.org/officeDocument/2006/relationships/hyperlink" Target="https://www.mycwa.org.uk/safety-planning" TargetMode="External"/><Relationship Id="rId1457" Type="http://schemas.openxmlformats.org/officeDocument/2006/relationships/hyperlink" Target="https://pbs.twimg.com/media/DsxsgYKUwAE7WqP.jpg" TargetMode="External"/><Relationship Id="rId2788" Type="http://schemas.openxmlformats.org/officeDocument/2006/relationships/hyperlink" Target="https://pbs.twimg.com/media/EOkInFOX4AE5XD4.jpg" TargetMode="External"/><Relationship Id="rId1458" Type="http://schemas.openxmlformats.org/officeDocument/2006/relationships/hyperlink" Target="http://astrisoeparyono.blogspot.com" TargetMode="External"/><Relationship Id="rId2789" Type="http://schemas.openxmlformats.org/officeDocument/2006/relationships/hyperlink" Target="http://www.cheshirewithoutabuse.org.uk" TargetMode="External"/><Relationship Id="rId1459" Type="http://schemas.openxmlformats.org/officeDocument/2006/relationships/hyperlink" Target="http://www.ahiddenlife.com" TargetMode="External"/><Relationship Id="rId629" Type="http://schemas.openxmlformats.org/officeDocument/2006/relationships/hyperlink" Target="https://twitter.com/burrowsdrums/status/1218570321755852800" TargetMode="External"/><Relationship Id="rId624" Type="http://schemas.openxmlformats.org/officeDocument/2006/relationships/hyperlink" Target="https://www.collectibulldogs.com" TargetMode="External"/><Relationship Id="rId623" Type="http://schemas.openxmlformats.org/officeDocument/2006/relationships/hyperlink" Target="https://pbs.twimg.com/media/EOmLyjGUcAA3PMv.jpg" TargetMode="External"/><Relationship Id="rId622" Type="http://schemas.openxmlformats.org/officeDocument/2006/relationships/hyperlink" Target="http://www.namibucksstride.org" TargetMode="External"/><Relationship Id="rId621" Type="http://schemas.openxmlformats.org/officeDocument/2006/relationships/hyperlink" Target="https://pbs.twimg.com/media/EOmMFRrX0AUFFqA.jpg" TargetMode="External"/><Relationship Id="rId628" Type="http://schemas.openxmlformats.org/officeDocument/2006/relationships/hyperlink" Target="http://www.sunriseacademytx.com" TargetMode="External"/><Relationship Id="rId627" Type="http://schemas.openxmlformats.org/officeDocument/2006/relationships/hyperlink" Target="https://www.youtube.com/watch?v=NPhADlJAUt4" TargetMode="External"/><Relationship Id="rId626" Type="http://schemas.openxmlformats.org/officeDocument/2006/relationships/hyperlink" Target="http://drpokea.com" TargetMode="External"/><Relationship Id="rId625" Type="http://schemas.openxmlformats.org/officeDocument/2006/relationships/hyperlink" Target="http://bit.ly/1ZRrFQK" TargetMode="External"/><Relationship Id="rId2780" Type="http://schemas.openxmlformats.org/officeDocument/2006/relationships/hyperlink" Target="https://www.instagram.com/p/B7diX45jhgr/?igshid=1si5btcmh85de" TargetMode="External"/><Relationship Id="rId1450" Type="http://schemas.openxmlformats.org/officeDocument/2006/relationships/hyperlink" Target="http://www.paddystanleyandassociates.com" TargetMode="External"/><Relationship Id="rId2781" Type="http://schemas.openxmlformats.org/officeDocument/2006/relationships/hyperlink" Target="http://www.hauwaabbas.com" TargetMode="External"/><Relationship Id="rId620" Type="http://schemas.openxmlformats.org/officeDocument/2006/relationships/hyperlink" Target="https://namibuckspa.org/kickoff/" TargetMode="External"/><Relationship Id="rId1451" Type="http://schemas.openxmlformats.org/officeDocument/2006/relationships/hyperlink" Target="https://www.harnessmagazine.com/the-side-effects-of-motherhood-on-your-psyche/" TargetMode="External"/><Relationship Id="rId2782" Type="http://schemas.openxmlformats.org/officeDocument/2006/relationships/hyperlink" Target="https://www.inverse.com/article/60833-art-therapy-world-health-organization" TargetMode="External"/><Relationship Id="rId1452" Type="http://schemas.openxmlformats.org/officeDocument/2006/relationships/hyperlink" Target="https://msha.ke/harnessmagazine" TargetMode="External"/><Relationship Id="rId2783" Type="http://schemas.openxmlformats.org/officeDocument/2006/relationships/hyperlink" Target="https://pbs.twimg.com/media/EOkI1WFU0AEiUAp.jpg" TargetMode="External"/><Relationship Id="rId1453" Type="http://schemas.openxmlformats.org/officeDocument/2006/relationships/hyperlink" Target="https://buff.ly/36CE5pU" TargetMode="External"/><Relationship Id="rId2784" Type="http://schemas.openxmlformats.org/officeDocument/2006/relationships/hyperlink" Target="http://www.linkedin.com/in/craigkeary" TargetMode="External"/><Relationship Id="rId1454" Type="http://schemas.openxmlformats.org/officeDocument/2006/relationships/hyperlink" Target="https://pbs.twimg.com/media/EOlXy7kU0AAp3Rf.jpg" TargetMode="External"/><Relationship Id="rId2785" Type="http://schemas.openxmlformats.org/officeDocument/2006/relationships/hyperlink" Target="https://pbs.twimg.com/media/EOkIq1rUwAAr-wA.jpg" TargetMode="External"/><Relationship Id="rId1444" Type="http://schemas.openxmlformats.org/officeDocument/2006/relationships/hyperlink" Target="http://www.staceybing.com" TargetMode="External"/><Relationship Id="rId2775" Type="http://schemas.openxmlformats.org/officeDocument/2006/relationships/hyperlink" Target="http://bit.ly/375bQQF" TargetMode="External"/><Relationship Id="rId1445" Type="http://schemas.openxmlformats.org/officeDocument/2006/relationships/hyperlink" Target="https://pbs.twimg.com/media/EOlYWfpX4AAJrkS.jpg" TargetMode="External"/><Relationship Id="rId2776" Type="http://schemas.openxmlformats.org/officeDocument/2006/relationships/hyperlink" Target="http://humanresources.vermont.gov/careers" TargetMode="External"/><Relationship Id="rId1446" Type="http://schemas.openxmlformats.org/officeDocument/2006/relationships/hyperlink" Target="http://www.pandasfoundation.org.uk" TargetMode="External"/><Relationship Id="rId2777" Type="http://schemas.openxmlformats.org/officeDocument/2006/relationships/hyperlink" Target="http://www.debieclab.com/home/" TargetMode="External"/><Relationship Id="rId1447" Type="http://schemas.openxmlformats.org/officeDocument/2006/relationships/hyperlink" Target="http://bit.ly/Mental_Health_MancFeb4" TargetMode="External"/><Relationship Id="rId2778" Type="http://schemas.openxmlformats.org/officeDocument/2006/relationships/hyperlink" Target="https://www.thisjapanesecrane.com/post/why-i-dropped-out-of-university" TargetMode="External"/><Relationship Id="rId1448" Type="http://schemas.openxmlformats.org/officeDocument/2006/relationships/hyperlink" Target="http://www.paddystanleyandassociates.com" TargetMode="External"/><Relationship Id="rId2779" Type="http://schemas.openxmlformats.org/officeDocument/2006/relationships/hyperlink" Target="https://archiveofourown.org/works/21258431/chapters/50615846" TargetMode="External"/><Relationship Id="rId1449" Type="http://schemas.openxmlformats.org/officeDocument/2006/relationships/hyperlink" Target="http://bit.ly/Mental_Health_Birm28Jan" TargetMode="External"/><Relationship Id="rId619" Type="http://schemas.openxmlformats.org/officeDocument/2006/relationships/hyperlink" Target="https://pbs.twimg.com/media/EOmMF-nUwAIJ5KW.jpg" TargetMode="External"/><Relationship Id="rId618" Type="http://schemas.openxmlformats.org/officeDocument/2006/relationships/hyperlink" Target="https://ki.se/en/people/benfer" TargetMode="External"/><Relationship Id="rId613" Type="http://schemas.openxmlformats.org/officeDocument/2006/relationships/hyperlink" Target="https://youtu.be/V7TaMor-m5w" TargetMode="External"/><Relationship Id="rId612" Type="http://schemas.openxmlformats.org/officeDocument/2006/relationships/hyperlink" Target="http://betterthanaustralia.blogspot.com" TargetMode="External"/><Relationship Id="rId611" Type="http://schemas.openxmlformats.org/officeDocument/2006/relationships/hyperlink" Target="https://pbs.twimg.com/media/EOmMyBUXkAcIeHF.jpg" TargetMode="External"/><Relationship Id="rId610" Type="http://schemas.openxmlformats.org/officeDocument/2006/relationships/hyperlink" Target="http://cpix.me/a/90246002" TargetMode="External"/><Relationship Id="rId617" Type="http://schemas.openxmlformats.org/officeDocument/2006/relationships/hyperlink" Target="https://www.nature.com/articles/d41586-020-00101-9?utm_source=fbk_nnc&amp;utm_medium=social&amp;utm_campaign=naturenews&amp;sf228357258=1" TargetMode="External"/><Relationship Id="rId616" Type="http://schemas.openxmlformats.org/officeDocument/2006/relationships/hyperlink" Target="http://tanyajpeterson.com" TargetMode="External"/><Relationship Id="rId615" Type="http://schemas.openxmlformats.org/officeDocument/2006/relationships/hyperlink" Target="https://pbs.twimg.com/media/EOmMQBNU0AA3XdZ.jpg" TargetMode="External"/><Relationship Id="rId614" Type="http://schemas.openxmlformats.org/officeDocument/2006/relationships/hyperlink" Target="https://amzn.to/2kkAQwQ" TargetMode="External"/><Relationship Id="rId2770" Type="http://schemas.openxmlformats.org/officeDocument/2006/relationships/hyperlink" Target="https://pbs.twimg.com/media/EOkJkoqWsAAOSOh.jpg" TargetMode="External"/><Relationship Id="rId1440" Type="http://schemas.openxmlformats.org/officeDocument/2006/relationships/hyperlink" Target="http://www.paddystanleyandassociates.com" TargetMode="External"/><Relationship Id="rId2771" Type="http://schemas.openxmlformats.org/officeDocument/2006/relationships/hyperlink" Target="http://womensbrainproject.com/" TargetMode="External"/><Relationship Id="rId1441" Type="http://schemas.openxmlformats.org/officeDocument/2006/relationships/hyperlink" Target="http://bit.ly/Mental_Health_LonFeb11" TargetMode="External"/><Relationship Id="rId2772" Type="http://schemas.openxmlformats.org/officeDocument/2006/relationships/hyperlink" Target="https://www.instagram.com/stoddardartwork/" TargetMode="External"/><Relationship Id="rId1442" Type="http://schemas.openxmlformats.org/officeDocument/2006/relationships/hyperlink" Target="http://www.paddystanleyandassociates.com" TargetMode="External"/><Relationship Id="rId2773" Type="http://schemas.openxmlformats.org/officeDocument/2006/relationships/hyperlink" Target="https://n.pr/2sBLNlj" TargetMode="External"/><Relationship Id="rId1443" Type="http://schemas.openxmlformats.org/officeDocument/2006/relationships/hyperlink" Target="https://youtu.be/KB7zjQpV6iU" TargetMode="External"/><Relationship Id="rId2774" Type="http://schemas.openxmlformats.org/officeDocument/2006/relationships/hyperlink" Target="https://linktr.ee/Thekinshipcoach" TargetMode="External"/><Relationship Id="rId1477" Type="http://schemas.openxmlformats.org/officeDocument/2006/relationships/hyperlink" Target="http://www.healthyplace.com" TargetMode="External"/><Relationship Id="rId1478" Type="http://schemas.openxmlformats.org/officeDocument/2006/relationships/hyperlink" Target="https://pbs.twimg.com/media/EOkOGZ3U8AY40NB.jpg" TargetMode="External"/><Relationship Id="rId1479" Type="http://schemas.openxmlformats.org/officeDocument/2006/relationships/hyperlink" Target="http://www.camh.ca" TargetMode="External"/><Relationship Id="rId646" Type="http://schemas.openxmlformats.org/officeDocument/2006/relationships/hyperlink" Target="https://theweek.com/articles/888213/anxiety-different-kids" TargetMode="External"/><Relationship Id="rId645" Type="http://schemas.openxmlformats.org/officeDocument/2006/relationships/hyperlink" Target="https://pbs.twimg.com/media/EOmJ-7MUwAAKCEg.jpg" TargetMode="External"/><Relationship Id="rId644" Type="http://schemas.openxmlformats.org/officeDocument/2006/relationships/hyperlink" Target="https://podcasts.apple.com/ca/podcast/ep03-tanveer-naseer-making-leader-in-21st-century/" TargetMode="External"/><Relationship Id="rId643" Type="http://schemas.openxmlformats.org/officeDocument/2006/relationships/hyperlink" Target="https://www.kickstarter.com/projects/aristocracycomics/enlightenment-one-shot-psychological-horror-comic" TargetMode="External"/><Relationship Id="rId649" Type="http://schemas.openxmlformats.org/officeDocument/2006/relationships/hyperlink" Target="https://twitter.com/CMHAKingston/status/1218178663184764932" TargetMode="External"/><Relationship Id="rId648" Type="http://schemas.openxmlformats.org/officeDocument/2006/relationships/hyperlink" Target="http://www.rebtoz.blogspot.com" TargetMode="External"/><Relationship Id="rId647" Type="http://schemas.openxmlformats.org/officeDocument/2006/relationships/hyperlink" Target="http://rebtoz.blogspot.com/2018/01/the-construction-of-brain-bully-itll-do.html" TargetMode="External"/><Relationship Id="rId1470" Type="http://schemas.openxmlformats.org/officeDocument/2006/relationships/hyperlink" Target="https://mrshsfavouritethings.com/" TargetMode="External"/><Relationship Id="rId1471" Type="http://schemas.openxmlformats.org/officeDocument/2006/relationships/hyperlink" Target="http://ow.ly/wTxk50xTK7W" TargetMode="External"/><Relationship Id="rId1472" Type="http://schemas.openxmlformats.org/officeDocument/2006/relationships/hyperlink" Target="https://pbs.twimg.com/media/EOlXl_pX4AAg2kF.jpg" TargetMode="External"/><Relationship Id="rId642" Type="http://schemas.openxmlformats.org/officeDocument/2006/relationships/hyperlink" Target="https://www.instagram.com/p/B7ejBVcBcLl/?igshid=1rb3tv4wcje4" TargetMode="External"/><Relationship Id="rId1473" Type="http://schemas.openxmlformats.org/officeDocument/2006/relationships/hyperlink" Target="http://mortimers-property.co.uk" TargetMode="External"/><Relationship Id="rId641" Type="http://schemas.openxmlformats.org/officeDocument/2006/relationships/hyperlink" Target="https://linktr.ee/dshorbauthor" TargetMode="External"/><Relationship Id="rId1474" Type="http://schemas.openxmlformats.org/officeDocument/2006/relationships/hyperlink" Target="https://zurl.co/S49g" TargetMode="External"/><Relationship Id="rId640" Type="http://schemas.openxmlformats.org/officeDocument/2006/relationships/hyperlink" Target="https://www.lnk.xyz/BJA6d6RxL?aduc=ocFQJtY1579385550037" TargetMode="External"/><Relationship Id="rId1475" Type="http://schemas.openxmlformats.org/officeDocument/2006/relationships/hyperlink" Target="http://www.tcshealthcare.com" TargetMode="External"/><Relationship Id="rId1476" Type="http://schemas.openxmlformats.org/officeDocument/2006/relationships/hyperlink" Target="https://bit.ly/2NiW8JR" TargetMode="External"/><Relationship Id="rId1466" Type="http://schemas.openxmlformats.org/officeDocument/2006/relationships/hyperlink" Target="https://www.teenhealthcare.org/blog/social-media-self-care-7-questions-to-ask-yourself/" TargetMode="External"/><Relationship Id="rId2797" Type="http://schemas.openxmlformats.org/officeDocument/2006/relationships/hyperlink" Target="http://bit.ly/2RnezhJ" TargetMode="External"/><Relationship Id="rId1467" Type="http://schemas.openxmlformats.org/officeDocument/2006/relationships/hyperlink" Target="http://www.teenhealthcare.org" TargetMode="External"/><Relationship Id="rId2798" Type="http://schemas.openxmlformats.org/officeDocument/2006/relationships/hyperlink" Target="http://mindfultechnology.com" TargetMode="External"/><Relationship Id="rId1468" Type="http://schemas.openxmlformats.org/officeDocument/2006/relationships/hyperlink" Target="http://dld.bz/hpQqV" TargetMode="External"/><Relationship Id="rId2799" Type="http://schemas.openxmlformats.org/officeDocument/2006/relationships/hyperlink" Target="https://youtu.be/O0Q5zZuzgLU" TargetMode="External"/><Relationship Id="rId1469" Type="http://schemas.openxmlformats.org/officeDocument/2006/relationships/hyperlink" Target="https://pbs.twimg.com/media/EOlXoVQWsAILtfx.jpg" TargetMode="External"/><Relationship Id="rId635" Type="http://schemas.openxmlformats.org/officeDocument/2006/relationships/hyperlink" Target="https://www.linkedin.com/in/drgurdeepparhar/" TargetMode="External"/><Relationship Id="rId634" Type="http://schemas.openxmlformats.org/officeDocument/2006/relationships/hyperlink" Target="https://bhive.nectar.social/Rn5ZVQ" TargetMode="External"/><Relationship Id="rId633" Type="http://schemas.openxmlformats.org/officeDocument/2006/relationships/hyperlink" Target="https://rawlsmd.com/books/unlocking-lyme" TargetMode="External"/><Relationship Id="rId632" Type="http://schemas.openxmlformats.org/officeDocument/2006/relationships/hyperlink" Target="http://ow.ly/UmQM50xRE0P" TargetMode="External"/><Relationship Id="rId639" Type="http://schemas.openxmlformats.org/officeDocument/2006/relationships/hyperlink" Target="https://www.linkedin.com/in/drgurdeepparhar/" TargetMode="External"/><Relationship Id="rId638" Type="http://schemas.openxmlformats.org/officeDocument/2006/relationships/hyperlink" Target="https://bhive.nectar.social/pk2veq" TargetMode="External"/><Relationship Id="rId637" Type="http://schemas.openxmlformats.org/officeDocument/2006/relationships/hyperlink" Target="http://www.thementalhealthupdate.com" TargetMode="External"/><Relationship Id="rId636" Type="http://schemas.openxmlformats.org/officeDocument/2006/relationships/hyperlink" Target="https://link.medium.com/n8Z1UBFmm3" TargetMode="External"/><Relationship Id="rId2790" Type="http://schemas.openxmlformats.org/officeDocument/2006/relationships/hyperlink" Target="https://hubs.ly/H0mDczm0" TargetMode="External"/><Relationship Id="rId1460" Type="http://schemas.openxmlformats.org/officeDocument/2006/relationships/hyperlink" Target="https://bit.ly/345kOvQ" TargetMode="External"/><Relationship Id="rId2791" Type="http://schemas.openxmlformats.org/officeDocument/2006/relationships/hyperlink" Target="http://www.collingwoodsearch.co.uk" TargetMode="External"/><Relationship Id="rId1461" Type="http://schemas.openxmlformats.org/officeDocument/2006/relationships/hyperlink" Target="https://pbs.twimg.com/media/EOlXqnZVUAUn4iR.jpg" TargetMode="External"/><Relationship Id="rId2792" Type="http://schemas.openxmlformats.org/officeDocument/2006/relationships/hyperlink" Target="http://thepatchworkfox.com" TargetMode="External"/><Relationship Id="rId631" Type="http://schemas.openxmlformats.org/officeDocument/2006/relationships/hyperlink" Target="http://windsoressex.cmha.ca" TargetMode="External"/><Relationship Id="rId1462" Type="http://schemas.openxmlformats.org/officeDocument/2006/relationships/hyperlink" Target="https://www.eventbrite.co.uk/e/2019-pmh-conference-tickets-68931085733" TargetMode="External"/><Relationship Id="rId2793" Type="http://schemas.openxmlformats.org/officeDocument/2006/relationships/hyperlink" Target="http://thepatchworkfox.com" TargetMode="External"/><Relationship Id="rId630" Type="http://schemas.openxmlformats.org/officeDocument/2006/relationships/hyperlink" Target="https://pbs.twimg.com/media/EOk7P06X4AAWXr-.jpg" TargetMode="External"/><Relationship Id="rId1463" Type="http://schemas.openxmlformats.org/officeDocument/2006/relationships/hyperlink" Target="https://gefcc.org/find-a-health-center/" TargetMode="External"/><Relationship Id="rId2794" Type="http://schemas.openxmlformats.org/officeDocument/2006/relationships/hyperlink" Target="http://yangbanking.com" TargetMode="External"/><Relationship Id="rId1464" Type="http://schemas.openxmlformats.org/officeDocument/2006/relationships/hyperlink" Target="https://pbs.twimg.com/media/EOlXqaQWAAAu2U2.jpg" TargetMode="External"/><Relationship Id="rId2795" Type="http://schemas.openxmlformats.org/officeDocument/2006/relationships/hyperlink" Target="https://pbs.twimg.com/media/EOkIPytWsAM_3DO.jpg" TargetMode="External"/><Relationship Id="rId1465" Type="http://schemas.openxmlformats.org/officeDocument/2006/relationships/hyperlink" Target="http://www.gefcc.org" TargetMode="External"/><Relationship Id="rId2796" Type="http://schemas.openxmlformats.org/officeDocument/2006/relationships/hyperlink" Target="http://pic.twitter.com/euaARLfHpd" TargetMode="External"/><Relationship Id="rId1411" Type="http://schemas.openxmlformats.org/officeDocument/2006/relationships/hyperlink" Target="http://leejplummer.wordpress.com" TargetMode="External"/><Relationship Id="rId2742" Type="http://schemas.openxmlformats.org/officeDocument/2006/relationships/hyperlink" Target="http://www.thegoodstuffapp.com" TargetMode="External"/><Relationship Id="rId1412" Type="http://schemas.openxmlformats.org/officeDocument/2006/relationships/hyperlink" Target="https://www.instagram.com/p/B7eKemng-Qw/?igshid=vajiq7szv7bd" TargetMode="External"/><Relationship Id="rId2743" Type="http://schemas.openxmlformats.org/officeDocument/2006/relationships/hyperlink" Target="http://bit.ly/1Uf1qRC" TargetMode="External"/><Relationship Id="rId1413" Type="http://schemas.openxmlformats.org/officeDocument/2006/relationships/hyperlink" Target="https://pbs.twimg.com/media/EOlaYafVUAARuLa.jpg" TargetMode="External"/><Relationship Id="rId2744" Type="http://schemas.openxmlformats.org/officeDocument/2006/relationships/hyperlink" Target="http://www.successpodcast.com" TargetMode="External"/><Relationship Id="rId1414" Type="http://schemas.openxmlformats.org/officeDocument/2006/relationships/hyperlink" Target="https://www.apcca.org.uk" TargetMode="External"/><Relationship Id="rId2745" Type="http://schemas.openxmlformats.org/officeDocument/2006/relationships/hyperlink" Target="https://pbs.twimg.com/media/EOkLwkLWsAA1cqk.jpg" TargetMode="External"/><Relationship Id="rId1415" Type="http://schemas.openxmlformats.org/officeDocument/2006/relationships/hyperlink" Target="https://pbs.twimg.com/media/EOlaU6yVAAApl4g.jpg" TargetMode="External"/><Relationship Id="rId2746" Type="http://schemas.openxmlformats.org/officeDocument/2006/relationships/hyperlink" Target="http://www.mentallyfit.com" TargetMode="External"/><Relationship Id="rId1416" Type="http://schemas.openxmlformats.org/officeDocument/2006/relationships/hyperlink" Target="https://www.bbc.co.uk/news/uk-51163865" TargetMode="External"/><Relationship Id="rId2747" Type="http://schemas.openxmlformats.org/officeDocument/2006/relationships/hyperlink" Target="http://mentalsnapback.com" TargetMode="External"/><Relationship Id="rId1417" Type="http://schemas.openxmlformats.org/officeDocument/2006/relationships/hyperlink" Target="https://streamlabs.com/xMiss_Nightmare1/home" TargetMode="External"/><Relationship Id="rId2748" Type="http://schemas.openxmlformats.org/officeDocument/2006/relationships/hyperlink" Target="https://tinyurl.com/yj62yxwh" TargetMode="External"/><Relationship Id="rId1418" Type="http://schemas.openxmlformats.org/officeDocument/2006/relationships/hyperlink" Target="https://mixer.com/xMiss_Nightmare" TargetMode="External"/><Relationship Id="rId2749" Type="http://schemas.openxmlformats.org/officeDocument/2006/relationships/hyperlink" Target="http://www.patreon.com/PCAPonline" TargetMode="External"/><Relationship Id="rId1419" Type="http://schemas.openxmlformats.org/officeDocument/2006/relationships/hyperlink" Target="https://pbs.twimg.com/media/EOlaKeEUcAAlj2w.jpg" TargetMode="External"/><Relationship Id="rId2740" Type="http://schemas.openxmlformats.org/officeDocument/2006/relationships/hyperlink" Target="http://thegoodstuffapp.com" TargetMode="External"/><Relationship Id="rId1410" Type="http://schemas.openxmlformats.org/officeDocument/2006/relationships/hyperlink" Target="http://pic.twitter.com/TDzqb24vRi" TargetMode="External"/><Relationship Id="rId2741" Type="http://schemas.openxmlformats.org/officeDocument/2006/relationships/hyperlink" Target="https://pbs.twimg.com/media/EOju2h7XUAExZWd.jpg" TargetMode="External"/><Relationship Id="rId1400" Type="http://schemas.openxmlformats.org/officeDocument/2006/relationships/hyperlink" Target="https://buff.ly/2NbTKF1" TargetMode="External"/><Relationship Id="rId2731" Type="http://schemas.openxmlformats.org/officeDocument/2006/relationships/hyperlink" Target="https://www.lnk.xyz/SJkSmMPir?aduc=7h1KVDE1579352433953" TargetMode="External"/><Relationship Id="rId1401" Type="http://schemas.openxmlformats.org/officeDocument/2006/relationships/hyperlink" Target="https://ca.linkedin.com/in/dmwcheng" TargetMode="External"/><Relationship Id="rId2732" Type="http://schemas.openxmlformats.org/officeDocument/2006/relationships/hyperlink" Target="https://linktr.ee/dshorbauthor" TargetMode="External"/><Relationship Id="rId1402" Type="http://schemas.openxmlformats.org/officeDocument/2006/relationships/hyperlink" Target="https://transcendrecoverycommunity.com/addiction-affects-mental-state/" TargetMode="External"/><Relationship Id="rId2733" Type="http://schemas.openxmlformats.org/officeDocument/2006/relationships/hyperlink" Target="http://pic.twitter.com/LBgKycIlEV" TargetMode="External"/><Relationship Id="rId1403" Type="http://schemas.openxmlformats.org/officeDocument/2006/relationships/hyperlink" Target="http://transcendrecoverycommunity.com" TargetMode="External"/><Relationship Id="rId2734" Type="http://schemas.openxmlformats.org/officeDocument/2006/relationships/hyperlink" Target="http://www.katjajaqueline.com" TargetMode="External"/><Relationship Id="rId1404" Type="http://schemas.openxmlformats.org/officeDocument/2006/relationships/hyperlink" Target="https://bit.ly/36XS8Gs" TargetMode="External"/><Relationship Id="rId2735" Type="http://schemas.openxmlformats.org/officeDocument/2006/relationships/hyperlink" Target="https://buff.ly/2Gjut9x" TargetMode="External"/><Relationship Id="rId1405" Type="http://schemas.openxmlformats.org/officeDocument/2006/relationships/hyperlink" Target="https://pbs.twimg.com/media/EOla__UUUAE6qBl.jpg" TargetMode="External"/><Relationship Id="rId2736" Type="http://schemas.openxmlformats.org/officeDocument/2006/relationships/hyperlink" Target="https://pbs.twimg.com/media/EOkMECYX4AAeMnd.jpg" TargetMode="External"/><Relationship Id="rId1406" Type="http://schemas.openxmlformats.org/officeDocument/2006/relationships/hyperlink" Target="http://www.healthyplace.com" TargetMode="External"/><Relationship Id="rId2737" Type="http://schemas.openxmlformats.org/officeDocument/2006/relationships/hyperlink" Target="http://www.acamh.org" TargetMode="External"/><Relationship Id="rId1407" Type="http://schemas.openxmlformats.org/officeDocument/2006/relationships/hyperlink" Target="https://about.me/prolaychaudhury" TargetMode="External"/><Relationship Id="rId2738" Type="http://schemas.openxmlformats.org/officeDocument/2006/relationships/hyperlink" Target="https://youtu.be/g6Nt3FYEf5k" TargetMode="External"/><Relationship Id="rId1408" Type="http://schemas.openxmlformats.org/officeDocument/2006/relationships/hyperlink" Target="http://1.usa.gov/1vF5phF" TargetMode="External"/><Relationship Id="rId2739" Type="http://schemas.openxmlformats.org/officeDocument/2006/relationships/hyperlink" Target="http://www.liverpoolfa.com" TargetMode="External"/><Relationship Id="rId1409" Type="http://schemas.openxmlformats.org/officeDocument/2006/relationships/hyperlink" Target="http://www.whereismadmax.com" TargetMode="External"/><Relationship Id="rId2730" Type="http://schemas.openxmlformats.org/officeDocument/2006/relationships/hyperlink" Target="http://edtechnology.co.uk" TargetMode="External"/><Relationship Id="rId1433" Type="http://schemas.openxmlformats.org/officeDocument/2006/relationships/hyperlink" Target="https://kaypodastro.wordpress.com/2020/01/18/you-take-a-deep-breath-and-you-walk-through-the-doors/" TargetMode="External"/><Relationship Id="rId2764" Type="http://schemas.openxmlformats.org/officeDocument/2006/relationships/hyperlink" Target="https://pbs.twimg.com/media/EOkJxBDWoAET_fz.jpg" TargetMode="External"/><Relationship Id="rId1434" Type="http://schemas.openxmlformats.org/officeDocument/2006/relationships/hyperlink" Target="https://twitter.com/MentalHealthAm/status/1218578801170505730" TargetMode="External"/><Relationship Id="rId2765" Type="http://schemas.openxmlformats.org/officeDocument/2006/relationships/hyperlink" Target="https://www.wmhi.com.au" TargetMode="External"/><Relationship Id="rId1435" Type="http://schemas.openxmlformats.org/officeDocument/2006/relationships/hyperlink" Target="https://jeremydkleinhans.wordpress.com/" TargetMode="External"/><Relationship Id="rId2766" Type="http://schemas.openxmlformats.org/officeDocument/2006/relationships/hyperlink" Target="http://ow.ly/Kvga50x7zD9" TargetMode="External"/><Relationship Id="rId1436" Type="http://schemas.openxmlformats.org/officeDocument/2006/relationships/hyperlink" Target="https://www.instagram.com/p/B7eKKytonvJ/?igshid=hskk7trq493l" TargetMode="External"/><Relationship Id="rId2767" Type="http://schemas.openxmlformats.org/officeDocument/2006/relationships/hyperlink" Target="http://theunsanityblog.com" TargetMode="External"/><Relationship Id="rId1437" Type="http://schemas.openxmlformats.org/officeDocument/2006/relationships/hyperlink" Target="http://bit.ly/MHFA_PSA" TargetMode="External"/><Relationship Id="rId2768" Type="http://schemas.openxmlformats.org/officeDocument/2006/relationships/hyperlink" Target="http://ow.ly/heMd50xYbAM" TargetMode="External"/><Relationship Id="rId1438" Type="http://schemas.openxmlformats.org/officeDocument/2006/relationships/hyperlink" Target="http://www.paddystanleyandassociates.com" TargetMode="External"/><Relationship Id="rId2769" Type="http://schemas.openxmlformats.org/officeDocument/2006/relationships/hyperlink" Target="http://www.truenorthpsychological.com" TargetMode="External"/><Relationship Id="rId1439" Type="http://schemas.openxmlformats.org/officeDocument/2006/relationships/hyperlink" Target="http://bit.ly/Mental_Health_DerFeb18" TargetMode="External"/><Relationship Id="rId609" Type="http://schemas.openxmlformats.org/officeDocument/2006/relationships/hyperlink" Target="http://www.workwellnessuk.co.uk" TargetMode="External"/><Relationship Id="rId608" Type="http://schemas.openxmlformats.org/officeDocument/2006/relationships/hyperlink" Target="https://www.mostvaluablepd.com" TargetMode="External"/><Relationship Id="rId607" Type="http://schemas.openxmlformats.org/officeDocument/2006/relationships/hyperlink" Target="https://seizetheawkward.org" TargetMode="External"/><Relationship Id="rId602" Type="http://schemas.openxmlformats.org/officeDocument/2006/relationships/hyperlink" Target="https://mailchi.mp/ccd5ec8b547b/5stepstosuccess" TargetMode="External"/><Relationship Id="rId601" Type="http://schemas.openxmlformats.org/officeDocument/2006/relationships/hyperlink" Target="https://pbs.twimg.com/media/EOmNWiYX0AA4waQ.jpg" TargetMode="External"/><Relationship Id="rId600" Type="http://schemas.openxmlformats.org/officeDocument/2006/relationships/hyperlink" Target="http://bit.ly/2Kakxxl" TargetMode="External"/><Relationship Id="rId606" Type="http://schemas.openxmlformats.org/officeDocument/2006/relationships/hyperlink" Target="https://www.thriveglobal.com/authors/59-lisa-gallagher" TargetMode="External"/><Relationship Id="rId605" Type="http://schemas.openxmlformats.org/officeDocument/2006/relationships/hyperlink" Target="https://link.medium.com/FPfawea8HU" TargetMode="External"/><Relationship Id="rId604" Type="http://schemas.openxmlformats.org/officeDocument/2006/relationships/hyperlink" Target="http://www.socialworkinprogress.com" TargetMode="External"/><Relationship Id="rId603" Type="http://schemas.openxmlformats.org/officeDocument/2006/relationships/hyperlink" Target="https://www.washingtonpost.com/magazine/2020/01/13/what-schizophrenia-does-families-why-mental-health-system-cant-keep-up/" TargetMode="External"/><Relationship Id="rId2760" Type="http://schemas.openxmlformats.org/officeDocument/2006/relationships/hyperlink" Target="http://healthyhappy50.com" TargetMode="External"/><Relationship Id="rId1430" Type="http://schemas.openxmlformats.org/officeDocument/2006/relationships/hyperlink" Target="https://thriveworks.com/" TargetMode="External"/><Relationship Id="rId2761" Type="http://schemas.openxmlformats.org/officeDocument/2006/relationships/hyperlink" Target="http://pic.twitter.com/nQrPE6GGd2" TargetMode="External"/><Relationship Id="rId1431" Type="http://schemas.openxmlformats.org/officeDocument/2006/relationships/hyperlink" Target="https://pbs.twimg.com/media/EOlY9cXU4AA9ZzO.jpg" TargetMode="External"/><Relationship Id="rId2762" Type="http://schemas.openxmlformats.org/officeDocument/2006/relationships/hyperlink" Target="https://pbs.twimg.com/media/EOkJxOJWkAIAgNZ.jpg" TargetMode="External"/><Relationship Id="rId1432" Type="http://schemas.openxmlformats.org/officeDocument/2006/relationships/hyperlink" Target="http://connerstrongfoundation.org/" TargetMode="External"/><Relationship Id="rId2763" Type="http://schemas.openxmlformats.org/officeDocument/2006/relationships/hyperlink" Target="http://www.toddschmenk.com" TargetMode="External"/><Relationship Id="rId1422" Type="http://schemas.openxmlformats.org/officeDocument/2006/relationships/hyperlink" Target="http://facebook.com/say.christina" TargetMode="External"/><Relationship Id="rId2753" Type="http://schemas.openxmlformats.org/officeDocument/2006/relationships/hyperlink" Target="https://pbs.twimg.com/media/EOkLCkvXsAIyH6l.jpg" TargetMode="External"/><Relationship Id="rId1423" Type="http://schemas.openxmlformats.org/officeDocument/2006/relationships/hyperlink" Target="http://www.jimhawkins.co.uk" TargetMode="External"/><Relationship Id="rId2754" Type="http://schemas.openxmlformats.org/officeDocument/2006/relationships/hyperlink" Target="https://pbs.twimg.com/media/EOkKfGvW4AAr5Rd.jpg" TargetMode="External"/><Relationship Id="rId1424" Type="http://schemas.openxmlformats.org/officeDocument/2006/relationships/hyperlink" Target="https://pbs.twimg.com/media/EOlZXlDUcAIiDFg.jpg" TargetMode="External"/><Relationship Id="rId2755" Type="http://schemas.openxmlformats.org/officeDocument/2006/relationships/hyperlink" Target="https://www.instagram.com/p/B7djGTeB7r4/?igshid=pvga6xl4pedb" TargetMode="External"/><Relationship Id="rId1425" Type="http://schemas.openxmlformats.org/officeDocument/2006/relationships/hyperlink" Target="https://wearegoldenthread.wordpress.com" TargetMode="External"/><Relationship Id="rId2756" Type="http://schemas.openxmlformats.org/officeDocument/2006/relationships/hyperlink" Target="https://www.instagram.com/dudeamandafitness/" TargetMode="External"/><Relationship Id="rId1426" Type="http://schemas.openxmlformats.org/officeDocument/2006/relationships/hyperlink" Target="https://amzn.to/2O2k3Qw" TargetMode="External"/><Relationship Id="rId2757" Type="http://schemas.openxmlformats.org/officeDocument/2006/relationships/hyperlink" Target="https://twitter.com/inspirewbgroup/status/1218443071106572288" TargetMode="External"/><Relationship Id="rId1427" Type="http://schemas.openxmlformats.org/officeDocument/2006/relationships/hyperlink" Target="http://kissmediaco.com" TargetMode="External"/><Relationship Id="rId2758" Type="http://schemas.openxmlformats.org/officeDocument/2006/relationships/hyperlink" Target="https://pbs.twimg.com/media/EOjHg37WAAIw5N_.jpg" TargetMode="External"/><Relationship Id="rId1428" Type="http://schemas.openxmlformats.org/officeDocument/2006/relationships/hyperlink" Target="https://thriveworks.com/blog/schedule-first-counseling-session/" TargetMode="External"/><Relationship Id="rId2759" Type="http://schemas.openxmlformats.org/officeDocument/2006/relationships/hyperlink" Target="http://pic.twitter.com/Uh9jtFSJjM" TargetMode="External"/><Relationship Id="rId1429" Type="http://schemas.openxmlformats.org/officeDocument/2006/relationships/hyperlink" Target="https://pbs.twimg.com/media/EOlZKI1UEAAJKRj.jpg" TargetMode="External"/><Relationship Id="rId2750" Type="http://schemas.openxmlformats.org/officeDocument/2006/relationships/hyperlink" Target="http://bit.ly/35yL3Lc" TargetMode="External"/><Relationship Id="rId1420" Type="http://schemas.openxmlformats.org/officeDocument/2006/relationships/hyperlink" Target="https://twitter.com/BaDorfman/status/1218319355471155200" TargetMode="External"/><Relationship Id="rId2751" Type="http://schemas.openxmlformats.org/officeDocument/2006/relationships/hyperlink" Target="http://bit.ly/2GUbFgb" TargetMode="External"/><Relationship Id="rId1421" Type="http://schemas.openxmlformats.org/officeDocument/2006/relationships/hyperlink" Target="https://www.instagram.com/p/B7eKtXng4MH/?igshid=11q9n9q8jq2xn" TargetMode="External"/><Relationship Id="rId2752" Type="http://schemas.openxmlformats.org/officeDocument/2006/relationships/hyperlink" Target="https://pbs.twimg.com/media/EOkLJbmXkAIs6V3.jpg" TargetMode="External"/><Relationship Id="rId3238" Type="http://schemas.openxmlformats.org/officeDocument/2006/relationships/hyperlink" Target="https://www.lifeworkscommunity.com/" TargetMode="External"/><Relationship Id="rId3237" Type="http://schemas.openxmlformats.org/officeDocument/2006/relationships/hyperlink" Target="https://pbs.twimg.com/media/EOjjARYXUAIhYpV.jpg" TargetMode="External"/><Relationship Id="rId3239" Type="http://schemas.openxmlformats.org/officeDocument/2006/relationships/hyperlink" Target="https://pbs.twimg.com/media/EOji9L4X4AAEfme.jpg" TargetMode="External"/><Relationship Id="rId3230" Type="http://schemas.openxmlformats.org/officeDocument/2006/relationships/hyperlink" Target="https://pbs.twimg.com/media/EOjjgVoWoAAd6wF.jpg" TargetMode="External"/><Relationship Id="rId3232" Type="http://schemas.openxmlformats.org/officeDocument/2006/relationships/hyperlink" Target="https://uk.linkedin.com/in/pete-quinn-9a11b73" TargetMode="External"/><Relationship Id="rId3231" Type="http://schemas.openxmlformats.org/officeDocument/2006/relationships/hyperlink" Target="https://lnkd.in/ekN8Hnc" TargetMode="External"/><Relationship Id="rId3234" Type="http://schemas.openxmlformats.org/officeDocument/2006/relationships/hyperlink" Target="https://pbs.twimg.com/media/EOjjFmaXkAEWzPu.jpg" TargetMode="External"/><Relationship Id="rId3233" Type="http://schemas.openxmlformats.org/officeDocument/2006/relationships/hyperlink" Target="http://socsi.in/RQaOV" TargetMode="External"/><Relationship Id="rId3236" Type="http://schemas.openxmlformats.org/officeDocument/2006/relationships/hyperlink" Target="http://ow.ly/6ycb50xWQTM" TargetMode="External"/><Relationship Id="rId3235" Type="http://schemas.openxmlformats.org/officeDocument/2006/relationships/hyperlink" Target="http://www.salfordccg.nhs.uk" TargetMode="External"/><Relationship Id="rId3227" Type="http://schemas.openxmlformats.org/officeDocument/2006/relationships/hyperlink" Target="https://medium.com/mind-cafe/a-guide-to-creating-clear-cut-goals-610bfb88d83a" TargetMode="External"/><Relationship Id="rId3226" Type="http://schemas.openxmlformats.org/officeDocument/2006/relationships/hyperlink" Target="http://www.virginmoneygiving.com/gusbus" TargetMode="External"/><Relationship Id="rId3229" Type="http://schemas.openxmlformats.org/officeDocument/2006/relationships/hyperlink" Target="https://pbs.twimg.com/media/EOjjnhdXkAIrQD3.jpg" TargetMode="External"/><Relationship Id="rId3228" Type="http://schemas.openxmlformats.org/officeDocument/2006/relationships/hyperlink" Target="https://linktr.ee/chrisoldcorn" TargetMode="External"/><Relationship Id="rId699" Type="http://schemas.openxmlformats.org/officeDocument/2006/relationships/hyperlink" Target="https://www.cnn.com/2020/01/03/health/mental-health-2020-wellness/index.html?utm_source=feedburner&amp;utm_medium=feed&amp;utm_campaign=Feed%3A+rss%2Fcnn_health+%28RSS%3A+CNN+-+Health%29" TargetMode="External"/><Relationship Id="rId698" Type="http://schemas.openxmlformats.org/officeDocument/2006/relationships/hyperlink" Target="http://www.embracecontrolledchaos.com" TargetMode="External"/><Relationship Id="rId693" Type="http://schemas.openxmlformats.org/officeDocument/2006/relationships/hyperlink" Target="https://www.facebook.com/arttherapycredentialsboard/" TargetMode="External"/><Relationship Id="rId692" Type="http://schemas.openxmlformats.org/officeDocument/2006/relationships/hyperlink" Target="http://hritrials.com" TargetMode="External"/><Relationship Id="rId691" Type="http://schemas.openxmlformats.org/officeDocument/2006/relationships/hyperlink" Target="https://pbs.twimg.com/media/EOmGgPeWoAAO73y.jpg" TargetMode="External"/><Relationship Id="rId3221" Type="http://schemas.openxmlformats.org/officeDocument/2006/relationships/hyperlink" Target="https://www.youtube.com/channel/UCcPWnCj5AKC19HaySZjb25g" TargetMode="External"/><Relationship Id="rId690" Type="http://schemas.openxmlformats.org/officeDocument/2006/relationships/hyperlink" Target="http://bit.ly/HRIdepression" TargetMode="External"/><Relationship Id="rId3220" Type="http://schemas.openxmlformats.org/officeDocument/2006/relationships/hyperlink" Target="http://pic.twitter.com/ByaExqDmFx" TargetMode="External"/><Relationship Id="rId697" Type="http://schemas.openxmlformats.org/officeDocument/2006/relationships/hyperlink" Target="https://linktr.ee/dshorbauthor" TargetMode="External"/><Relationship Id="rId3223" Type="http://schemas.openxmlformats.org/officeDocument/2006/relationships/hyperlink" Target="http://www.jimhawkins.co.uk" TargetMode="External"/><Relationship Id="rId696" Type="http://schemas.openxmlformats.org/officeDocument/2006/relationships/hyperlink" Target="https://www.lnk.xyz/Byll3_Uqr?aduc=D3HLzY21579384302329" TargetMode="External"/><Relationship Id="rId3222" Type="http://schemas.openxmlformats.org/officeDocument/2006/relationships/hyperlink" Target="https://pbs.twimg.com/media/EOjkHLDWkAcNuU0.jpg" TargetMode="External"/><Relationship Id="rId695" Type="http://schemas.openxmlformats.org/officeDocument/2006/relationships/hyperlink" Target="http://www.bindingink.blogspot.com/" TargetMode="External"/><Relationship Id="rId3225" Type="http://schemas.openxmlformats.org/officeDocument/2006/relationships/hyperlink" Target="https://pbs.twimg.com/media/EOjjpyRWsAA5RLN.jpg" TargetMode="External"/><Relationship Id="rId694" Type="http://schemas.openxmlformats.org/officeDocument/2006/relationships/hyperlink" Target="https://pbs.twimg.com/media/EOmGWgIUcAAEMqZ.jpg" TargetMode="External"/><Relationship Id="rId3224" Type="http://schemas.openxmlformats.org/officeDocument/2006/relationships/hyperlink" Target="https://pbs.twimg.com/media/EOjkEYiWsAAwzb7.jpg" TargetMode="External"/><Relationship Id="rId3259" Type="http://schemas.openxmlformats.org/officeDocument/2006/relationships/hyperlink" Target="https://mixer.com/StoneyJames" TargetMode="External"/><Relationship Id="rId3250" Type="http://schemas.openxmlformats.org/officeDocument/2006/relationships/hyperlink" Target="https://pbs.twimg.com/media/EOji2-YXsAU4r0y.jpg" TargetMode="External"/><Relationship Id="rId3252" Type="http://schemas.openxmlformats.org/officeDocument/2006/relationships/hyperlink" Target="https://hubs.ly/H0mDxh20" TargetMode="External"/><Relationship Id="rId3251" Type="http://schemas.openxmlformats.org/officeDocument/2006/relationships/hyperlink" Target="http://www.birminghamandsolihullccg.nhs.uk" TargetMode="External"/><Relationship Id="rId3254" Type="http://schemas.openxmlformats.org/officeDocument/2006/relationships/hyperlink" Target="http://www.silvercloudhealth.com" TargetMode="External"/><Relationship Id="rId3253" Type="http://schemas.openxmlformats.org/officeDocument/2006/relationships/hyperlink" Target="https://pbs.twimg.com/media/EOji1BAW4AEtyVC.jpg" TargetMode="External"/><Relationship Id="rId3256" Type="http://schemas.openxmlformats.org/officeDocument/2006/relationships/hyperlink" Target="http://www.squuad.org" TargetMode="External"/><Relationship Id="rId3255" Type="http://schemas.openxmlformats.org/officeDocument/2006/relationships/hyperlink" Target="https://pbs.twimg.com/media/EOjiszaVAAAMw6y.jpg" TargetMode="External"/><Relationship Id="rId3258" Type="http://schemas.openxmlformats.org/officeDocument/2006/relationships/hyperlink" Target="https://pbs.twimg.com/media/EOjimAIX0AA_-Nz.jpg" TargetMode="External"/><Relationship Id="rId3257" Type="http://schemas.openxmlformats.org/officeDocument/2006/relationships/hyperlink" Target="https://pbs.twimg.com/media/EOjimchX0AEk2ai.jpg" TargetMode="External"/><Relationship Id="rId3249" Type="http://schemas.openxmlformats.org/officeDocument/2006/relationships/hyperlink" Target="https://bit.ly/3aomzIj" TargetMode="External"/><Relationship Id="rId3248" Type="http://schemas.openxmlformats.org/officeDocument/2006/relationships/hyperlink" Target="http://www.cwmt.org.uk" TargetMode="External"/><Relationship Id="rId3241" Type="http://schemas.openxmlformats.org/officeDocument/2006/relationships/hyperlink" Target="http://www.sportsidehq.com" TargetMode="External"/><Relationship Id="rId3240" Type="http://schemas.openxmlformats.org/officeDocument/2006/relationships/hyperlink" Target="http://ow.ly/HTEU50xXSKL" TargetMode="External"/><Relationship Id="rId3243" Type="http://schemas.openxmlformats.org/officeDocument/2006/relationships/hyperlink" Target="http://drjenkinsunts.wordpress.com" TargetMode="External"/><Relationship Id="rId3242" Type="http://schemas.openxmlformats.org/officeDocument/2006/relationships/hyperlink" Target="https://pbs.twimg.com/media/EOji52UW4AAh0be.jpg" TargetMode="External"/><Relationship Id="rId3245" Type="http://schemas.openxmlformats.org/officeDocument/2006/relationships/hyperlink" Target="http://pic.twitter.com/xerUc2VAPd" TargetMode="External"/><Relationship Id="rId3244" Type="http://schemas.openxmlformats.org/officeDocument/2006/relationships/hyperlink" Target="https://www.labmate-online.com/news/news-and-views/5/breaking-news/science-in-the-2010s-neuroscience/51045" TargetMode="External"/><Relationship Id="rId3247" Type="http://schemas.openxmlformats.org/officeDocument/2006/relationships/hyperlink" Target="https://pbs.twimg.com/media/EOji3OUWoAEcf5H.jpg" TargetMode="External"/><Relationship Id="rId3246" Type="http://schemas.openxmlformats.org/officeDocument/2006/relationships/hyperlink" Target="http://www.labmate-online.com" TargetMode="External"/><Relationship Id="rId1499" Type="http://schemas.openxmlformats.org/officeDocument/2006/relationships/hyperlink" Target="http://www.mentalhealthspeaker.pro" TargetMode="External"/><Relationship Id="rId668" Type="http://schemas.openxmlformats.org/officeDocument/2006/relationships/hyperlink" Target="https://pbs.twimg.com/media/EOmHpPkVAAAMp1Y.jpg" TargetMode="External"/><Relationship Id="rId667" Type="http://schemas.openxmlformats.org/officeDocument/2006/relationships/hyperlink" Target="http://bit.ly/2ugiRzv" TargetMode="External"/><Relationship Id="rId666" Type="http://schemas.openxmlformats.org/officeDocument/2006/relationships/hyperlink" Target="https://www.thriveglobal.com/authors/59-lisa-gallagher" TargetMode="External"/><Relationship Id="rId665" Type="http://schemas.openxmlformats.org/officeDocument/2006/relationships/hyperlink" Target="https://twitter.com/i/web/status/1102490357416321024" TargetMode="External"/><Relationship Id="rId669" Type="http://schemas.openxmlformats.org/officeDocument/2006/relationships/hyperlink" Target="http://www.mercer.ca" TargetMode="External"/><Relationship Id="rId1490" Type="http://schemas.openxmlformats.org/officeDocument/2006/relationships/hyperlink" Target="https://pbs.twimg.com/media/EOlWsDiVUAUSSt5.jpg" TargetMode="External"/><Relationship Id="rId660" Type="http://schemas.openxmlformats.org/officeDocument/2006/relationships/hyperlink" Target="http://linktr.ee/DevonJhall" TargetMode="External"/><Relationship Id="rId1491" Type="http://schemas.openxmlformats.org/officeDocument/2006/relationships/hyperlink" Target="https://twitter.com/TalkOutLoud_/status/1218587896007053315" TargetMode="External"/><Relationship Id="rId1492" Type="http://schemas.openxmlformats.org/officeDocument/2006/relationships/hyperlink" Target="https://pbs.twimg.com/media/EOlLNjRX4AAsZlv.jpg" TargetMode="External"/><Relationship Id="rId1493" Type="http://schemas.openxmlformats.org/officeDocument/2006/relationships/hyperlink" Target="http://dramybowers.com" TargetMode="External"/><Relationship Id="rId1494" Type="http://schemas.openxmlformats.org/officeDocument/2006/relationships/hyperlink" Target="http://www.medium.com/@frankieharlow" TargetMode="External"/><Relationship Id="rId664" Type="http://schemas.openxmlformats.org/officeDocument/2006/relationships/hyperlink" Target="https://ryanpainter.nationbuilder.com/" TargetMode="External"/><Relationship Id="rId1495" Type="http://schemas.openxmlformats.org/officeDocument/2006/relationships/hyperlink" Target="https://www.theglobeandmail.com/canada/article-half-of-canadians-have-too-few-local-psychiatrists-or-none-at-all/?utm_medium=Referrer:+Social+Network+/+Media&amp;utm_campaign=Shared+Web+Article+Links" TargetMode="External"/><Relationship Id="rId663" Type="http://schemas.openxmlformats.org/officeDocument/2006/relationships/hyperlink" Target="https://www.theglobeandmail.com/canada/article-half-of-canadians-have-too-few-local-psychiatrists-or-none-at-all/" TargetMode="External"/><Relationship Id="rId1496" Type="http://schemas.openxmlformats.org/officeDocument/2006/relationships/hyperlink" Target="https://www.ncbi.nlm.nih.gov/pubmed/30658278/" TargetMode="External"/><Relationship Id="rId662" Type="http://schemas.openxmlformats.org/officeDocument/2006/relationships/hyperlink" Target="http://www.therockspa.com" TargetMode="External"/><Relationship Id="rId1497" Type="http://schemas.openxmlformats.org/officeDocument/2006/relationships/hyperlink" Target="http://www.ketka.co.uk" TargetMode="External"/><Relationship Id="rId661" Type="http://schemas.openxmlformats.org/officeDocument/2006/relationships/hyperlink" Target="https://buff.ly/2P6IybP" TargetMode="External"/><Relationship Id="rId1498" Type="http://schemas.openxmlformats.org/officeDocument/2006/relationships/hyperlink" Target="http://www.fionlaw16.wixsite.com/mysite" TargetMode="External"/><Relationship Id="rId1488" Type="http://schemas.openxmlformats.org/officeDocument/2006/relationships/hyperlink" Target="http://thegenderlesswitch.tumblr.com" TargetMode="External"/><Relationship Id="rId1489" Type="http://schemas.openxmlformats.org/officeDocument/2006/relationships/hyperlink" Target="https://pbs.twimg.com/media/EOlWvgNWkAEnHek.jpg" TargetMode="External"/><Relationship Id="rId657" Type="http://schemas.openxmlformats.org/officeDocument/2006/relationships/hyperlink" Target="https://pbs.twimg.com/media/EOmIkeXUEAELoQz.jpg" TargetMode="External"/><Relationship Id="rId656" Type="http://schemas.openxmlformats.org/officeDocument/2006/relationships/hyperlink" Target="https://pbs.twimg.com/media/EOmIwU_WAAYjvjK.jpg" TargetMode="External"/><Relationship Id="rId655" Type="http://schemas.openxmlformats.org/officeDocument/2006/relationships/hyperlink" Target="http://www.justgiving.com/fundraising/1000MindMiles" TargetMode="External"/><Relationship Id="rId654" Type="http://schemas.openxmlformats.org/officeDocument/2006/relationships/hyperlink" Target="https://pbs.twimg.com/media/EOk4zTSX4AUcoEL.jpg" TargetMode="External"/><Relationship Id="rId659" Type="http://schemas.openxmlformats.org/officeDocument/2006/relationships/hyperlink" Target="https://news.sky.com/story/call-for-all-new-fathers-to-be-routinely-checked-for-post-natal-depression-11911277" TargetMode="External"/><Relationship Id="rId658" Type="http://schemas.openxmlformats.org/officeDocument/2006/relationships/hyperlink" Target="http://vsco.co/celinel98" TargetMode="External"/><Relationship Id="rId1480" Type="http://schemas.openxmlformats.org/officeDocument/2006/relationships/hyperlink" Target="http://bit.ly/2RxMLYf" TargetMode="External"/><Relationship Id="rId1481" Type="http://schemas.openxmlformats.org/officeDocument/2006/relationships/hyperlink" Target="https://twitter.com/MindfulEveryday/status/1218284467984510976" TargetMode="External"/><Relationship Id="rId1482" Type="http://schemas.openxmlformats.org/officeDocument/2006/relationships/hyperlink" Target="https://www.entrepreneur.com/article/340746" TargetMode="External"/><Relationship Id="rId1483" Type="http://schemas.openxmlformats.org/officeDocument/2006/relationships/hyperlink" Target="http://www.thecraigengroup.com" TargetMode="External"/><Relationship Id="rId653" Type="http://schemas.openxmlformats.org/officeDocument/2006/relationships/hyperlink" Target="https://twitter.com/ppact/status/1218567756989243399" TargetMode="External"/><Relationship Id="rId1484" Type="http://schemas.openxmlformats.org/officeDocument/2006/relationships/hyperlink" Target="http://instagram.com/shaka.brown" TargetMode="External"/><Relationship Id="rId652" Type="http://schemas.openxmlformats.org/officeDocument/2006/relationships/hyperlink" Target="https://pbs.twimg.com/media/ENwP1RwXUAAutdk.jpg" TargetMode="External"/><Relationship Id="rId1485" Type="http://schemas.openxmlformats.org/officeDocument/2006/relationships/hyperlink" Target="https://www.instagram.com/p/B7eJS7VFPHB/?igshid=l0lbb4p93ogz" TargetMode="External"/><Relationship Id="rId651" Type="http://schemas.openxmlformats.org/officeDocument/2006/relationships/hyperlink" Target="http://www.bit.ly/2FyTcq4" TargetMode="External"/><Relationship Id="rId1486" Type="http://schemas.openxmlformats.org/officeDocument/2006/relationships/hyperlink" Target="http://www.sunriseacademytx.com" TargetMode="External"/><Relationship Id="rId650" Type="http://schemas.openxmlformats.org/officeDocument/2006/relationships/hyperlink" Target="https://pbs.twimg.com/media/EOSZ3bvXUAA4UFd.jpg" TargetMode="External"/><Relationship Id="rId1487" Type="http://schemas.openxmlformats.org/officeDocument/2006/relationships/hyperlink" Target="http://pic.twitter.com/5mvq0t2eAg" TargetMode="External"/><Relationship Id="rId3216" Type="http://schemas.openxmlformats.org/officeDocument/2006/relationships/hyperlink" Target="https://pbs.twimg.com/media/EOjkvg-WsAAr8XI.jpg" TargetMode="External"/><Relationship Id="rId3215" Type="http://schemas.openxmlformats.org/officeDocument/2006/relationships/hyperlink" Target="http://whatmakesyoutick.net" TargetMode="External"/><Relationship Id="rId3218" Type="http://schemas.openxmlformats.org/officeDocument/2006/relationships/hyperlink" Target="https://www.mariagaian.com" TargetMode="External"/><Relationship Id="rId3217" Type="http://schemas.openxmlformats.org/officeDocument/2006/relationships/hyperlink" Target="https://pbs.twimg.com/media/EOjkdbpU4AAGfv5.jpg" TargetMode="External"/><Relationship Id="rId3219" Type="http://schemas.openxmlformats.org/officeDocument/2006/relationships/hyperlink" Target="https://pbs.twimg.com/media/EOjkV-3X4AAxsfD.jpg" TargetMode="External"/><Relationship Id="rId689" Type="http://schemas.openxmlformats.org/officeDocument/2006/relationships/hyperlink" Target="http://colbypearce.net" TargetMode="External"/><Relationship Id="rId688" Type="http://schemas.openxmlformats.org/officeDocument/2006/relationships/hyperlink" Target="https://colbypearce.net/2020/01/16/option-of-last-report-providing-therapy-to-deeply-troubled-young-people/" TargetMode="External"/><Relationship Id="rId687" Type="http://schemas.openxmlformats.org/officeDocument/2006/relationships/hyperlink" Target="http://www.australialatestnews.com" TargetMode="External"/><Relationship Id="rId682" Type="http://schemas.openxmlformats.org/officeDocument/2006/relationships/hyperlink" Target="https://www.mdedge.com/chestphysician/article/215746/pulmonology/cannabis-users-struggle-quit-cigarettes" TargetMode="External"/><Relationship Id="rId681" Type="http://schemas.openxmlformats.org/officeDocument/2006/relationships/hyperlink" Target="https://pdmstrong.wordpress.com" TargetMode="External"/><Relationship Id="rId680" Type="http://schemas.openxmlformats.org/officeDocument/2006/relationships/hyperlink" Target="https://pdmstrong.wordpress.com" TargetMode="External"/><Relationship Id="rId3210" Type="http://schemas.openxmlformats.org/officeDocument/2006/relationships/hyperlink" Target="https://www.theaustralian.com.au/inquirer/beyond-our-suburban-backyard/news-story/c570b8a3ec036efb221af5cd21e24948" TargetMode="External"/><Relationship Id="rId686" Type="http://schemas.openxmlformats.org/officeDocument/2006/relationships/hyperlink" Target="https://pbs.twimg.com/media/EOmG88WUYAATEmf.jpg" TargetMode="External"/><Relationship Id="rId3212" Type="http://schemas.openxmlformats.org/officeDocument/2006/relationships/hyperlink" Target="https://pbs.twimg.com/media/EOjkvl2W4AE3ZLf.jpg" TargetMode="External"/><Relationship Id="rId685" Type="http://schemas.openxmlformats.org/officeDocument/2006/relationships/hyperlink" Target="http://australialatestnews.com" TargetMode="External"/><Relationship Id="rId3211" Type="http://schemas.openxmlformats.org/officeDocument/2006/relationships/hyperlink" Target="https://amzn.to/2OhWK5J" TargetMode="External"/><Relationship Id="rId684" Type="http://schemas.openxmlformats.org/officeDocument/2006/relationships/hyperlink" Target="http://australialatestnews.com" TargetMode="External"/><Relationship Id="rId3214" Type="http://schemas.openxmlformats.org/officeDocument/2006/relationships/hyperlink" Target="https://www.instagram.com/p/B7dQPIPHWNX/?igshid=1y04guwrs5t3f" TargetMode="External"/><Relationship Id="rId683" Type="http://schemas.openxmlformats.org/officeDocument/2006/relationships/hyperlink" Target="https://www.facebook.com/DrCasyLPCS/" TargetMode="External"/><Relationship Id="rId3213" Type="http://schemas.openxmlformats.org/officeDocument/2006/relationships/hyperlink" Target="https://amzn.to/2O2k3Qw" TargetMode="External"/><Relationship Id="rId3205" Type="http://schemas.openxmlformats.org/officeDocument/2006/relationships/hyperlink" Target="https://lght.ly/86k1c0" TargetMode="External"/><Relationship Id="rId3204" Type="http://schemas.openxmlformats.org/officeDocument/2006/relationships/hyperlink" Target="https://pbs.twimg.com/media/EOjlxtOX0AAMkdu.jpg" TargetMode="External"/><Relationship Id="rId3207" Type="http://schemas.openxmlformats.org/officeDocument/2006/relationships/hyperlink" Target="http://www.carersupportdorset.co.uk" TargetMode="External"/><Relationship Id="rId3206" Type="http://schemas.openxmlformats.org/officeDocument/2006/relationships/hyperlink" Target="https://pbs.twimg.com/media/EOjlTIlW4AAmcQJ.jpg" TargetMode="External"/><Relationship Id="rId3209" Type="http://schemas.openxmlformats.org/officeDocument/2006/relationships/hyperlink" Target="http://www.jbullockenterprises.com" TargetMode="External"/><Relationship Id="rId3208" Type="http://schemas.openxmlformats.org/officeDocument/2006/relationships/hyperlink" Target="https://pbs.twimg.com/media/EOjlBCUWsAI4rk8.jpg" TargetMode="External"/><Relationship Id="rId679" Type="http://schemas.openxmlformats.org/officeDocument/2006/relationships/hyperlink" Target="https://link.medium.com/vh4w09Dlm3" TargetMode="External"/><Relationship Id="rId678" Type="http://schemas.openxmlformats.org/officeDocument/2006/relationships/hyperlink" Target="https://pbs.twimg.com/media/EOmHR1ZX4AAG5ne.jpg" TargetMode="External"/><Relationship Id="rId677" Type="http://schemas.openxmlformats.org/officeDocument/2006/relationships/hyperlink" Target="http://bit.ly/2KfOfkG" TargetMode="External"/><Relationship Id="rId676" Type="http://schemas.openxmlformats.org/officeDocument/2006/relationships/hyperlink" Target="http://bit.ly/38nVV0j" TargetMode="External"/><Relationship Id="rId671" Type="http://schemas.openxmlformats.org/officeDocument/2006/relationships/hyperlink" Target="http://justtwomates.life" TargetMode="External"/><Relationship Id="rId670" Type="http://schemas.openxmlformats.org/officeDocument/2006/relationships/hyperlink" Target="https://pbs.twimg.com/media/EOmHoBHVAAI3zqL.png" TargetMode="External"/><Relationship Id="rId675" Type="http://schemas.openxmlformats.org/officeDocument/2006/relationships/hyperlink" Target="https://aninconvenientrelative.blogspot.com/" TargetMode="External"/><Relationship Id="rId3201" Type="http://schemas.openxmlformats.org/officeDocument/2006/relationships/hyperlink" Target="http://pic.twitter.com/XlA1A5a2Fa" TargetMode="External"/><Relationship Id="rId674" Type="http://schemas.openxmlformats.org/officeDocument/2006/relationships/hyperlink" Target="https://aninconvenientrelative.blogspot.com/2020/01/are-you-narcissist.html" TargetMode="External"/><Relationship Id="rId3200" Type="http://schemas.openxmlformats.org/officeDocument/2006/relationships/hyperlink" Target="http://weforum.org/agenda/2020/01/the-gift-of-mental-health-how-to-offer-it-for-free" TargetMode="External"/><Relationship Id="rId673" Type="http://schemas.openxmlformats.org/officeDocument/2006/relationships/hyperlink" Target="http://www.connetica.com.au" TargetMode="External"/><Relationship Id="rId3203" Type="http://schemas.openxmlformats.org/officeDocument/2006/relationships/hyperlink" Target="http://www.philippacates.com" TargetMode="External"/><Relationship Id="rId672" Type="http://schemas.openxmlformats.org/officeDocument/2006/relationships/hyperlink" Target="https://thenewdaily.com.au/news/national/2020/01/18/countless-bushfire-inquiries/" TargetMode="External"/><Relationship Id="rId3202" Type="http://schemas.openxmlformats.org/officeDocument/2006/relationships/hyperlink" Target="http://unitedgmh.org" TargetMode="External"/><Relationship Id="rId190" Type="http://schemas.openxmlformats.org/officeDocument/2006/relationships/hyperlink" Target="http://theawkwardarmadillo.com/" TargetMode="External"/><Relationship Id="rId194" Type="http://schemas.openxmlformats.org/officeDocument/2006/relationships/hyperlink" Target="http://www.melissagriffiths.com.au" TargetMode="External"/><Relationship Id="rId193" Type="http://schemas.openxmlformats.org/officeDocument/2006/relationships/hyperlink" Target="https://www.linkedin.com/pulse/mental-health-child-teenager-adult-parent-melissa-griffiths" TargetMode="External"/><Relationship Id="rId192" Type="http://schemas.openxmlformats.org/officeDocument/2006/relationships/hyperlink" Target="https://ines-iturbide.com" TargetMode="External"/><Relationship Id="rId191" Type="http://schemas.openxmlformats.org/officeDocument/2006/relationships/hyperlink" Target="https://getinkspired.com/story/84326/pages-by-paige" TargetMode="External"/><Relationship Id="rId187" Type="http://schemas.openxmlformats.org/officeDocument/2006/relationships/hyperlink" Target="https://pbs.twimg.com/media/EOm3sjFUcAEM2d1.jpg" TargetMode="External"/><Relationship Id="rId186" Type="http://schemas.openxmlformats.org/officeDocument/2006/relationships/hyperlink" Target="https://app.wysa.io/install" TargetMode="External"/><Relationship Id="rId185" Type="http://schemas.openxmlformats.org/officeDocument/2006/relationships/hyperlink" Target="http://jayhollingshed.com" TargetMode="External"/><Relationship Id="rId184" Type="http://schemas.openxmlformats.org/officeDocument/2006/relationships/hyperlink" Target="https://pbs.twimg.com/media/EOm35stX0AAUH9C.jpg" TargetMode="External"/><Relationship Id="rId189" Type="http://schemas.openxmlformats.org/officeDocument/2006/relationships/hyperlink" Target="https://theawkwardarmadillo.com/memory-of-the-lost/" TargetMode="External"/><Relationship Id="rId188" Type="http://schemas.openxmlformats.org/officeDocument/2006/relationships/hyperlink" Target="https://app.wysa.io/install" TargetMode="External"/><Relationship Id="rId183" Type="http://schemas.openxmlformats.org/officeDocument/2006/relationships/hyperlink" Target="http://clearviewwomenscenter.com" TargetMode="External"/><Relationship Id="rId182" Type="http://schemas.openxmlformats.org/officeDocument/2006/relationships/hyperlink" Target="https://bit.ly/2TvlEQ7" TargetMode="External"/><Relationship Id="rId181" Type="http://schemas.openxmlformats.org/officeDocument/2006/relationships/hyperlink" Target="http://www.twitch.tv/bloodmoonlilin" TargetMode="External"/><Relationship Id="rId180" Type="http://schemas.openxmlformats.org/officeDocument/2006/relationships/hyperlink" Target="https://twitch.tv/bloodmoonlilin" TargetMode="External"/><Relationship Id="rId176" Type="http://schemas.openxmlformats.org/officeDocument/2006/relationships/hyperlink" Target="http://website-pace.net/documents/19855/5665827/20190513-EndingCoercion-EN.pdf/4aa0c891-3353-41af-8a24-f968e0d1b135" TargetMode="External"/><Relationship Id="rId175" Type="http://schemas.openxmlformats.org/officeDocument/2006/relationships/hyperlink" Target="https://memoirreveal.wixsite.com/debbie/msg-to-leos" TargetMode="External"/><Relationship Id="rId174" Type="http://schemas.openxmlformats.org/officeDocument/2006/relationships/hyperlink" Target="https://twitter.com/Genoveseclan73/status/1167589585804615681" TargetMode="External"/><Relationship Id="rId173" Type="http://schemas.openxmlformats.org/officeDocument/2006/relationships/hyperlink" Target="http://friendsofthesemelinstitute.org" TargetMode="External"/><Relationship Id="rId179" Type="http://schemas.openxmlformats.org/officeDocument/2006/relationships/hyperlink" Target="http://instagram.com/tonys_creatures" TargetMode="External"/><Relationship Id="rId178" Type="http://schemas.openxmlformats.org/officeDocument/2006/relationships/hyperlink" Target="http://www.consultinghealth.com/" TargetMode="External"/><Relationship Id="rId177" Type="http://schemas.openxmlformats.org/officeDocument/2006/relationships/hyperlink" Target="http://psy.pub/1jnqsxr" TargetMode="External"/><Relationship Id="rId198" Type="http://schemas.openxmlformats.org/officeDocument/2006/relationships/hyperlink" Target="http://undinestudios.com" TargetMode="External"/><Relationship Id="rId197" Type="http://schemas.openxmlformats.org/officeDocument/2006/relationships/hyperlink" Target="http://www.drgilda.com" TargetMode="External"/><Relationship Id="rId196" Type="http://schemas.openxmlformats.org/officeDocument/2006/relationships/hyperlink" Target="http://pic.twitter.com/sp5UnKcOCD" TargetMode="External"/><Relationship Id="rId195" Type="http://schemas.openxmlformats.org/officeDocument/2006/relationships/hyperlink" Target="http://bit.ly/2u9fRFo" TargetMode="External"/><Relationship Id="rId199" Type="http://schemas.openxmlformats.org/officeDocument/2006/relationships/hyperlink" Target="http://bit.ly/3anSUyN" TargetMode="External"/><Relationship Id="rId150" Type="http://schemas.openxmlformats.org/officeDocument/2006/relationships/hyperlink" Target="http://zpr.io/thSZw" TargetMode="External"/><Relationship Id="rId149" Type="http://schemas.openxmlformats.org/officeDocument/2006/relationships/hyperlink" Target="https://pdmstrong.wordpress.com" TargetMode="External"/><Relationship Id="rId148" Type="http://schemas.openxmlformats.org/officeDocument/2006/relationships/hyperlink" Target="https://pdmstrong.wordpress.com" TargetMode="External"/><Relationship Id="rId3270" Type="http://schemas.openxmlformats.org/officeDocument/2006/relationships/hyperlink" Target="http://www.thebraincollective.c.uk" TargetMode="External"/><Relationship Id="rId3272" Type="http://schemas.openxmlformats.org/officeDocument/2006/relationships/hyperlink" Target="https://pbs.twimg.com/media/EOjf305XkAAp2ej.jpg" TargetMode="External"/><Relationship Id="rId3271" Type="http://schemas.openxmlformats.org/officeDocument/2006/relationships/hyperlink" Target="http://www.sunriseacademytx.com" TargetMode="External"/><Relationship Id="rId143" Type="http://schemas.openxmlformats.org/officeDocument/2006/relationships/hyperlink" Target="https://pbs.twimg.com/media/EOYUgIKUcAAKRKS.jpg" TargetMode="External"/><Relationship Id="rId3274" Type="http://schemas.openxmlformats.org/officeDocument/2006/relationships/hyperlink" Target="http://pic.twitter.com/KXE0J9nPb6" TargetMode="External"/><Relationship Id="rId142" Type="http://schemas.openxmlformats.org/officeDocument/2006/relationships/hyperlink" Target="https://twitter.com/msmaynes/status/1217683298656210946" TargetMode="External"/><Relationship Id="rId3273" Type="http://schemas.openxmlformats.org/officeDocument/2006/relationships/hyperlink" Target="https://bit.ly/2AX1TXa" TargetMode="External"/><Relationship Id="rId141" Type="http://schemas.openxmlformats.org/officeDocument/2006/relationships/hyperlink" Target="http://www.brownelawoffice.ca" TargetMode="External"/><Relationship Id="rId3276" Type="http://schemas.openxmlformats.org/officeDocument/2006/relationships/hyperlink" Target="http://www.jumpersforgoalposts.ie" TargetMode="External"/><Relationship Id="rId140" Type="http://schemas.openxmlformats.org/officeDocument/2006/relationships/hyperlink" Target="https://pbs.twimg.com/media/EOeWzYcWAAA4P1V.jpg" TargetMode="External"/><Relationship Id="rId3275" Type="http://schemas.openxmlformats.org/officeDocument/2006/relationships/hyperlink" Target="https://pbs.twimg.com/media/EOjfcrhWkAA6ced.jpg" TargetMode="External"/><Relationship Id="rId147" Type="http://schemas.openxmlformats.org/officeDocument/2006/relationships/hyperlink" Target="https://www.youtube.com/c/WizardWay" TargetMode="External"/><Relationship Id="rId3278" Type="http://schemas.openxmlformats.org/officeDocument/2006/relationships/hyperlink" Target="http://www.thoughtswithn.com" TargetMode="External"/><Relationship Id="rId146" Type="http://schemas.openxmlformats.org/officeDocument/2006/relationships/hyperlink" Target="https://twitch.tv/WizardWayKris" TargetMode="External"/><Relationship Id="rId3277" Type="http://schemas.openxmlformats.org/officeDocument/2006/relationships/hyperlink" Target="https://thoughtswithn.com/20-years-of-hate/" TargetMode="External"/><Relationship Id="rId145" Type="http://schemas.openxmlformats.org/officeDocument/2006/relationships/hyperlink" Target="http://www.dreampositive.info/" TargetMode="External"/><Relationship Id="rId144" Type="http://schemas.openxmlformats.org/officeDocument/2006/relationships/hyperlink" Target="http://psy.pub/1kbPf6l" TargetMode="External"/><Relationship Id="rId3279" Type="http://schemas.openxmlformats.org/officeDocument/2006/relationships/hyperlink" Target="https://www.facebook.com/DADSINMIND/" TargetMode="External"/><Relationship Id="rId139" Type="http://schemas.openxmlformats.org/officeDocument/2006/relationships/hyperlink" Target="http://www.madewithlove99.wordpress.com" TargetMode="External"/><Relationship Id="rId138" Type="http://schemas.openxmlformats.org/officeDocument/2006/relationships/hyperlink" Target="https://madewithlove99.wordpress.com/2020/01/12/burnout-vs-depression" TargetMode="External"/><Relationship Id="rId137" Type="http://schemas.openxmlformats.org/officeDocument/2006/relationships/hyperlink" Target="http://www.efficientgov.com" TargetMode="External"/><Relationship Id="rId3261" Type="http://schemas.openxmlformats.org/officeDocument/2006/relationships/hyperlink" Target="http://lavidayogauk.net" TargetMode="External"/><Relationship Id="rId3260" Type="http://schemas.openxmlformats.org/officeDocument/2006/relationships/hyperlink" Target="http://pic.twitter.com/nS9B0M8cKK" TargetMode="External"/><Relationship Id="rId132" Type="http://schemas.openxmlformats.org/officeDocument/2006/relationships/hyperlink" Target="https://vero.co/doctorflorinsandu" TargetMode="External"/><Relationship Id="rId3263" Type="http://schemas.openxmlformats.org/officeDocument/2006/relationships/hyperlink" Target="https://trib.al/rAE0G26" TargetMode="External"/><Relationship Id="rId131" Type="http://schemas.openxmlformats.org/officeDocument/2006/relationships/hyperlink" Target="http://pic.twitter.com/64jMcjrKy2" TargetMode="External"/><Relationship Id="rId3262" Type="http://schemas.openxmlformats.org/officeDocument/2006/relationships/hyperlink" Target="https://pbs.twimg.com/media/EOjhuTZXsAInH2L.jpg" TargetMode="External"/><Relationship Id="rId130" Type="http://schemas.openxmlformats.org/officeDocument/2006/relationships/hyperlink" Target="https://www.calmmoment.com/wellbeing/how-to-overcome-your-fears-and-move-on/" TargetMode="External"/><Relationship Id="rId3265" Type="http://schemas.openxmlformats.org/officeDocument/2006/relationships/hyperlink" Target="https://pbs.twimg.com/media/EOjhfnXWkAAtccI.jpg" TargetMode="External"/><Relationship Id="rId3264" Type="http://schemas.openxmlformats.org/officeDocument/2006/relationships/hyperlink" Target="https://m.facebook.com/TalkAboutItSF/" TargetMode="External"/><Relationship Id="rId136" Type="http://schemas.openxmlformats.org/officeDocument/2006/relationships/hyperlink" Target="https://pbs.twimg.com/media/EOm-kPCU4AAWeOR.jpg" TargetMode="External"/><Relationship Id="rId3267" Type="http://schemas.openxmlformats.org/officeDocument/2006/relationships/hyperlink" Target="http://pic.twitter.com/jtCnb0d4AD" TargetMode="External"/><Relationship Id="rId135" Type="http://schemas.openxmlformats.org/officeDocument/2006/relationships/hyperlink" Target="https://buff.ly/2R6FJL9" TargetMode="External"/><Relationship Id="rId3266" Type="http://schemas.openxmlformats.org/officeDocument/2006/relationships/hyperlink" Target="https://ctcps.co.uk/" TargetMode="External"/><Relationship Id="rId134" Type="http://schemas.openxmlformats.org/officeDocument/2006/relationships/hyperlink" Target="https://pbs.twimg.com/media/EOm-79KX4AAaWSk.jpg" TargetMode="External"/><Relationship Id="rId3269" Type="http://schemas.openxmlformats.org/officeDocument/2006/relationships/hyperlink" Target="https://qoo.ly/33whpj" TargetMode="External"/><Relationship Id="rId133" Type="http://schemas.openxmlformats.org/officeDocument/2006/relationships/hyperlink" Target="https://www.facebook.com/darkangelik" TargetMode="External"/><Relationship Id="rId3268" Type="http://schemas.openxmlformats.org/officeDocument/2006/relationships/hyperlink" Target="https://pbs.twimg.com/media/EOjg4hjW4AEsmUO.jpg" TargetMode="External"/><Relationship Id="rId172" Type="http://schemas.openxmlformats.org/officeDocument/2006/relationships/hyperlink" Target="https://www.npr.org/2020/01/14/795329574/how-puberty-pregnancy-and-perimenopause-impact-womens-mental-health" TargetMode="External"/><Relationship Id="rId171" Type="http://schemas.openxmlformats.org/officeDocument/2006/relationships/hyperlink" Target="https://vivianaluna111.tumblr.com" TargetMode="External"/><Relationship Id="rId170" Type="http://schemas.openxmlformats.org/officeDocument/2006/relationships/hyperlink" Target="https://pbs.twimg.com/media/EOm6DiyUwAAF0vB.jpg" TargetMode="External"/><Relationship Id="rId3290" Type="http://schemas.openxmlformats.org/officeDocument/2006/relationships/hyperlink" Target="http://www.abctales.com/user/markihlogie" TargetMode="External"/><Relationship Id="rId3292" Type="http://schemas.openxmlformats.org/officeDocument/2006/relationships/hyperlink" Target="http://ryanshorthouse.com" TargetMode="External"/><Relationship Id="rId3291" Type="http://schemas.openxmlformats.org/officeDocument/2006/relationships/hyperlink" Target="https://brightblue.org.uk/social-media-podcast-2020/" TargetMode="External"/><Relationship Id="rId3294" Type="http://schemas.openxmlformats.org/officeDocument/2006/relationships/hyperlink" Target="https://pbs.twimg.com/media/EOjeQeKWAAIaL0P.jpg" TargetMode="External"/><Relationship Id="rId3293" Type="http://schemas.openxmlformats.org/officeDocument/2006/relationships/hyperlink" Target="https://bit.ly/2Hf8gJ7" TargetMode="External"/><Relationship Id="rId165" Type="http://schemas.openxmlformats.org/officeDocument/2006/relationships/hyperlink" Target="http://dlvr.it/RNJvhQ" TargetMode="External"/><Relationship Id="rId3296" Type="http://schemas.openxmlformats.org/officeDocument/2006/relationships/hyperlink" Target="https://pbs.twimg.com/media/EOjd-p5XUAEa0tF.jpg" TargetMode="External"/><Relationship Id="rId164" Type="http://schemas.openxmlformats.org/officeDocument/2006/relationships/hyperlink" Target="http://www.ideal-life-experience.ca/" TargetMode="External"/><Relationship Id="rId3295" Type="http://schemas.openxmlformats.org/officeDocument/2006/relationships/hyperlink" Target="http://www.activenation.org.uk" TargetMode="External"/><Relationship Id="rId163" Type="http://schemas.openxmlformats.org/officeDocument/2006/relationships/hyperlink" Target="http://geni.us/BrokenPlacesP" TargetMode="External"/><Relationship Id="rId3298" Type="http://schemas.openxmlformats.org/officeDocument/2006/relationships/hyperlink" Target="https://pbs.twimg.com/media/EOfrPBSW4AAbtBy.jpg" TargetMode="External"/><Relationship Id="rId162" Type="http://schemas.openxmlformats.org/officeDocument/2006/relationships/hyperlink" Target="https://pbs.twimg.com/media/EOm7I0FX0AAhESf.jpg" TargetMode="External"/><Relationship Id="rId3297" Type="http://schemas.openxmlformats.org/officeDocument/2006/relationships/hyperlink" Target="https://twitter.com/blackpoolyc/status/1218200877120573444" TargetMode="External"/><Relationship Id="rId169" Type="http://schemas.openxmlformats.org/officeDocument/2006/relationships/hyperlink" Target="http://i-talent.sg" TargetMode="External"/><Relationship Id="rId168" Type="http://schemas.openxmlformats.org/officeDocument/2006/relationships/hyperlink" Target="https://lnkd.in/fBdYYYu" TargetMode="External"/><Relationship Id="rId3299" Type="http://schemas.openxmlformats.org/officeDocument/2006/relationships/hyperlink" Target="http://www.rrblackpool.org.uk" TargetMode="External"/><Relationship Id="rId167" Type="http://schemas.openxmlformats.org/officeDocument/2006/relationships/hyperlink" Target="https://igoros.com" TargetMode="External"/><Relationship Id="rId166" Type="http://schemas.openxmlformats.org/officeDocument/2006/relationships/hyperlink" Target="https://pbs.twimg.com/media/EOm66n_UUAAQQ1T.jpg" TargetMode="External"/><Relationship Id="rId161" Type="http://schemas.openxmlformats.org/officeDocument/2006/relationships/hyperlink" Target="http://ow.ly/aN2i50xXwKf" TargetMode="External"/><Relationship Id="rId160" Type="http://schemas.openxmlformats.org/officeDocument/2006/relationships/hyperlink" Target="http://www.infinitecreativityaliciabudhram.com/" TargetMode="External"/><Relationship Id="rId159" Type="http://schemas.openxmlformats.org/officeDocument/2006/relationships/hyperlink" Target="https://pbs.twimg.com/media/EOm7JZrWoAAq6tN.jpg" TargetMode="External"/><Relationship Id="rId3281" Type="http://schemas.openxmlformats.org/officeDocument/2006/relationships/hyperlink" Target="http://waysofthinking.co.uk" TargetMode="External"/><Relationship Id="rId3280" Type="http://schemas.openxmlformats.org/officeDocument/2006/relationships/hyperlink" Target="https://pbs.twimg.com/media/EOjfX3eXkAAyILm.jpg" TargetMode="External"/><Relationship Id="rId3283" Type="http://schemas.openxmlformats.org/officeDocument/2006/relationships/hyperlink" Target="http://www.twitch.tv/sarajazz" TargetMode="External"/><Relationship Id="rId3282" Type="http://schemas.openxmlformats.org/officeDocument/2006/relationships/hyperlink" Target="https://www.youtube.com/watch?v=-ukExpW5F9k" TargetMode="External"/><Relationship Id="rId154" Type="http://schemas.openxmlformats.org/officeDocument/2006/relationships/hyperlink" Target="http://althoughts.in" TargetMode="External"/><Relationship Id="rId3285" Type="http://schemas.openxmlformats.org/officeDocument/2006/relationships/hyperlink" Target="http://www.sketchbookmd.com" TargetMode="External"/><Relationship Id="rId153" Type="http://schemas.openxmlformats.org/officeDocument/2006/relationships/hyperlink" Target="https://www.instagram.com/p/B7e7_0Oh_32/?igshid=1byuowawwk77f" TargetMode="External"/><Relationship Id="rId3284" Type="http://schemas.openxmlformats.org/officeDocument/2006/relationships/hyperlink" Target="https://pbs.twimg.com/media/EOjerX5WoAAloa9.jpg" TargetMode="External"/><Relationship Id="rId152" Type="http://schemas.openxmlformats.org/officeDocument/2006/relationships/hyperlink" Target="https://eatingenlightenment.com" TargetMode="External"/><Relationship Id="rId3287" Type="http://schemas.openxmlformats.org/officeDocument/2006/relationships/hyperlink" Target="http://www.horsetime.org.uk" TargetMode="External"/><Relationship Id="rId151" Type="http://schemas.openxmlformats.org/officeDocument/2006/relationships/hyperlink" Target="https://pbs.twimg.com/media/EOm8T9jXsAYDgnA.png" TargetMode="External"/><Relationship Id="rId3286" Type="http://schemas.openxmlformats.org/officeDocument/2006/relationships/hyperlink" Target="https://pbs.twimg.com/media/EOjenrgWsAAok3R.jpg" TargetMode="External"/><Relationship Id="rId158" Type="http://schemas.openxmlformats.org/officeDocument/2006/relationships/hyperlink" Target="http://www.naturibeauty.com/" TargetMode="External"/><Relationship Id="rId3289" Type="http://schemas.openxmlformats.org/officeDocument/2006/relationships/hyperlink" Target="https://pbs.twimg.com/media/EOg-UL1W4AgVh_Q.jpg" TargetMode="External"/><Relationship Id="rId157" Type="http://schemas.openxmlformats.org/officeDocument/2006/relationships/hyperlink" Target="http://psy.pub/1jnqtS7" TargetMode="External"/><Relationship Id="rId3288" Type="http://schemas.openxmlformats.org/officeDocument/2006/relationships/hyperlink" Target="https://twitter.com/mercola/status/1218292219901284352" TargetMode="External"/><Relationship Id="rId156" Type="http://schemas.openxmlformats.org/officeDocument/2006/relationships/hyperlink" Target="http://bit.ly/2LtYra2" TargetMode="External"/><Relationship Id="rId155" Type="http://schemas.openxmlformats.org/officeDocument/2006/relationships/hyperlink" Target="http://bit.ly/367CVRS" TargetMode="External"/><Relationship Id="rId2820" Type="http://schemas.openxmlformats.org/officeDocument/2006/relationships/hyperlink" Target="http://www.sexybrilliant.com" TargetMode="External"/><Relationship Id="rId2821" Type="http://schemas.openxmlformats.org/officeDocument/2006/relationships/hyperlink" Target="https://pbs.twimg.com/media/EOkHA5fX0AICB_u.jpg" TargetMode="External"/><Relationship Id="rId2822" Type="http://schemas.openxmlformats.org/officeDocument/2006/relationships/hyperlink" Target="http://www.sexybrilliant.com" TargetMode="External"/><Relationship Id="rId2823" Type="http://schemas.openxmlformats.org/officeDocument/2006/relationships/hyperlink" Target="https://pbs.twimg.com/media/EOkGfv0WsAE17LS.jpg" TargetMode="External"/><Relationship Id="rId2824" Type="http://schemas.openxmlformats.org/officeDocument/2006/relationships/hyperlink" Target="http://www.julietteburton.com" TargetMode="External"/><Relationship Id="rId2825" Type="http://schemas.openxmlformats.org/officeDocument/2006/relationships/hyperlink" Target="https://standingabovethecrowd.wordpress.com/2020/01/18/jamesdonaldson-on-mentalhealth-editorial-dealing-with-suicide-by-cop/" TargetMode="External"/><Relationship Id="rId2826" Type="http://schemas.openxmlformats.org/officeDocument/2006/relationships/hyperlink" Target="https://pbs.twimg.com/media/EOkGb86WkAAVWRe.jpg" TargetMode="External"/><Relationship Id="rId2827" Type="http://schemas.openxmlformats.org/officeDocument/2006/relationships/hyperlink" Target="http://www.teamdonaldson.posterous.com" TargetMode="External"/><Relationship Id="rId2828" Type="http://schemas.openxmlformats.org/officeDocument/2006/relationships/hyperlink" Target="https://pbs.twimg.com/media/EOPE9aZWoAAwGZd.jpg" TargetMode="External"/><Relationship Id="rId2829" Type="http://schemas.openxmlformats.org/officeDocument/2006/relationships/hyperlink" Target="http://www.communitymusicwales.co.uk" TargetMode="External"/><Relationship Id="rId2810" Type="http://schemas.openxmlformats.org/officeDocument/2006/relationships/hyperlink" Target="https://pbs.twimg.com/media/EOkHVT2X0AEcosJ.jpg" TargetMode="External"/><Relationship Id="rId2811" Type="http://schemas.openxmlformats.org/officeDocument/2006/relationships/hyperlink" Target="https://www.bbc.co.uk/sounds/play/p07qtm7c" TargetMode="External"/><Relationship Id="rId2812" Type="http://schemas.openxmlformats.org/officeDocument/2006/relationships/hyperlink" Target="https://twitter.com/jenrobertsnc/status/1218223878155251713" TargetMode="External"/><Relationship Id="rId2813" Type="http://schemas.openxmlformats.org/officeDocument/2006/relationships/hyperlink" Target="https://pbs.twimg.com/media/EOgAJuWX0AAIoXR.jpg" TargetMode="External"/><Relationship Id="rId2814" Type="http://schemas.openxmlformats.org/officeDocument/2006/relationships/hyperlink" Target="https://diffusingthetension.com/follow-me/" TargetMode="External"/><Relationship Id="rId2815" Type="http://schemas.openxmlformats.org/officeDocument/2006/relationships/hyperlink" Target="http://thecreativedragonfly.com/2020/01/18/escaping-the-prison-of-your-mind/" TargetMode="External"/><Relationship Id="rId2816" Type="http://schemas.openxmlformats.org/officeDocument/2006/relationships/hyperlink" Target="https://pbs.twimg.com/media/EOkHQJ9X0AEqHTY.jpg" TargetMode="External"/><Relationship Id="rId2817" Type="http://schemas.openxmlformats.org/officeDocument/2006/relationships/hyperlink" Target="http://www.thecreativedragonfly.com" TargetMode="External"/><Relationship Id="rId2818" Type="http://schemas.openxmlformats.org/officeDocument/2006/relationships/hyperlink" Target="http://psy.pub/1kbPgXO" TargetMode="External"/><Relationship Id="rId2819" Type="http://schemas.openxmlformats.org/officeDocument/2006/relationships/hyperlink" Target="http://journalpsyche.org/" TargetMode="External"/><Relationship Id="rId1510" Type="http://schemas.openxmlformats.org/officeDocument/2006/relationships/hyperlink" Target="http://linkedin.com/in/jfclaudemsm" TargetMode="External"/><Relationship Id="rId2841" Type="http://schemas.openxmlformats.org/officeDocument/2006/relationships/hyperlink" Target="https://www.eventbrite.co.uk/e/2019-pmh-conference-tickets-68931085733" TargetMode="External"/><Relationship Id="rId1511" Type="http://schemas.openxmlformats.org/officeDocument/2006/relationships/hyperlink" Target="https://sueatkinsparentingcoach.com/expertinterviews/sue-in-conversation-with-jo-fitzgerald-from-little-sponges/" TargetMode="External"/><Relationship Id="rId2842" Type="http://schemas.openxmlformats.org/officeDocument/2006/relationships/hyperlink" Target="https://buff.ly/2LAksqn" TargetMode="External"/><Relationship Id="rId1512" Type="http://schemas.openxmlformats.org/officeDocument/2006/relationships/hyperlink" Target="https://pbs.twimg.com/media/EOlUwP0UcAEaO9I.jpg" TargetMode="External"/><Relationship Id="rId2843" Type="http://schemas.openxmlformats.org/officeDocument/2006/relationships/hyperlink" Target="https://pbs.twimg.com/media/EOkFQQ0X4AAxVYJ.jpg" TargetMode="External"/><Relationship Id="rId1513" Type="http://schemas.openxmlformats.org/officeDocument/2006/relationships/hyperlink" Target="http://www.thesueatkins.com" TargetMode="External"/><Relationship Id="rId2844" Type="http://schemas.openxmlformats.org/officeDocument/2006/relationships/hyperlink" Target="http://thebestbrainpossible.com" TargetMode="External"/><Relationship Id="rId1514" Type="http://schemas.openxmlformats.org/officeDocument/2006/relationships/hyperlink" Target="http://facebook.com/SisterLoveWrites" TargetMode="External"/><Relationship Id="rId2845" Type="http://schemas.openxmlformats.org/officeDocument/2006/relationships/hyperlink" Target="http://ow.ly/Mmbh50xVS0u" TargetMode="External"/><Relationship Id="rId1515" Type="http://schemas.openxmlformats.org/officeDocument/2006/relationships/hyperlink" Target="https://pbs.twimg.com/media/EOlUmpcUEAATfcW.jpg" TargetMode="External"/><Relationship Id="rId2846" Type="http://schemas.openxmlformats.org/officeDocument/2006/relationships/hyperlink" Target="https://pbs.twimg.com/media/EOkFPvwWkAIWOVl.jpg" TargetMode="External"/><Relationship Id="rId1516" Type="http://schemas.openxmlformats.org/officeDocument/2006/relationships/hyperlink" Target="http://bootscootinreview.com" TargetMode="External"/><Relationship Id="rId2847" Type="http://schemas.openxmlformats.org/officeDocument/2006/relationships/hyperlink" Target="http://www.carolynspring.com" TargetMode="External"/><Relationship Id="rId1517" Type="http://schemas.openxmlformats.org/officeDocument/2006/relationships/hyperlink" Target="http://towncourier.com/mcps-mccpta-hosts-mental-health-and-wellness-forum/" TargetMode="External"/><Relationship Id="rId2848" Type="http://schemas.openxmlformats.org/officeDocument/2006/relationships/hyperlink" Target="https://pbs.twimg.com/media/EOkFMiqXUAIrq1j.jpg" TargetMode="External"/><Relationship Id="rId1518" Type="http://schemas.openxmlformats.org/officeDocument/2006/relationships/hyperlink" Target="https://www.instagram.com/p/B7eH87DgK-s/?igshid=1q5530g07yebv" TargetMode="External"/><Relationship Id="rId2849" Type="http://schemas.openxmlformats.org/officeDocument/2006/relationships/hyperlink" Target="https://www.amazon.co.uk/dp/B083Z4XRJZ/ref=cm_sw_r_tw_apa_i_uJViEbWVXRKSK" TargetMode="External"/><Relationship Id="rId1519" Type="http://schemas.openxmlformats.org/officeDocument/2006/relationships/hyperlink" Target="http://www.textforhumanity.com" TargetMode="External"/><Relationship Id="rId2840" Type="http://schemas.openxmlformats.org/officeDocument/2006/relationships/hyperlink" Target="https://pbs.twimg.com/media/EOkFQmPWsAAdMoK.jpg" TargetMode="External"/><Relationship Id="rId2830" Type="http://schemas.openxmlformats.org/officeDocument/2006/relationships/hyperlink" Target="https://pbs.twimg.com/media/EOkGBQOWoAAr5Oi.jpg" TargetMode="External"/><Relationship Id="rId1500" Type="http://schemas.openxmlformats.org/officeDocument/2006/relationships/hyperlink" Target="https://docs.google.com/forms/d/e/1FAIpQLSeHXdnTrlk2NoV3uMtBGfYPrNNT5PE7DMv9DQ7pEujqLj1p8Q/viewform" TargetMode="External"/><Relationship Id="rId2831" Type="http://schemas.openxmlformats.org/officeDocument/2006/relationships/hyperlink" Target="http://www.instagram.com/jenisthatyou" TargetMode="External"/><Relationship Id="rId1501" Type="http://schemas.openxmlformats.org/officeDocument/2006/relationships/hyperlink" Target="http://www.replaurahalld19.com" TargetMode="External"/><Relationship Id="rId2832" Type="http://schemas.openxmlformats.org/officeDocument/2006/relationships/hyperlink" Target="https://pbs.twimg.com/media/EOkGAFRXUAA0viL.jpg" TargetMode="External"/><Relationship Id="rId1502" Type="http://schemas.openxmlformats.org/officeDocument/2006/relationships/hyperlink" Target="http://ow.ly/utWB30q8TS9" TargetMode="External"/><Relationship Id="rId2833" Type="http://schemas.openxmlformats.org/officeDocument/2006/relationships/hyperlink" Target="http://www.wellexpo.ie" TargetMode="External"/><Relationship Id="rId1503" Type="http://schemas.openxmlformats.org/officeDocument/2006/relationships/hyperlink" Target="https://pbs.twimg.com/media/EOlVTISXsAAFoEo.jpg" TargetMode="External"/><Relationship Id="rId2834" Type="http://schemas.openxmlformats.org/officeDocument/2006/relationships/hyperlink" Target="https://www.unmc.edu/psychiatry/about/faculty/liu.html" TargetMode="External"/><Relationship Id="rId1504" Type="http://schemas.openxmlformats.org/officeDocument/2006/relationships/hyperlink" Target="https://m.youtube.com/watch?feature=youtu.be&amp;v=y1w2jh1xMUQ" TargetMode="External"/><Relationship Id="rId2835" Type="http://schemas.openxmlformats.org/officeDocument/2006/relationships/hyperlink" Target="http://bit.ly/1mRGotv" TargetMode="External"/><Relationship Id="rId1505" Type="http://schemas.openxmlformats.org/officeDocument/2006/relationships/hyperlink" Target="https://pbs.twimg.com/media/EOlVSxzU0AAt0br.jpg" TargetMode="External"/><Relationship Id="rId2836" Type="http://schemas.openxmlformats.org/officeDocument/2006/relationships/hyperlink" Target="http://goo.gl/rQ59TT" TargetMode="External"/><Relationship Id="rId1506" Type="http://schemas.openxmlformats.org/officeDocument/2006/relationships/hyperlink" Target="http://tungasuvvingatinuit.ca/" TargetMode="External"/><Relationship Id="rId2837" Type="http://schemas.openxmlformats.org/officeDocument/2006/relationships/hyperlink" Target="https://bhive.nectar.social/drPQ2V" TargetMode="External"/><Relationship Id="rId1507" Type="http://schemas.openxmlformats.org/officeDocument/2006/relationships/hyperlink" Target="https://www.samaritans.org/ireland/how-we-can-help/contact-samaritan/" TargetMode="External"/><Relationship Id="rId2838" Type="http://schemas.openxmlformats.org/officeDocument/2006/relationships/hyperlink" Target="https://www.linkedin.com/in/drgurdeepparhar/" TargetMode="External"/><Relationship Id="rId1508" Type="http://schemas.openxmlformats.org/officeDocument/2006/relationships/hyperlink" Target="https://pbs.twimg.com/media/EOlVRdFUcAA7Jfc.jpg" TargetMode="External"/><Relationship Id="rId2839" Type="http://schemas.openxmlformats.org/officeDocument/2006/relationships/hyperlink" Target="https://bit.ly/345kOvQ" TargetMode="External"/><Relationship Id="rId1509" Type="http://schemas.openxmlformats.org/officeDocument/2006/relationships/hyperlink" Target="http://www.samaritans.ie" TargetMode="External"/><Relationship Id="rId2800" Type="http://schemas.openxmlformats.org/officeDocument/2006/relationships/hyperlink" Target="https://checkfred.com" TargetMode="External"/><Relationship Id="rId2801" Type="http://schemas.openxmlformats.org/officeDocument/2006/relationships/hyperlink" Target="https://youtu.be/eK1luxZbuyU" TargetMode="External"/><Relationship Id="rId2802" Type="http://schemas.openxmlformats.org/officeDocument/2006/relationships/hyperlink" Target="https://pbs.twimg.com/media/EOkHpN4WkAALN4_.jpg" TargetMode="External"/><Relationship Id="rId2803" Type="http://schemas.openxmlformats.org/officeDocument/2006/relationships/hyperlink" Target="https://hbr.org/2020/01/the-dark-side-of-self-control" TargetMode="External"/><Relationship Id="rId2804" Type="http://schemas.openxmlformats.org/officeDocument/2006/relationships/hyperlink" Target="http://www.upbeatimpulse.com" TargetMode="External"/><Relationship Id="rId2805" Type="http://schemas.openxmlformats.org/officeDocument/2006/relationships/hyperlink" Target="http://bit.ly/2G0itbb" TargetMode="External"/><Relationship Id="rId2806" Type="http://schemas.openxmlformats.org/officeDocument/2006/relationships/hyperlink" Target="https://pbs.twimg.com/media/EOkFVMSXUAE9ICl.jpg" TargetMode="External"/><Relationship Id="rId2807" Type="http://schemas.openxmlformats.org/officeDocument/2006/relationships/hyperlink" Target="https://howtobreathedeep.com/" TargetMode="External"/><Relationship Id="rId2808" Type="http://schemas.openxmlformats.org/officeDocument/2006/relationships/hyperlink" Target="https://pbs.twimg.com/media/EOkHcj0XkAE-vCT.jpg" TargetMode="External"/><Relationship Id="rId2809" Type="http://schemas.openxmlformats.org/officeDocument/2006/relationships/hyperlink" Target="https://www.eyeem.com/u/26505650" TargetMode="External"/><Relationship Id="rId1576" Type="http://schemas.openxmlformats.org/officeDocument/2006/relationships/hyperlink" Target="https://www.facebook.com/holdenqigong/posts/2726527254072147" TargetMode="External"/><Relationship Id="rId1577" Type="http://schemas.openxmlformats.org/officeDocument/2006/relationships/hyperlink" Target="https://pbs.twimg.com/media/EOlRYA2UYAEukI9.jpg" TargetMode="External"/><Relationship Id="rId1578" Type="http://schemas.openxmlformats.org/officeDocument/2006/relationships/hyperlink" Target="http://holdenqigong.com" TargetMode="External"/><Relationship Id="rId1579" Type="http://schemas.openxmlformats.org/officeDocument/2006/relationships/hyperlink" Target="http://tobtr.com/s/11654913" TargetMode="External"/><Relationship Id="rId987" Type="http://schemas.openxmlformats.org/officeDocument/2006/relationships/hyperlink" Target="http://geni.us/BrokenPlacesP" TargetMode="External"/><Relationship Id="rId986" Type="http://schemas.openxmlformats.org/officeDocument/2006/relationships/hyperlink" Target="https://pbs.twimg.com/media/EOlzH25W4AEq9c_.jpg" TargetMode="External"/><Relationship Id="rId985" Type="http://schemas.openxmlformats.org/officeDocument/2006/relationships/hyperlink" Target="http://ow.ly/eUky50xXwoY" TargetMode="External"/><Relationship Id="rId984" Type="http://schemas.openxmlformats.org/officeDocument/2006/relationships/hyperlink" Target="http://umbertocrisanti.com" TargetMode="External"/><Relationship Id="rId989" Type="http://schemas.openxmlformats.org/officeDocument/2006/relationships/hyperlink" Target="https://pbs.twimg.com/media/EOlzD2nU0AADz1G.jpg" TargetMode="External"/><Relationship Id="rId988" Type="http://schemas.openxmlformats.org/officeDocument/2006/relationships/hyperlink" Target="http://bit.ly/2If2F6g" TargetMode="External"/><Relationship Id="rId1570" Type="http://schemas.openxmlformats.org/officeDocument/2006/relationships/hyperlink" Target="http://about.kp.org" TargetMode="External"/><Relationship Id="rId1571" Type="http://schemas.openxmlformats.org/officeDocument/2006/relationships/hyperlink" Target="https://twitter.com/Respexy/status/1218273216772431874" TargetMode="External"/><Relationship Id="rId983" Type="http://schemas.openxmlformats.org/officeDocument/2006/relationships/hyperlink" Target="http://www.thero.org" TargetMode="External"/><Relationship Id="rId1572" Type="http://schemas.openxmlformats.org/officeDocument/2006/relationships/hyperlink" Target="http://www.deannadanger.com" TargetMode="External"/><Relationship Id="rId982" Type="http://schemas.openxmlformats.org/officeDocument/2006/relationships/hyperlink" Target="https://youtu.be/co3-PZ8vs-8" TargetMode="External"/><Relationship Id="rId1573" Type="http://schemas.openxmlformats.org/officeDocument/2006/relationships/hyperlink" Target="https://www.analyzemarkets.com/en/intelligence/california-based-modern-health-raises-usd-mn-in-series-b-bringing-total-funding-to-usd-mn" TargetMode="External"/><Relationship Id="rId981" Type="http://schemas.openxmlformats.org/officeDocument/2006/relationships/hyperlink" Target="http://kaushiksridhar.com" TargetMode="External"/><Relationship Id="rId1574" Type="http://schemas.openxmlformats.org/officeDocument/2006/relationships/hyperlink" Target="https://www.instagram.com/p/B7eGlI6gHBD/?igshid=m69zrrmqlgau" TargetMode="External"/><Relationship Id="rId980" Type="http://schemas.openxmlformats.org/officeDocument/2006/relationships/hyperlink" Target="https://kaushiksridhar.com/2020/01/18/love-health-and-happiness/" TargetMode="External"/><Relationship Id="rId1575" Type="http://schemas.openxmlformats.org/officeDocument/2006/relationships/hyperlink" Target="http://www.lybrate.com/samyagdarshan" TargetMode="External"/><Relationship Id="rId1565" Type="http://schemas.openxmlformats.org/officeDocument/2006/relationships/hyperlink" Target="https://anxietysisters.com/pod_cast_blogs/spin-cycle-episode-025/" TargetMode="External"/><Relationship Id="rId2896" Type="http://schemas.openxmlformats.org/officeDocument/2006/relationships/hyperlink" Target="http://drmetzner.com/" TargetMode="External"/><Relationship Id="rId1566" Type="http://schemas.openxmlformats.org/officeDocument/2006/relationships/hyperlink" Target="http://www.debbiewaller.com/debbie-waller-audios" TargetMode="External"/><Relationship Id="rId2897" Type="http://schemas.openxmlformats.org/officeDocument/2006/relationships/hyperlink" Target="https://www.instagram.com/p/B7derndJ-nz/?igshid=1bpoup2zssz5v" TargetMode="External"/><Relationship Id="rId1567" Type="http://schemas.openxmlformats.org/officeDocument/2006/relationships/hyperlink" Target="https://www.yorkshirehypnotherapytraining.co.uk" TargetMode="External"/><Relationship Id="rId2898" Type="http://schemas.openxmlformats.org/officeDocument/2006/relationships/hyperlink" Target="http://fb.me/PinkandwildOfficial" TargetMode="External"/><Relationship Id="rId1568" Type="http://schemas.openxmlformats.org/officeDocument/2006/relationships/hyperlink" Target="https://k-p.li/3afCCYu" TargetMode="External"/><Relationship Id="rId2899" Type="http://schemas.openxmlformats.org/officeDocument/2006/relationships/hyperlink" Target="https://www.centreformentalhealth.org.uk/blog/writer-residence/theres-no-place-home-housing-and-mental-health" TargetMode="External"/><Relationship Id="rId1569" Type="http://schemas.openxmlformats.org/officeDocument/2006/relationships/hyperlink" Target="https://pbs.twimg.com/media/EOWuT78X4AAiR1s.jpg" TargetMode="External"/><Relationship Id="rId976" Type="http://schemas.openxmlformats.org/officeDocument/2006/relationships/hyperlink" Target="http://www.oksanaverse.com" TargetMode="External"/><Relationship Id="rId975" Type="http://schemas.openxmlformats.org/officeDocument/2006/relationships/hyperlink" Target="https://mentalhealthmn.org/" TargetMode="External"/><Relationship Id="rId974" Type="http://schemas.openxmlformats.org/officeDocument/2006/relationships/hyperlink" Target="http://bit.ly/2tm4sC8" TargetMode="External"/><Relationship Id="rId973" Type="http://schemas.openxmlformats.org/officeDocument/2006/relationships/hyperlink" Target="http://www.awaken-mind.com" TargetMode="External"/><Relationship Id="rId979" Type="http://schemas.openxmlformats.org/officeDocument/2006/relationships/hyperlink" Target="https://www.instagram.com/p/B7eXrUlAUC4/?igshid=125hp74zdp6zo" TargetMode="External"/><Relationship Id="rId978" Type="http://schemas.openxmlformats.org/officeDocument/2006/relationships/hyperlink" Target="http://pic.twitter.com/AthfWobYrb" TargetMode="External"/><Relationship Id="rId977" Type="http://schemas.openxmlformats.org/officeDocument/2006/relationships/hyperlink" Target="https://www.youtube.com/watch?v=v4sp38MOo2M" TargetMode="External"/><Relationship Id="rId2890" Type="http://schemas.openxmlformats.org/officeDocument/2006/relationships/hyperlink" Target="http://www.originatelifestylesolutions.com" TargetMode="External"/><Relationship Id="rId1560" Type="http://schemas.openxmlformats.org/officeDocument/2006/relationships/hyperlink" Target="https://doctorsoncbd.com/buy-cbd-products/free-cbd-samples" TargetMode="External"/><Relationship Id="rId2891" Type="http://schemas.openxmlformats.org/officeDocument/2006/relationships/hyperlink" Target="https://pbs.twimg.com/media/EOhZxi0XsAAg7lU.jpg" TargetMode="External"/><Relationship Id="rId972" Type="http://schemas.openxmlformats.org/officeDocument/2006/relationships/hyperlink" Target="http://psy.pub/1kbPi1W" TargetMode="External"/><Relationship Id="rId1561" Type="http://schemas.openxmlformats.org/officeDocument/2006/relationships/hyperlink" Target="https://pbs.twimg.com/media/EOlR5T0WAAAiELW.jpg" TargetMode="External"/><Relationship Id="rId2892" Type="http://schemas.openxmlformats.org/officeDocument/2006/relationships/hyperlink" Target="http://www.ehkidshealth.com" TargetMode="External"/><Relationship Id="rId971" Type="http://schemas.openxmlformats.org/officeDocument/2006/relationships/hyperlink" Target="https://pbs.twimg.com/media/EOlJ6fJWsAAGphr.jpg" TargetMode="External"/><Relationship Id="rId1562" Type="http://schemas.openxmlformats.org/officeDocument/2006/relationships/hyperlink" Target="https://doctorsoncbd.com/" TargetMode="External"/><Relationship Id="rId2893" Type="http://schemas.openxmlformats.org/officeDocument/2006/relationships/hyperlink" Target="https://thriveglobal.com/stories/8-awesome-weekend-activities-to-improve-your-well-being/" TargetMode="External"/><Relationship Id="rId970" Type="http://schemas.openxmlformats.org/officeDocument/2006/relationships/hyperlink" Target="https://twitter.com/talk_lpool/status/1218586445167910913" TargetMode="External"/><Relationship Id="rId1563" Type="http://schemas.openxmlformats.org/officeDocument/2006/relationships/hyperlink" Target="http://ow.ly/ECxu50xpPcx" TargetMode="External"/><Relationship Id="rId2894" Type="http://schemas.openxmlformats.org/officeDocument/2006/relationships/hyperlink" Target="http://www.mhwshow.co.uk" TargetMode="External"/><Relationship Id="rId1564" Type="http://schemas.openxmlformats.org/officeDocument/2006/relationships/hyperlink" Target="https://pbs.twimg.com/media/EOlR2sKWAAEb3-7.jpg" TargetMode="External"/><Relationship Id="rId2895" Type="http://schemas.openxmlformats.org/officeDocument/2006/relationships/hyperlink" Target="http://huff.to/16HSCkf" TargetMode="External"/><Relationship Id="rId1598" Type="http://schemas.openxmlformats.org/officeDocument/2006/relationships/hyperlink" Target="https://unwantedlife.me/blogging-birthday" TargetMode="External"/><Relationship Id="rId1599" Type="http://schemas.openxmlformats.org/officeDocument/2006/relationships/hyperlink" Target="https://pbs.twimg.com/media/EOlQ2R_VUAAzSm1.png" TargetMode="External"/><Relationship Id="rId1590" Type="http://schemas.openxmlformats.org/officeDocument/2006/relationships/hyperlink" Target="https://social.icims.com/viewjob/pt15793704723643248d" TargetMode="External"/><Relationship Id="rId1591" Type="http://schemas.openxmlformats.org/officeDocument/2006/relationships/hyperlink" Target="http://www.altapointe.org" TargetMode="External"/><Relationship Id="rId1592" Type="http://schemas.openxmlformats.org/officeDocument/2006/relationships/hyperlink" Target="https://www.crowdfunder.co.uk/calm-in-chaos" TargetMode="External"/><Relationship Id="rId1593" Type="http://schemas.openxmlformats.org/officeDocument/2006/relationships/hyperlink" Target="https://mhaok.org/creating-connections" TargetMode="External"/><Relationship Id="rId1594" Type="http://schemas.openxmlformats.org/officeDocument/2006/relationships/hyperlink" Target="https://pbs.twimg.com/media/EOlQ56mU4AAr868.png" TargetMode="External"/><Relationship Id="rId1595" Type="http://schemas.openxmlformats.org/officeDocument/2006/relationships/hyperlink" Target="http://www.mhaok.org" TargetMode="External"/><Relationship Id="rId1596" Type="http://schemas.openxmlformats.org/officeDocument/2006/relationships/hyperlink" Target="https://twitter.com/KariJoys/status/1218578799677378561" TargetMode="External"/><Relationship Id="rId1597" Type="http://schemas.openxmlformats.org/officeDocument/2006/relationships/hyperlink" Target="https://pbs.twimg.com/media/B6Hbn1HCQAAsQK6.png" TargetMode="External"/><Relationship Id="rId1587" Type="http://schemas.openxmlformats.org/officeDocument/2006/relationships/hyperlink" Target="http://www.franksonnenbergonline.com" TargetMode="External"/><Relationship Id="rId1588" Type="http://schemas.openxmlformats.org/officeDocument/2006/relationships/hyperlink" Target="https://pbs.twimg.com/media/EOlQ-naU4AAFhvl.jpg" TargetMode="External"/><Relationship Id="rId1589" Type="http://schemas.openxmlformats.org/officeDocument/2006/relationships/hyperlink" Target="http://scmusicproject.org" TargetMode="External"/><Relationship Id="rId998" Type="http://schemas.openxmlformats.org/officeDocument/2006/relationships/hyperlink" Target="https://www.youtube.com/watch?v=LCKtwcEb6To&amp;feature=youtu.be&amp;fbclid=IwAR0AQGg2F-eKsFUOueHuG4Ya_PRunDEscIqsREjBkoiXbIs3EH-hZ_7818o" TargetMode="External"/><Relationship Id="rId997" Type="http://schemas.openxmlformats.org/officeDocument/2006/relationships/hyperlink" Target="https://lnkd.in/eaBFVh6" TargetMode="External"/><Relationship Id="rId996" Type="http://schemas.openxmlformats.org/officeDocument/2006/relationships/hyperlink" Target="http://richardcosgrove.co.uk" TargetMode="External"/><Relationship Id="rId995" Type="http://schemas.openxmlformats.org/officeDocument/2006/relationships/hyperlink" Target="https://pbs.twimg.com/media/EOlzCmCXsAIuMP5.jpg" TargetMode="External"/><Relationship Id="rId999" Type="http://schemas.openxmlformats.org/officeDocument/2006/relationships/hyperlink" Target="https://youtu.be/-Ehj97_Qwjc" TargetMode="External"/><Relationship Id="rId990" Type="http://schemas.openxmlformats.org/officeDocument/2006/relationships/hyperlink" Target="http://www.office-massage.co.uk" TargetMode="External"/><Relationship Id="rId1580" Type="http://schemas.openxmlformats.org/officeDocument/2006/relationships/hyperlink" Target="http://www.voices-for-change.net" TargetMode="External"/><Relationship Id="rId1581" Type="http://schemas.openxmlformats.org/officeDocument/2006/relationships/hyperlink" Target="http://www.rebeccalombardo.com" TargetMode="External"/><Relationship Id="rId1582" Type="http://schemas.openxmlformats.org/officeDocument/2006/relationships/hyperlink" Target="https://hcne.ws/2tTeKJO" TargetMode="External"/><Relationship Id="rId994" Type="http://schemas.openxmlformats.org/officeDocument/2006/relationships/hyperlink" Target="http://bit.ly/2pbLlI3" TargetMode="External"/><Relationship Id="rId1583" Type="http://schemas.openxmlformats.org/officeDocument/2006/relationships/hyperlink" Target="http://hcn.org" TargetMode="External"/><Relationship Id="rId993" Type="http://schemas.openxmlformats.org/officeDocument/2006/relationships/hyperlink" Target="http://www.healthyplace.com" TargetMode="External"/><Relationship Id="rId1584" Type="http://schemas.openxmlformats.org/officeDocument/2006/relationships/hyperlink" Target="http://ow.ly/h9zr50xUfJ9" TargetMode="External"/><Relationship Id="rId992" Type="http://schemas.openxmlformats.org/officeDocument/2006/relationships/hyperlink" Target="https://pbs.twimg.com/media/EOlzCepX4AEzZaK.jpg" TargetMode="External"/><Relationship Id="rId1585" Type="http://schemas.openxmlformats.org/officeDocument/2006/relationships/hyperlink" Target="http://hogg.utexas.edu" TargetMode="External"/><Relationship Id="rId991" Type="http://schemas.openxmlformats.org/officeDocument/2006/relationships/hyperlink" Target="https://bit.ly/2QRksF0" TargetMode="External"/><Relationship Id="rId1586" Type="http://schemas.openxmlformats.org/officeDocument/2006/relationships/hyperlink" Target="http://bit.ly/2rzHim9" TargetMode="External"/><Relationship Id="rId1532" Type="http://schemas.openxmlformats.org/officeDocument/2006/relationships/hyperlink" Target="https://pbs.twimg.com/media/EOlTj9dXkAEBpBX.jpg" TargetMode="External"/><Relationship Id="rId2863" Type="http://schemas.openxmlformats.org/officeDocument/2006/relationships/hyperlink" Target="https://buff.ly/300pNvJ" TargetMode="External"/><Relationship Id="rId1533" Type="http://schemas.openxmlformats.org/officeDocument/2006/relationships/hyperlink" Target="http://allthingsnext.com/" TargetMode="External"/><Relationship Id="rId2864" Type="http://schemas.openxmlformats.org/officeDocument/2006/relationships/hyperlink" Target="https://brianthomas.me" TargetMode="External"/><Relationship Id="rId1534" Type="http://schemas.openxmlformats.org/officeDocument/2006/relationships/hyperlink" Target="https://www.instagram.com/p/B7eHkAwl2Mk/?igshid=g6ethm4uuegl" TargetMode="External"/><Relationship Id="rId2865" Type="http://schemas.openxmlformats.org/officeDocument/2006/relationships/hyperlink" Target="https://pbs.twimg.com/media/EOkD_JgWAAA5Qo2.png" TargetMode="External"/><Relationship Id="rId1535" Type="http://schemas.openxmlformats.org/officeDocument/2006/relationships/hyperlink" Target="http://www.demograffix.com" TargetMode="External"/><Relationship Id="rId2866" Type="http://schemas.openxmlformats.org/officeDocument/2006/relationships/hyperlink" Target="http://www.scriptsandsketches.com" TargetMode="External"/><Relationship Id="rId1536" Type="http://schemas.openxmlformats.org/officeDocument/2006/relationships/hyperlink" Target="http://bit.ly/30wEyHX" TargetMode="External"/><Relationship Id="rId2867" Type="http://schemas.openxmlformats.org/officeDocument/2006/relationships/hyperlink" Target="https://pbs.twimg.com/media/EOkD4yrXUAAtMOp.jpg" TargetMode="External"/><Relationship Id="rId1537" Type="http://schemas.openxmlformats.org/officeDocument/2006/relationships/hyperlink" Target="https://pbs.twimg.com/media/EOlTVY7UcAAVipp.jpg" TargetMode="External"/><Relationship Id="rId2868" Type="http://schemas.openxmlformats.org/officeDocument/2006/relationships/hyperlink" Target="https://pbs.twimg.com/media/EOkDzBHWsAE3EV4.jpg" TargetMode="External"/><Relationship Id="rId1538" Type="http://schemas.openxmlformats.org/officeDocument/2006/relationships/hyperlink" Target="http://www.halowellness.info" TargetMode="External"/><Relationship Id="rId2869" Type="http://schemas.openxmlformats.org/officeDocument/2006/relationships/hyperlink" Target="http://garryjonescoaching.com" TargetMode="External"/><Relationship Id="rId1539" Type="http://schemas.openxmlformats.org/officeDocument/2006/relationships/hyperlink" Target="https://pbs.twimg.com/media/EOlTJm5VUAEJEDx.jpg" TargetMode="External"/><Relationship Id="rId949" Type="http://schemas.openxmlformats.org/officeDocument/2006/relationships/hyperlink" Target="https://pbs.twimg.com/media/EOl2W8CX0AAcpzJ.jpg" TargetMode="External"/><Relationship Id="rId948" Type="http://schemas.openxmlformats.org/officeDocument/2006/relationships/hyperlink" Target="http://www.achronicvoice.com" TargetMode="External"/><Relationship Id="rId943" Type="http://schemas.openxmlformats.org/officeDocument/2006/relationships/hyperlink" Target="http://www.usf.edu/cbcs/fmhi/" TargetMode="External"/><Relationship Id="rId942" Type="http://schemas.openxmlformats.org/officeDocument/2006/relationships/hyperlink" Target="https://pbs.twimg.com/media/EOl2d5PU0AEdR6R.jpg" TargetMode="External"/><Relationship Id="rId941" Type="http://schemas.openxmlformats.org/officeDocument/2006/relationships/hyperlink" Target="https://qoo.ly/33wrsg" TargetMode="External"/><Relationship Id="rId940" Type="http://schemas.openxmlformats.org/officeDocument/2006/relationships/hyperlink" Target="http://linktr.ee/mr.i.am_" TargetMode="External"/><Relationship Id="rId947" Type="http://schemas.openxmlformats.org/officeDocument/2006/relationships/hyperlink" Target="https://buff.ly/2NEubg8" TargetMode="External"/><Relationship Id="rId946" Type="http://schemas.openxmlformats.org/officeDocument/2006/relationships/hyperlink" Target="http://www.healthyplace.com" TargetMode="External"/><Relationship Id="rId945" Type="http://schemas.openxmlformats.org/officeDocument/2006/relationships/hyperlink" Target="https://pbs.twimg.com/media/EOl2dykVUAAyRLW.jpg" TargetMode="External"/><Relationship Id="rId944" Type="http://schemas.openxmlformats.org/officeDocument/2006/relationships/hyperlink" Target="https://bit.ly/3ahW0ED" TargetMode="External"/><Relationship Id="rId2860" Type="http://schemas.openxmlformats.org/officeDocument/2006/relationships/hyperlink" Target="https://buff.ly/35ZPEGc" TargetMode="External"/><Relationship Id="rId1530" Type="http://schemas.openxmlformats.org/officeDocument/2006/relationships/hyperlink" Target="http://www.izzylandbeyond.com" TargetMode="External"/><Relationship Id="rId2861" Type="http://schemas.openxmlformats.org/officeDocument/2006/relationships/hyperlink" Target="https://pbs.twimg.com/media/EOkEBZEWAAE1u99.jpg" TargetMode="External"/><Relationship Id="rId1531" Type="http://schemas.openxmlformats.org/officeDocument/2006/relationships/hyperlink" Target="http://bit.ly/2MXGYMv" TargetMode="External"/><Relationship Id="rId2862" Type="http://schemas.openxmlformats.org/officeDocument/2006/relationships/hyperlink" Target="http://www.eschoolnews.com" TargetMode="External"/><Relationship Id="rId1521" Type="http://schemas.openxmlformats.org/officeDocument/2006/relationships/hyperlink" Target="http://www.sinch.com" TargetMode="External"/><Relationship Id="rId2852" Type="http://schemas.openxmlformats.org/officeDocument/2006/relationships/hyperlink" Target="http://bit.ly/2p5hcsH" TargetMode="External"/><Relationship Id="rId1522" Type="http://schemas.openxmlformats.org/officeDocument/2006/relationships/hyperlink" Target="https://bit.ly/35Rlc1d" TargetMode="External"/><Relationship Id="rId2853" Type="http://schemas.openxmlformats.org/officeDocument/2006/relationships/hyperlink" Target="http://offbeatbusiness.com" TargetMode="External"/><Relationship Id="rId1523" Type="http://schemas.openxmlformats.org/officeDocument/2006/relationships/hyperlink" Target="https://pbs.twimg.com/media/EOlUI0uX4AA-oBf.jpg" TargetMode="External"/><Relationship Id="rId2854" Type="http://schemas.openxmlformats.org/officeDocument/2006/relationships/hyperlink" Target="http://pic.twitter.com/nRm83wpGa9" TargetMode="External"/><Relationship Id="rId1524" Type="http://schemas.openxmlformats.org/officeDocument/2006/relationships/hyperlink" Target="http://www.healthyplace.com" TargetMode="External"/><Relationship Id="rId2855" Type="http://schemas.openxmlformats.org/officeDocument/2006/relationships/hyperlink" Target="http://www.rspb.org.uk" TargetMode="External"/><Relationship Id="rId1525" Type="http://schemas.openxmlformats.org/officeDocument/2006/relationships/hyperlink" Target="https://mixer.com/R4V3RSFANTASY" TargetMode="External"/><Relationship Id="rId2856" Type="http://schemas.openxmlformats.org/officeDocument/2006/relationships/hyperlink" Target="http://tobtr.com/s/11654913" TargetMode="External"/><Relationship Id="rId1526" Type="http://schemas.openxmlformats.org/officeDocument/2006/relationships/hyperlink" Target="http://www.bwrt.org/" TargetMode="External"/><Relationship Id="rId2857" Type="http://schemas.openxmlformats.org/officeDocument/2006/relationships/hyperlink" Target="https://pbs.twimg.com/media/EOkEIOqXUAISdFy.jpg" TargetMode="External"/><Relationship Id="rId1527" Type="http://schemas.openxmlformats.org/officeDocument/2006/relationships/hyperlink" Target="http://www.bwrt.org" TargetMode="External"/><Relationship Id="rId2858" Type="http://schemas.openxmlformats.org/officeDocument/2006/relationships/hyperlink" Target="http://www.voices-for-change.net" TargetMode="External"/><Relationship Id="rId1528" Type="http://schemas.openxmlformats.org/officeDocument/2006/relationships/hyperlink" Target="https://youtu.be/kguosfL35xo" TargetMode="External"/><Relationship Id="rId2859" Type="http://schemas.openxmlformats.org/officeDocument/2006/relationships/hyperlink" Target="http://www.rebeccalombardo.com" TargetMode="External"/><Relationship Id="rId1529" Type="http://schemas.openxmlformats.org/officeDocument/2006/relationships/hyperlink" Target="https://pbs.twimg.com/media/EOlTtVKUEAATY12.jpg" TargetMode="External"/><Relationship Id="rId939" Type="http://schemas.openxmlformats.org/officeDocument/2006/relationships/hyperlink" Target="https://youtu.be/HCDQyX9CFBQ" TargetMode="External"/><Relationship Id="rId938" Type="http://schemas.openxmlformats.org/officeDocument/2006/relationships/hyperlink" Target="http://relaxingzenmusic.com" TargetMode="External"/><Relationship Id="rId937" Type="http://schemas.openxmlformats.org/officeDocument/2006/relationships/hyperlink" Target="http://relaxingzenmusic.com/free-zen-music/" TargetMode="External"/><Relationship Id="rId932" Type="http://schemas.openxmlformats.org/officeDocument/2006/relationships/hyperlink" Target="https://crwardphotography.wordpress.com/2020/01/18/blank-canvas/" TargetMode="External"/><Relationship Id="rId931" Type="http://schemas.openxmlformats.org/officeDocument/2006/relationships/hyperlink" Target="http://www.thesociallight.org" TargetMode="External"/><Relationship Id="rId930" Type="http://schemas.openxmlformats.org/officeDocument/2006/relationships/hyperlink" Target="http://jewishboard.org" TargetMode="External"/><Relationship Id="rId936" Type="http://schemas.openxmlformats.org/officeDocument/2006/relationships/hyperlink" Target="http://drmetzner.com/" TargetMode="External"/><Relationship Id="rId935" Type="http://schemas.openxmlformats.org/officeDocument/2006/relationships/hyperlink" Target="http://psy.pub/1kbPgXU" TargetMode="External"/><Relationship Id="rId934" Type="http://schemas.openxmlformats.org/officeDocument/2006/relationships/hyperlink" Target="https://podcasts.apple.com/us/podcast/neurotic-nourishment/id1464366670" TargetMode="External"/><Relationship Id="rId933" Type="http://schemas.openxmlformats.org/officeDocument/2006/relationships/hyperlink" Target="http://www.crwardphotography.wordpress.com" TargetMode="External"/><Relationship Id="rId2850" Type="http://schemas.openxmlformats.org/officeDocument/2006/relationships/hyperlink" Target="https://pbs.twimg.com/media/EOkExjlX4AAW-Ij.jpg" TargetMode="External"/><Relationship Id="rId1520" Type="http://schemas.openxmlformats.org/officeDocument/2006/relationships/hyperlink" Target="https://pbs.twimg.com/media/EOlUJPzU0AA7ztf.jpg" TargetMode="External"/><Relationship Id="rId2851" Type="http://schemas.openxmlformats.org/officeDocument/2006/relationships/hyperlink" Target="http://justgiving.com/crowdfunding/glenn-priestley" TargetMode="External"/><Relationship Id="rId1554" Type="http://schemas.openxmlformats.org/officeDocument/2006/relationships/hyperlink" Target="https://www.instagram.com/p/B7eG70Gj9RB/?igshid=1qdjh9p5n8dlf" TargetMode="External"/><Relationship Id="rId2885" Type="http://schemas.openxmlformats.org/officeDocument/2006/relationships/hyperlink" Target="https://www.mizzqueendivadesigns.com" TargetMode="External"/><Relationship Id="rId1555" Type="http://schemas.openxmlformats.org/officeDocument/2006/relationships/hyperlink" Target="http://wmsgarage.com" TargetMode="External"/><Relationship Id="rId2886" Type="http://schemas.openxmlformats.org/officeDocument/2006/relationships/hyperlink" Target="http://www.macelleria.com.au" TargetMode="External"/><Relationship Id="rId1556" Type="http://schemas.openxmlformats.org/officeDocument/2006/relationships/hyperlink" Target="https://www.benssimplelife.com/post/get-outside-it-really-helps" TargetMode="External"/><Relationship Id="rId2887" Type="http://schemas.openxmlformats.org/officeDocument/2006/relationships/hyperlink" Target="https://pbs.twimg.com/media/EOkB4rRWoAUIiyX.jpg" TargetMode="External"/><Relationship Id="rId1557" Type="http://schemas.openxmlformats.org/officeDocument/2006/relationships/hyperlink" Target="http://www.benssimplelife.com" TargetMode="External"/><Relationship Id="rId2888" Type="http://schemas.openxmlformats.org/officeDocument/2006/relationships/hyperlink" Target="http://www.pro-trainer.co.uk" TargetMode="External"/><Relationship Id="rId1558" Type="http://schemas.openxmlformats.org/officeDocument/2006/relationships/hyperlink" Target="http://jenedupre.com" TargetMode="External"/><Relationship Id="rId2889" Type="http://schemas.openxmlformats.org/officeDocument/2006/relationships/hyperlink" Target="https://pbs.twimg.com/media/EOkB00iWAAEVTTY.jpg" TargetMode="External"/><Relationship Id="rId1559" Type="http://schemas.openxmlformats.org/officeDocument/2006/relationships/hyperlink" Target="https://www.facebook.com/groups/952449825117958/?ref=share" TargetMode="External"/><Relationship Id="rId965" Type="http://schemas.openxmlformats.org/officeDocument/2006/relationships/hyperlink" Target="https://www.instagram.com/p/B7eYYY-gKOO/?igshid=kntrto4qajbi" TargetMode="External"/><Relationship Id="rId964" Type="http://schemas.openxmlformats.org/officeDocument/2006/relationships/hyperlink" Target="https://medium.com/@djemal.ua" TargetMode="External"/><Relationship Id="rId963" Type="http://schemas.openxmlformats.org/officeDocument/2006/relationships/hyperlink" Target="https://link.medium.com/twjVnh7Zb3" TargetMode="External"/><Relationship Id="rId962" Type="http://schemas.openxmlformats.org/officeDocument/2006/relationships/hyperlink" Target="http://about.me/julian_hall" TargetMode="External"/><Relationship Id="rId969" Type="http://schemas.openxmlformats.org/officeDocument/2006/relationships/hyperlink" Target="http://bit.ly/2Npo6oj" TargetMode="External"/><Relationship Id="rId968" Type="http://schemas.openxmlformats.org/officeDocument/2006/relationships/hyperlink" Target="http://bit.ly/2ZYdwZC" TargetMode="External"/><Relationship Id="rId967" Type="http://schemas.openxmlformats.org/officeDocument/2006/relationships/hyperlink" Target="http://www.mikesopenjournal.com/" TargetMode="External"/><Relationship Id="rId966" Type="http://schemas.openxmlformats.org/officeDocument/2006/relationships/hyperlink" Target="https://www.mikesopenjournal.com/post/i-need-a-walk" TargetMode="External"/><Relationship Id="rId2880" Type="http://schemas.openxmlformats.org/officeDocument/2006/relationships/hyperlink" Target="https://pbs.twimg.com/media/EOkCl54XsAAZURl.jpg" TargetMode="External"/><Relationship Id="rId961" Type="http://schemas.openxmlformats.org/officeDocument/2006/relationships/hyperlink" Target="https://pbs.twimg.com/media/EOl1V0iXUAEee4E.jpg" TargetMode="External"/><Relationship Id="rId1550" Type="http://schemas.openxmlformats.org/officeDocument/2006/relationships/hyperlink" Target="http://wastingspacepodcast.buzzsprout.com/" TargetMode="External"/><Relationship Id="rId2881" Type="http://schemas.openxmlformats.org/officeDocument/2006/relationships/hyperlink" Target="https://realtimetotalk.wordpress.com/" TargetMode="External"/><Relationship Id="rId960" Type="http://schemas.openxmlformats.org/officeDocument/2006/relationships/hyperlink" Target="http://www.facebook.com/www.twitter.com" TargetMode="External"/><Relationship Id="rId1551" Type="http://schemas.openxmlformats.org/officeDocument/2006/relationships/hyperlink" Target="http://www.thementalhealthupdate.com" TargetMode="External"/><Relationship Id="rId2882" Type="http://schemas.openxmlformats.org/officeDocument/2006/relationships/hyperlink" Target="https://pbs.twimg.com/media/EOkCcv9XsAEbeGn.jpg" TargetMode="External"/><Relationship Id="rId1552" Type="http://schemas.openxmlformats.org/officeDocument/2006/relationships/hyperlink" Target="http://vitalvibrations.wordpress.com" TargetMode="External"/><Relationship Id="rId2883" Type="http://schemas.openxmlformats.org/officeDocument/2006/relationships/hyperlink" Target="http://www.asmlimerick.ie/" TargetMode="External"/><Relationship Id="rId1553" Type="http://schemas.openxmlformats.org/officeDocument/2006/relationships/hyperlink" Target="https://www.youtube.com/channel/UCfdn-TAWnMyb5fnOIERJH6Q" TargetMode="External"/><Relationship Id="rId2884" Type="http://schemas.openxmlformats.org/officeDocument/2006/relationships/hyperlink" Target="https://www.instagram.com/p/B7dfFSLg_EZ/?igshid=1u5kbdhzbh4o8" TargetMode="External"/><Relationship Id="rId1543" Type="http://schemas.openxmlformats.org/officeDocument/2006/relationships/hyperlink" Target="https://pbs.twimg.com/media/EOlSzNEUYAA6hrp.jpg" TargetMode="External"/><Relationship Id="rId2874" Type="http://schemas.openxmlformats.org/officeDocument/2006/relationships/hyperlink" Target="http://historiasdedrucilvania.blogspot.cl/" TargetMode="External"/><Relationship Id="rId1544" Type="http://schemas.openxmlformats.org/officeDocument/2006/relationships/hyperlink" Target="http://www.parentfamilysolutions.com" TargetMode="External"/><Relationship Id="rId2875" Type="http://schemas.openxmlformats.org/officeDocument/2006/relationships/hyperlink" Target="http://socsi.in/3wXRI" TargetMode="External"/><Relationship Id="rId1545" Type="http://schemas.openxmlformats.org/officeDocument/2006/relationships/hyperlink" Target="https://pbs.twimg.com/media/EOlRzZbU4AEE2wn.jpg" TargetMode="External"/><Relationship Id="rId2876" Type="http://schemas.openxmlformats.org/officeDocument/2006/relationships/hyperlink" Target="http://pic.twitter.com/zPj1UDtcKg" TargetMode="External"/><Relationship Id="rId1546" Type="http://schemas.openxmlformats.org/officeDocument/2006/relationships/hyperlink" Target="http://www.armycadets.com" TargetMode="External"/><Relationship Id="rId2877" Type="http://schemas.openxmlformats.org/officeDocument/2006/relationships/hyperlink" Target="http://www.salfordccg.nhs.uk" TargetMode="External"/><Relationship Id="rId1547" Type="http://schemas.openxmlformats.org/officeDocument/2006/relationships/hyperlink" Target="https://pin.it/54ax7s5njlaxdz" TargetMode="External"/><Relationship Id="rId2878" Type="http://schemas.openxmlformats.org/officeDocument/2006/relationships/hyperlink" Target="https://pbs.twimg.com/media/EOkCl5HX4AABphv.jpg" TargetMode="External"/><Relationship Id="rId1548" Type="http://schemas.openxmlformats.org/officeDocument/2006/relationships/hyperlink" Target="http://northwoodsgirlblogging.com" TargetMode="External"/><Relationship Id="rId2879" Type="http://schemas.openxmlformats.org/officeDocument/2006/relationships/hyperlink" Target="https://realtimetotalk.wordpress.com/2019/04/12/why-dont-people-talk-about-there-mental-health/" TargetMode="External"/><Relationship Id="rId1549" Type="http://schemas.openxmlformats.org/officeDocument/2006/relationships/hyperlink" Target="https://pbs.twimg.com/media/EOlSoIDWsAIpMLx.jpg" TargetMode="External"/><Relationship Id="rId959" Type="http://schemas.openxmlformats.org/officeDocument/2006/relationships/hyperlink" Target="http://www.miss-u-gram.com" TargetMode="External"/><Relationship Id="rId954" Type="http://schemas.openxmlformats.org/officeDocument/2006/relationships/hyperlink" Target="https://www.youtube.com/channel/UCxtWkoMs1H_JmCn30okPpew" TargetMode="External"/><Relationship Id="rId953" Type="http://schemas.openxmlformats.org/officeDocument/2006/relationships/hyperlink" Target="https://pbs.twimg.com/media/EOl19QLU4AEo1ab.jpg" TargetMode="External"/><Relationship Id="rId952" Type="http://schemas.openxmlformats.org/officeDocument/2006/relationships/hyperlink" Target="http://davidsusman.com" TargetMode="External"/><Relationship Id="rId951" Type="http://schemas.openxmlformats.org/officeDocument/2006/relationships/hyperlink" Target="http://bit.ly/2TD8LDy" TargetMode="External"/><Relationship Id="rId958" Type="http://schemas.openxmlformats.org/officeDocument/2006/relationships/hyperlink" Target="https://www.studyfinds.org/speak-up-self-silencing-may-lead-to-serious-heart-problems-for-women/" TargetMode="External"/><Relationship Id="rId957" Type="http://schemas.openxmlformats.org/officeDocument/2006/relationships/hyperlink" Target="http://www.kissmediaco.com" TargetMode="External"/><Relationship Id="rId956" Type="http://schemas.openxmlformats.org/officeDocument/2006/relationships/hyperlink" Target="http://durham-autism.org" TargetMode="External"/><Relationship Id="rId955" Type="http://schemas.openxmlformats.org/officeDocument/2006/relationships/hyperlink" Target="http://queenofthedistracted.blogspot.com/" TargetMode="External"/><Relationship Id="rId950" Type="http://schemas.openxmlformats.org/officeDocument/2006/relationships/hyperlink" Target="http://theawkwardarmadillo.com/" TargetMode="External"/><Relationship Id="rId2870" Type="http://schemas.openxmlformats.org/officeDocument/2006/relationships/hyperlink" Target="https://pbs.twimg.com/media/EOkDxgXWAAAqtHp.jpg" TargetMode="External"/><Relationship Id="rId1540" Type="http://schemas.openxmlformats.org/officeDocument/2006/relationships/hyperlink" Target="https://philadelphia.cbslocal.com/2020/01/17/police-pennsylvania-woman-drives-into-path-of-oncoming-vehicle-while-waiting-for-calling-from-god/" TargetMode="External"/><Relationship Id="rId2871" Type="http://schemas.openxmlformats.org/officeDocument/2006/relationships/hyperlink" Target="http://ambienteer.bandcamp.com" TargetMode="External"/><Relationship Id="rId1541" Type="http://schemas.openxmlformats.org/officeDocument/2006/relationships/hyperlink" Target="https://pbs.twimg.com/media/EOlS-OZUUAEWPH7.jpg" TargetMode="External"/><Relationship Id="rId2872" Type="http://schemas.openxmlformats.org/officeDocument/2006/relationships/hyperlink" Target="http://bit.ly/1DaEBuv" TargetMode="External"/><Relationship Id="rId1542" Type="http://schemas.openxmlformats.org/officeDocument/2006/relationships/hyperlink" Target="http://annikenhaga.wordpress.com" TargetMode="External"/><Relationship Id="rId2873" Type="http://schemas.openxmlformats.org/officeDocument/2006/relationships/hyperlink" Target="http://drpokea.com" TargetMode="External"/><Relationship Id="rId2027" Type="http://schemas.openxmlformats.org/officeDocument/2006/relationships/hyperlink" Target="https://pbs.twimg.com/media/EOk2ro8X0Ac8468.png" TargetMode="External"/><Relationship Id="rId3359" Type="http://schemas.openxmlformats.org/officeDocument/2006/relationships/hyperlink" Target="https://www.instagram.com/p/B7dJw9BnUpZ/?igshid=iflg1uwbxarz" TargetMode="External"/><Relationship Id="rId2028" Type="http://schemas.openxmlformats.org/officeDocument/2006/relationships/hyperlink" Target="http://www.crowneddaemonstudios.net" TargetMode="External"/><Relationship Id="rId3358" Type="http://schemas.openxmlformats.org/officeDocument/2006/relationships/hyperlink" Target="https://pbs.twimg.com/media/EOeYOhyX4AUKQOn.jpg" TargetMode="External"/><Relationship Id="rId2029" Type="http://schemas.openxmlformats.org/officeDocument/2006/relationships/hyperlink" Target="https://pbs.twimg.com/media/EOk2r7HU4AAG9ML.jpg" TargetMode="External"/><Relationship Id="rId107" Type="http://schemas.openxmlformats.org/officeDocument/2006/relationships/hyperlink" Target="https://www.instagram.com/p/B7e_27CgFuh/?igshid=1w5tigy5k0nq8" TargetMode="External"/><Relationship Id="rId106" Type="http://schemas.openxmlformats.org/officeDocument/2006/relationships/hyperlink" Target="https://sites.google.com/a/virginia.edu/prathyush_sambaturu/" TargetMode="External"/><Relationship Id="rId105" Type="http://schemas.openxmlformats.org/officeDocument/2006/relationships/hyperlink" Target="http://psycamore.com/" TargetMode="External"/><Relationship Id="rId104" Type="http://schemas.openxmlformats.org/officeDocument/2006/relationships/hyperlink" Target="https://pbs.twimg.com/media/EOnEYf2WAAEUeKb.jpg" TargetMode="External"/><Relationship Id="rId109" Type="http://schemas.openxmlformats.org/officeDocument/2006/relationships/hyperlink" Target="https://pbs.twimg.com/media/EOnBMtTW4AAPwiZ.png" TargetMode="External"/><Relationship Id="rId108" Type="http://schemas.openxmlformats.org/officeDocument/2006/relationships/hyperlink" Target="http://www.obtainingbliss.com" TargetMode="External"/><Relationship Id="rId3351" Type="http://schemas.openxmlformats.org/officeDocument/2006/relationships/hyperlink" Target="http://www.evidenceinmind.co.uk" TargetMode="External"/><Relationship Id="rId2020" Type="http://schemas.openxmlformats.org/officeDocument/2006/relationships/hyperlink" Target="https://pbs.twimg.com/media/EOk22euW4AAYgtb.jpg" TargetMode="External"/><Relationship Id="rId3350" Type="http://schemas.openxmlformats.org/officeDocument/2006/relationships/hyperlink" Target="https://www.instagram.com/p/B7dKVVFlqvj/?igshid=dc15o9xh9kg2" TargetMode="External"/><Relationship Id="rId2021" Type="http://schemas.openxmlformats.org/officeDocument/2006/relationships/hyperlink" Target="http://www.motoraty.com" TargetMode="External"/><Relationship Id="rId3353" Type="http://schemas.openxmlformats.org/officeDocument/2006/relationships/hyperlink" Target="http://pic.twitter.com/gqY9Lttwa7" TargetMode="External"/><Relationship Id="rId2022" Type="http://schemas.openxmlformats.org/officeDocument/2006/relationships/hyperlink" Target="https://pbs.twimg.com/media/EOk2pzXXkAADJ3x.jpg" TargetMode="External"/><Relationship Id="rId3352" Type="http://schemas.openxmlformats.org/officeDocument/2006/relationships/hyperlink" Target="https://moreunited.org.uk/join/" TargetMode="External"/><Relationship Id="rId103" Type="http://schemas.openxmlformats.org/officeDocument/2006/relationships/hyperlink" Target="https://pbs.twimg.com/media/EOnEwixW4AEdSPI.jpg" TargetMode="External"/><Relationship Id="rId2023" Type="http://schemas.openxmlformats.org/officeDocument/2006/relationships/hyperlink" Target="http://www.blurb.com/ebooks/656264-the-angel-in-the-darkness" TargetMode="External"/><Relationship Id="rId3355" Type="http://schemas.openxmlformats.org/officeDocument/2006/relationships/hyperlink" Target="http://ow.ly/D9hF30q9VaJ" TargetMode="External"/><Relationship Id="rId102" Type="http://schemas.openxmlformats.org/officeDocument/2006/relationships/hyperlink" Target="http://www.nickengerer.org/longevity/subscribe" TargetMode="External"/><Relationship Id="rId2024" Type="http://schemas.openxmlformats.org/officeDocument/2006/relationships/hyperlink" Target="https://twitter.com/yavecesnieso/status/1217984234738065408" TargetMode="External"/><Relationship Id="rId3354" Type="http://schemas.openxmlformats.org/officeDocument/2006/relationships/hyperlink" Target="http://moreunited.org.uk" TargetMode="External"/><Relationship Id="rId101" Type="http://schemas.openxmlformats.org/officeDocument/2006/relationships/hyperlink" Target="https://www.theglobeandmail.com/canada/article-half-of-canadians-have-too-few-local-psychiatrists-or-none-at-all/" TargetMode="External"/><Relationship Id="rId2025" Type="http://schemas.openxmlformats.org/officeDocument/2006/relationships/hyperlink" Target="https://pbs.twimg.com/media/EOcmMsTWAAAha0I.jpg" TargetMode="External"/><Relationship Id="rId3357" Type="http://schemas.openxmlformats.org/officeDocument/2006/relationships/hyperlink" Target="https://twitter.com/PKT_develop/status/1218447268178800642" TargetMode="External"/><Relationship Id="rId100" Type="http://schemas.openxmlformats.org/officeDocument/2006/relationships/hyperlink" Target="https://app.wysa.io/install" TargetMode="External"/><Relationship Id="rId2026" Type="http://schemas.openxmlformats.org/officeDocument/2006/relationships/hyperlink" Target="https://www.indiegogo.com/projects/simulacracea-visual-novel-game/x/22820792" TargetMode="External"/><Relationship Id="rId3356" Type="http://schemas.openxmlformats.org/officeDocument/2006/relationships/hyperlink" Target="https://www.sefton.gov.uk/public-health.aspx" TargetMode="External"/><Relationship Id="rId2016" Type="http://schemas.openxmlformats.org/officeDocument/2006/relationships/hyperlink" Target="http://pic.twitter.com/DCJKHV9Lcy" TargetMode="External"/><Relationship Id="rId3348" Type="http://schemas.openxmlformats.org/officeDocument/2006/relationships/hyperlink" Target="http://www.lamsaleb.org" TargetMode="External"/><Relationship Id="rId2017" Type="http://schemas.openxmlformats.org/officeDocument/2006/relationships/hyperlink" Target="https://pbs.twimg.com/media/EOk26xNXsAE7-wi.jpg" TargetMode="External"/><Relationship Id="rId3347" Type="http://schemas.openxmlformats.org/officeDocument/2006/relationships/hyperlink" Target="http://pic.twitter.com/D0o9Snzxm3" TargetMode="External"/><Relationship Id="rId2018" Type="http://schemas.openxmlformats.org/officeDocument/2006/relationships/hyperlink" Target="http://www.mhans.org/" TargetMode="External"/><Relationship Id="rId2019" Type="http://schemas.openxmlformats.org/officeDocument/2006/relationships/hyperlink" Target="https://www.healthline.com/health/box-breathing?utm_medium=social&amp;utm_source=twitter&amp;utm_campaign=social-sharebar-referred-desktop" TargetMode="External"/><Relationship Id="rId3349" Type="http://schemas.openxmlformats.org/officeDocument/2006/relationships/hyperlink" Target="https://www.seechangehypnotherapy.com/" TargetMode="External"/><Relationship Id="rId3340" Type="http://schemas.openxmlformats.org/officeDocument/2006/relationships/hyperlink" Target="http://www.ukconstructionmedia.co.uk" TargetMode="External"/><Relationship Id="rId2010" Type="http://schemas.openxmlformats.org/officeDocument/2006/relationships/hyperlink" Target="https://pbs.twimg.com/media/EOk3dC2X4AEHbEQ.jpg" TargetMode="External"/><Relationship Id="rId3342" Type="http://schemas.openxmlformats.org/officeDocument/2006/relationships/hyperlink" Target="https://pbs.twimg.com/media/EOfucXDXsAMAtW4.jpg" TargetMode="External"/><Relationship Id="rId2011" Type="http://schemas.openxmlformats.org/officeDocument/2006/relationships/hyperlink" Target="https://buff.ly/2NAY2Wx" TargetMode="External"/><Relationship Id="rId3341" Type="http://schemas.openxmlformats.org/officeDocument/2006/relationships/hyperlink" Target="http://bit.ly/2ybmWoM" TargetMode="External"/><Relationship Id="rId2012" Type="http://schemas.openxmlformats.org/officeDocument/2006/relationships/hyperlink" Target="https://pbs.twimg.com/media/EOk3Ss6XUAAqSNe.jpg" TargetMode="External"/><Relationship Id="rId3344" Type="http://schemas.openxmlformats.org/officeDocument/2006/relationships/hyperlink" Target="http://www.eqfinity.com" TargetMode="External"/><Relationship Id="rId2013" Type="http://schemas.openxmlformats.org/officeDocument/2006/relationships/hyperlink" Target="http://www.rtor.org" TargetMode="External"/><Relationship Id="rId3343" Type="http://schemas.openxmlformats.org/officeDocument/2006/relationships/hyperlink" Target="http://www.moneyandmentalhealth.org" TargetMode="External"/><Relationship Id="rId2014" Type="http://schemas.openxmlformats.org/officeDocument/2006/relationships/hyperlink" Target="http://pic.twitter.com/TAvvY9vYXQ" TargetMode="External"/><Relationship Id="rId3346" Type="http://schemas.openxmlformats.org/officeDocument/2006/relationships/hyperlink" Target="https://www.eqfinity.com" TargetMode="External"/><Relationship Id="rId2015" Type="http://schemas.openxmlformats.org/officeDocument/2006/relationships/hyperlink" Target="http://www.mhans.org/" TargetMode="External"/><Relationship Id="rId3345" Type="http://schemas.openxmlformats.org/officeDocument/2006/relationships/hyperlink" Target="https://pbs.twimg.com/media/EOjZgiJU4AAO42x.jpg" TargetMode="External"/><Relationship Id="rId2049" Type="http://schemas.openxmlformats.org/officeDocument/2006/relationships/hyperlink" Target="https://pbs.twimg.com/media/EOk1e6eX4AAcSa7.jpg" TargetMode="External"/><Relationship Id="rId129" Type="http://schemas.openxmlformats.org/officeDocument/2006/relationships/hyperlink" Target="http://healthpromotion.gsu.edu" TargetMode="External"/><Relationship Id="rId128" Type="http://schemas.openxmlformats.org/officeDocument/2006/relationships/hyperlink" Target="https://pbs.twimg.com/media/EOm_txnUYAAWxdu.jpg" TargetMode="External"/><Relationship Id="rId127" Type="http://schemas.openxmlformats.org/officeDocument/2006/relationships/hyperlink" Target="https://screening.mentalhealthscreening.org/gsu" TargetMode="External"/><Relationship Id="rId126" Type="http://schemas.openxmlformats.org/officeDocument/2006/relationships/hyperlink" Target="http://www.centerfortherapy.net" TargetMode="External"/><Relationship Id="rId3371" Type="http://schemas.openxmlformats.org/officeDocument/2006/relationships/hyperlink" Target="https://pbs.twimg.com/media/EOjW3WDW4AYTDlN.jpg" TargetMode="External"/><Relationship Id="rId2040" Type="http://schemas.openxmlformats.org/officeDocument/2006/relationships/hyperlink" Target="http://www.patreon.com/unjuliwrites" TargetMode="External"/><Relationship Id="rId3370" Type="http://schemas.openxmlformats.org/officeDocument/2006/relationships/hyperlink" Target="https://www.onlinecounselling4u.com/" TargetMode="External"/><Relationship Id="rId121" Type="http://schemas.openxmlformats.org/officeDocument/2006/relationships/hyperlink" Target="http://australialatestnews.com" TargetMode="External"/><Relationship Id="rId2041" Type="http://schemas.openxmlformats.org/officeDocument/2006/relationships/hyperlink" Target="http://dumirocks.wordpress.com" TargetMode="External"/><Relationship Id="rId3373" Type="http://schemas.openxmlformats.org/officeDocument/2006/relationships/hyperlink" Target="https://pbs.twimg.com/media/EOjW0qgWkAEYqw0.jpg" TargetMode="External"/><Relationship Id="rId120" Type="http://schemas.openxmlformats.org/officeDocument/2006/relationships/hyperlink" Target="http://australialatestnews.com" TargetMode="External"/><Relationship Id="rId2042" Type="http://schemas.openxmlformats.org/officeDocument/2006/relationships/hyperlink" Target="https://twitter.com/g_eniola/status/1217851777422413825" TargetMode="External"/><Relationship Id="rId3372" Type="http://schemas.openxmlformats.org/officeDocument/2006/relationships/hyperlink" Target="http://hresque.co.uk" TargetMode="External"/><Relationship Id="rId2043" Type="http://schemas.openxmlformats.org/officeDocument/2006/relationships/hyperlink" Target="http://pic.twitter.com/8k9dcDBL9V" TargetMode="External"/><Relationship Id="rId3375" Type="http://schemas.openxmlformats.org/officeDocument/2006/relationships/hyperlink" Target="https://pbs.twimg.com/media/EOjWXg0X4AAtiG9.jpg" TargetMode="External"/><Relationship Id="rId2044" Type="http://schemas.openxmlformats.org/officeDocument/2006/relationships/hyperlink" Target="http://www.nursingworldnigeria.com" TargetMode="External"/><Relationship Id="rId3374" Type="http://schemas.openxmlformats.org/officeDocument/2006/relationships/hyperlink" Target="http://www.seansplace.org.uk" TargetMode="External"/><Relationship Id="rId125" Type="http://schemas.openxmlformats.org/officeDocument/2006/relationships/hyperlink" Target="https://pbs.twimg.com/media/EOnBeqFU0AM16v3.jpg" TargetMode="External"/><Relationship Id="rId2045" Type="http://schemas.openxmlformats.org/officeDocument/2006/relationships/hyperlink" Target="https://pbs.twimg.com/media/EOk1V_QWAAALmBa.jpg" TargetMode="External"/><Relationship Id="rId3377" Type="http://schemas.openxmlformats.org/officeDocument/2006/relationships/hyperlink" Target="http://pic.twitter.com/3c5U3F7cUF" TargetMode="External"/><Relationship Id="rId124" Type="http://schemas.openxmlformats.org/officeDocument/2006/relationships/hyperlink" Target="https://mailchi.mp/centerfortherapy/help-my-kids-in-a-slump" TargetMode="External"/><Relationship Id="rId2046" Type="http://schemas.openxmlformats.org/officeDocument/2006/relationships/hyperlink" Target="http://www.laurenpresutti.com" TargetMode="External"/><Relationship Id="rId3376" Type="http://schemas.openxmlformats.org/officeDocument/2006/relationships/hyperlink" Target="http://mindaberystwyth.org" TargetMode="External"/><Relationship Id="rId123" Type="http://schemas.openxmlformats.org/officeDocument/2006/relationships/hyperlink" Target="http://www.australialatestnews.com" TargetMode="External"/><Relationship Id="rId2047" Type="http://schemas.openxmlformats.org/officeDocument/2006/relationships/hyperlink" Target="https://www.youtube.com/playlist?list=PLZ2QT5HxHgS6LuicbFt5Cm8JHs1vP_Le9" TargetMode="External"/><Relationship Id="rId3379" Type="http://schemas.openxmlformats.org/officeDocument/2006/relationships/hyperlink" Target="http://hresque.co.uk" TargetMode="External"/><Relationship Id="rId122" Type="http://schemas.openxmlformats.org/officeDocument/2006/relationships/hyperlink" Target="https://pbs.twimg.com/media/EOnBj_9UwAEYorH.jpg" TargetMode="External"/><Relationship Id="rId2048" Type="http://schemas.openxmlformats.org/officeDocument/2006/relationships/hyperlink" Target="http://taragenovese.com" TargetMode="External"/><Relationship Id="rId3378" Type="http://schemas.openxmlformats.org/officeDocument/2006/relationships/hyperlink" Target="http://pic.twitter.com/UPE7E0VK0C" TargetMode="External"/><Relationship Id="rId2038" Type="http://schemas.openxmlformats.org/officeDocument/2006/relationships/hyperlink" Target="https://bit.ly/2FT8BzS" TargetMode="External"/><Relationship Id="rId2039" Type="http://schemas.openxmlformats.org/officeDocument/2006/relationships/hyperlink" Target="http://www.ophea.net" TargetMode="External"/><Relationship Id="rId3369" Type="http://schemas.openxmlformats.org/officeDocument/2006/relationships/hyperlink" Target="https://pbs.twimg.com/media/EOjW70hVAAADJen.jpg" TargetMode="External"/><Relationship Id="rId118" Type="http://schemas.openxmlformats.org/officeDocument/2006/relationships/hyperlink" Target="https://www.harnessmagazine.com/the-attack/" TargetMode="External"/><Relationship Id="rId117" Type="http://schemas.openxmlformats.org/officeDocument/2006/relationships/hyperlink" Target="http://drpokea.com" TargetMode="External"/><Relationship Id="rId116" Type="http://schemas.openxmlformats.org/officeDocument/2006/relationships/hyperlink" Target="http://psy.pub/1kbPf6l" TargetMode="External"/><Relationship Id="rId115" Type="http://schemas.openxmlformats.org/officeDocument/2006/relationships/hyperlink" Target="http://paintedbrain.org" TargetMode="External"/><Relationship Id="rId3360" Type="http://schemas.openxmlformats.org/officeDocument/2006/relationships/hyperlink" Target="http://wesdosatoridojo.com" TargetMode="External"/><Relationship Id="rId119" Type="http://schemas.openxmlformats.org/officeDocument/2006/relationships/hyperlink" Target="https://msha.ke/harnessmagazine" TargetMode="External"/><Relationship Id="rId110" Type="http://schemas.openxmlformats.org/officeDocument/2006/relationships/hyperlink" Target="http://www.emsofvirginia.com" TargetMode="External"/><Relationship Id="rId2030" Type="http://schemas.openxmlformats.org/officeDocument/2006/relationships/hyperlink" Target="https://aimattitude.com" TargetMode="External"/><Relationship Id="rId3362" Type="http://schemas.openxmlformats.org/officeDocument/2006/relationships/hyperlink" Target="http://www.holdingspace.org.uk" TargetMode="External"/><Relationship Id="rId2031" Type="http://schemas.openxmlformats.org/officeDocument/2006/relationships/hyperlink" Target="https://www.facebook.com/66104195/posts/10101749710518552/" TargetMode="External"/><Relationship Id="rId3361" Type="http://schemas.openxmlformats.org/officeDocument/2006/relationships/hyperlink" Target="https://pbs.twimg.com/media/EOjXqWTXkAEpG1k.jpg" TargetMode="External"/><Relationship Id="rId2032" Type="http://schemas.openxmlformats.org/officeDocument/2006/relationships/hyperlink" Target="http://www.myhealing.space" TargetMode="External"/><Relationship Id="rId3364" Type="http://schemas.openxmlformats.org/officeDocument/2006/relationships/hyperlink" Target="https://pbs.twimg.com/media/EOeYOhyX4AUKQOn.jpg" TargetMode="External"/><Relationship Id="rId2033" Type="http://schemas.openxmlformats.org/officeDocument/2006/relationships/hyperlink" Target="http://bit.ly/2R1gHwU" TargetMode="External"/><Relationship Id="rId3363" Type="http://schemas.openxmlformats.org/officeDocument/2006/relationships/hyperlink" Target="https://twitter.com/BBCBreakfast/status/1218292662886789120" TargetMode="External"/><Relationship Id="rId114" Type="http://schemas.openxmlformats.org/officeDocument/2006/relationships/hyperlink" Target="https://pbs.twimg.com/media/EOnCAe2XUAA8CFq.jpg" TargetMode="External"/><Relationship Id="rId2034" Type="http://schemas.openxmlformats.org/officeDocument/2006/relationships/hyperlink" Target="http://www.nviewhealth.com" TargetMode="External"/><Relationship Id="rId3366" Type="http://schemas.openxmlformats.org/officeDocument/2006/relationships/hyperlink" Target="https://pbs.twimg.com/media/EOjXFFcX4AAkDpz.jpg" TargetMode="External"/><Relationship Id="rId113" Type="http://schemas.openxmlformats.org/officeDocument/2006/relationships/hyperlink" Target="http://ow.ly/yNRO50xOg48" TargetMode="External"/><Relationship Id="rId2035" Type="http://schemas.openxmlformats.org/officeDocument/2006/relationships/hyperlink" Target="https://www.youtube.com/watch?v=VJuZ5wM1_AM" TargetMode="External"/><Relationship Id="rId3365" Type="http://schemas.openxmlformats.org/officeDocument/2006/relationships/hyperlink" Target="http://www.bwrt.org" TargetMode="External"/><Relationship Id="rId112" Type="http://schemas.openxmlformats.org/officeDocument/2006/relationships/hyperlink" Target="http://nutritionsolutionsanneguzman.com" TargetMode="External"/><Relationship Id="rId2036" Type="http://schemas.openxmlformats.org/officeDocument/2006/relationships/hyperlink" Target="https://time.com/collection/davos-2020-mental-health/" TargetMode="External"/><Relationship Id="rId3368" Type="http://schemas.openxmlformats.org/officeDocument/2006/relationships/hyperlink" Target="https://twitter.com/XchurchRBL/status/1218452574220832768" TargetMode="External"/><Relationship Id="rId111" Type="http://schemas.openxmlformats.org/officeDocument/2006/relationships/hyperlink" Target="https://www.nytimes.com/guides/well/how-to-be-happy" TargetMode="External"/><Relationship Id="rId2037" Type="http://schemas.openxmlformats.org/officeDocument/2006/relationships/hyperlink" Target="https://www.facebook.com/empathyhopeproject/" TargetMode="External"/><Relationship Id="rId3367" Type="http://schemas.openxmlformats.org/officeDocument/2006/relationships/hyperlink" Target="https://julianpinnick.wordpress.com/2019/07/14/mad-mr-turner/" TargetMode="External"/><Relationship Id="rId3315" Type="http://schemas.openxmlformats.org/officeDocument/2006/relationships/hyperlink" Target="https://pbs.twimg.com/media/EOjb_07WsAAAJQp.jpg" TargetMode="External"/><Relationship Id="rId3314" Type="http://schemas.openxmlformats.org/officeDocument/2006/relationships/hyperlink" Target="https://buff.ly/2WkvUgQ" TargetMode="External"/><Relationship Id="rId3317" Type="http://schemas.openxmlformats.org/officeDocument/2006/relationships/hyperlink" Target="https://pbs.twimg.com/media/EOjbhmCXUAAZnfv.jpg" TargetMode="External"/><Relationship Id="rId3316" Type="http://schemas.openxmlformats.org/officeDocument/2006/relationships/hyperlink" Target="http://mckinneyconsulting.com" TargetMode="External"/><Relationship Id="rId3319" Type="http://schemas.openxmlformats.org/officeDocument/2006/relationships/hyperlink" Target="https://www.instagram.com/p/B7dLm10FHTH/?igshid=1m8dzef22ruiq" TargetMode="External"/><Relationship Id="rId3318" Type="http://schemas.openxmlformats.org/officeDocument/2006/relationships/hyperlink" Target="http://www.organeco.ltd" TargetMode="External"/><Relationship Id="rId3311" Type="http://schemas.openxmlformats.org/officeDocument/2006/relationships/hyperlink" Target="https://www.zimzamsafari.com" TargetMode="External"/><Relationship Id="rId3310" Type="http://schemas.openxmlformats.org/officeDocument/2006/relationships/hyperlink" Target="http://www.nays.com.pk" TargetMode="External"/><Relationship Id="rId3313" Type="http://schemas.openxmlformats.org/officeDocument/2006/relationships/hyperlink" Target="https://www.diabetes.co.uk/news/2020/jan/Young-people-with-diabetes-at-higher-risk-of-suicide-study-finds.html" TargetMode="External"/><Relationship Id="rId3312" Type="http://schemas.openxmlformats.org/officeDocument/2006/relationships/hyperlink" Target="https://pbs.twimg.com/media/EOjcBpLWkAEwXdD.jpg" TargetMode="External"/><Relationship Id="rId3304" Type="http://schemas.openxmlformats.org/officeDocument/2006/relationships/hyperlink" Target="http://www.bluebellcare.org" TargetMode="External"/><Relationship Id="rId3303" Type="http://schemas.openxmlformats.org/officeDocument/2006/relationships/hyperlink" Target="https://news.sky.com/story/call-for-all-new-fathers-to-be-routinely-checked-for-post-natal-depression-11911277" TargetMode="External"/><Relationship Id="rId3306" Type="http://schemas.openxmlformats.org/officeDocument/2006/relationships/hyperlink" Target="http://www.myhealthafrica.com" TargetMode="External"/><Relationship Id="rId3305" Type="http://schemas.openxmlformats.org/officeDocument/2006/relationships/hyperlink" Target="https://www.instagram.com/p/B7dMhd_A6IZ/?igshid=19aj36xjzsutl" TargetMode="External"/><Relationship Id="rId3308" Type="http://schemas.openxmlformats.org/officeDocument/2006/relationships/hyperlink" Target="http://www.myhealthafrica.com" TargetMode="External"/><Relationship Id="rId3307" Type="http://schemas.openxmlformats.org/officeDocument/2006/relationships/hyperlink" Target="https://pbs.twimg.com/media/EOjdShBW4AAy4jW.jpg" TargetMode="External"/><Relationship Id="rId3309" Type="http://schemas.openxmlformats.org/officeDocument/2006/relationships/hyperlink" Target="http://pic.twitter.com/nQ1jRMM5Bn" TargetMode="External"/><Relationship Id="rId3300" Type="http://schemas.openxmlformats.org/officeDocument/2006/relationships/hyperlink" Target="http://www.sexybrilliant.com" TargetMode="External"/><Relationship Id="rId3302" Type="http://schemas.openxmlformats.org/officeDocument/2006/relationships/hyperlink" Target="http://www.sexybrilliant.com" TargetMode="External"/><Relationship Id="rId3301" Type="http://schemas.openxmlformats.org/officeDocument/2006/relationships/hyperlink" Target="https://pbs.twimg.com/media/EOjdztjW4AEWceZ.jpg" TargetMode="External"/><Relationship Id="rId2005" Type="http://schemas.openxmlformats.org/officeDocument/2006/relationships/hyperlink" Target="http://www.sunriseacademytx.com" TargetMode="External"/><Relationship Id="rId3337" Type="http://schemas.openxmlformats.org/officeDocument/2006/relationships/hyperlink" Target="https://www.instagram.com/p/B7dKu-uAL7N7BbLyrRWeMmtNSeOuve7we4efyg0/?igshid=f7hrjyepgtop" TargetMode="External"/><Relationship Id="rId2006" Type="http://schemas.openxmlformats.org/officeDocument/2006/relationships/hyperlink" Target="https://www.bbc.com/news/world-us-canada-51090163" TargetMode="External"/><Relationship Id="rId3336" Type="http://schemas.openxmlformats.org/officeDocument/2006/relationships/hyperlink" Target="http://mentalhealthbuildingblocks.co.uk" TargetMode="External"/><Relationship Id="rId2007" Type="http://schemas.openxmlformats.org/officeDocument/2006/relationships/hyperlink" Target="https://www.sobertheory.com" TargetMode="External"/><Relationship Id="rId3339" Type="http://schemas.openxmlformats.org/officeDocument/2006/relationships/hyperlink" Target="https://pbs.twimg.com/media/EOjZr6dWsAYvdw1.jpg" TargetMode="External"/><Relationship Id="rId2008" Type="http://schemas.openxmlformats.org/officeDocument/2006/relationships/hyperlink" Target="http://bit.ly/38998d5" TargetMode="External"/><Relationship Id="rId3338" Type="http://schemas.openxmlformats.org/officeDocument/2006/relationships/hyperlink" Target="http://ow.ly/cH4k30q8ZqE" TargetMode="External"/><Relationship Id="rId2009" Type="http://schemas.openxmlformats.org/officeDocument/2006/relationships/hyperlink" Target="http://www.newhaven.edu/" TargetMode="External"/><Relationship Id="rId3331" Type="http://schemas.openxmlformats.org/officeDocument/2006/relationships/hyperlink" Target="http://pic.twitter.com/lksw3hQVQG" TargetMode="External"/><Relationship Id="rId2000" Type="http://schemas.openxmlformats.org/officeDocument/2006/relationships/hyperlink" Target="https://pbs.twimg.com/media/EOk4i9gX4AExZNv.jpg" TargetMode="External"/><Relationship Id="rId3330" Type="http://schemas.openxmlformats.org/officeDocument/2006/relationships/hyperlink" Target="http://www.georgebarnes.co.uk" TargetMode="External"/><Relationship Id="rId2001" Type="http://schemas.openxmlformats.org/officeDocument/2006/relationships/hyperlink" Target="https://bit.ly/2u9oMX3" TargetMode="External"/><Relationship Id="rId3333" Type="http://schemas.openxmlformats.org/officeDocument/2006/relationships/hyperlink" Target="https://pbs.twimg.com/media/EOjaMybXkAAI1Ne.jpg" TargetMode="External"/><Relationship Id="rId2002" Type="http://schemas.openxmlformats.org/officeDocument/2006/relationships/hyperlink" Target="http://www.silverhillhospital.org" TargetMode="External"/><Relationship Id="rId3332" Type="http://schemas.openxmlformats.org/officeDocument/2006/relationships/hyperlink" Target="https://www.eatingdisorderhope.com/blog/observations-eating-disorders-lgbtq-community" TargetMode="External"/><Relationship Id="rId2003" Type="http://schemas.openxmlformats.org/officeDocument/2006/relationships/hyperlink" Target="http://www.naturibeauty.com/art-psychological-testing/" TargetMode="External"/><Relationship Id="rId3335" Type="http://schemas.openxmlformats.org/officeDocument/2006/relationships/hyperlink" Target="https://pbs.twimg.com/media/EOjaMJhXsAIP4It.jpg" TargetMode="External"/><Relationship Id="rId2004" Type="http://schemas.openxmlformats.org/officeDocument/2006/relationships/hyperlink" Target="http://drpokea.com" TargetMode="External"/><Relationship Id="rId3334" Type="http://schemas.openxmlformats.org/officeDocument/2006/relationships/hyperlink" Target="https://www.eventbrite.co.uk/e/suicide-prevention-training-safetalk-tickets-88554120759?ref=eios" TargetMode="External"/><Relationship Id="rId3326" Type="http://schemas.openxmlformats.org/officeDocument/2006/relationships/hyperlink" Target="http://www.profsiobhanoneill.com" TargetMode="External"/><Relationship Id="rId3325" Type="http://schemas.openxmlformats.org/officeDocument/2006/relationships/hyperlink" Target="https://www.facebook.com/jawahar.singh2" TargetMode="External"/><Relationship Id="rId3328" Type="http://schemas.openxmlformats.org/officeDocument/2006/relationships/hyperlink" Target="http://www.georgebarnes.co.uk/career/sacked-for-being-mentally-ill-was-like-a-bullet-to-the-head/" TargetMode="External"/><Relationship Id="rId3327" Type="http://schemas.openxmlformats.org/officeDocument/2006/relationships/hyperlink" Target="https://www.facebook.com/a.aj89" TargetMode="External"/><Relationship Id="rId3329" Type="http://schemas.openxmlformats.org/officeDocument/2006/relationships/hyperlink" Target="https://pbs.twimg.com/media/EOjannzXkAAIptc.jpg" TargetMode="External"/><Relationship Id="rId3320" Type="http://schemas.openxmlformats.org/officeDocument/2006/relationships/hyperlink" Target="https://bit.ly/2FqnVE3" TargetMode="External"/><Relationship Id="rId3322" Type="http://schemas.openxmlformats.org/officeDocument/2006/relationships/hyperlink" Target="https://pbs.twimg.com/media/EOjbDHcUEAc1FJT.png" TargetMode="External"/><Relationship Id="rId3321" Type="http://schemas.openxmlformats.org/officeDocument/2006/relationships/hyperlink" Target="http://mdhs.unimelb.edu.au/" TargetMode="External"/><Relationship Id="rId3324" Type="http://schemas.openxmlformats.org/officeDocument/2006/relationships/hyperlink" Target="https://pbs.twimg.com/media/EOja-rEVAAAF1ZX.jpg" TargetMode="External"/><Relationship Id="rId3323" Type="http://schemas.openxmlformats.org/officeDocument/2006/relationships/hyperlink" Target="http://www.sunnetwork.org.uk" TargetMode="External"/><Relationship Id="rId2090" Type="http://schemas.openxmlformats.org/officeDocument/2006/relationships/hyperlink" Target="http://compeerbuffalo.org" TargetMode="External"/><Relationship Id="rId2091" Type="http://schemas.openxmlformats.org/officeDocument/2006/relationships/hyperlink" Target="https://theconversation.com/black-kids-and-suicide-why-are-rates-so-high-and-so-ignored-127066?utm_medium=amptwitter&amp;utm_source=twitter" TargetMode="External"/><Relationship Id="rId2092" Type="http://schemas.openxmlformats.org/officeDocument/2006/relationships/hyperlink" Target="http://www.espwa-haiti.org" TargetMode="External"/><Relationship Id="rId2093" Type="http://schemas.openxmlformats.org/officeDocument/2006/relationships/hyperlink" Target="https://www.amazon.com/Ten-Steps-Finding-Happy-Satisfaction/dp/0996430660/ref=mp_s_a_1_13?keywords=selene+castrovilla&amp;qid=1578441358&amp;sr=8-13" TargetMode="External"/><Relationship Id="rId2094" Type="http://schemas.openxmlformats.org/officeDocument/2006/relationships/hyperlink" Target="https://podcasts.apple.com/us/podcast/neurotic-nourishment/id1464366670" TargetMode="External"/><Relationship Id="rId2095" Type="http://schemas.openxmlformats.org/officeDocument/2006/relationships/hyperlink" Target="http://pic.twitter.com/fWBO84LeIO" TargetMode="External"/><Relationship Id="rId2096" Type="http://schemas.openxmlformats.org/officeDocument/2006/relationships/hyperlink" Target="https://www.yhelpnow.com" TargetMode="External"/><Relationship Id="rId2097" Type="http://schemas.openxmlformats.org/officeDocument/2006/relationships/hyperlink" Target="https://twitter.com/HappyHeadsMH/status/1218543444639068160" TargetMode="External"/><Relationship Id="rId2098" Type="http://schemas.openxmlformats.org/officeDocument/2006/relationships/hyperlink" Target="https://pbs.twimg.com/media/EOkiyxrXkAAuz38.jpg" TargetMode="External"/><Relationship Id="rId2099" Type="http://schemas.openxmlformats.org/officeDocument/2006/relationships/hyperlink" Target="http://www.openmindssocialcare.co.uk" TargetMode="External"/><Relationship Id="rId3391" Type="http://schemas.openxmlformats.org/officeDocument/2006/relationships/hyperlink" Target="https://pbs.twimg.com/media/EOjVTx3W4AAZ_yg.jpg" TargetMode="External"/><Relationship Id="rId2060" Type="http://schemas.openxmlformats.org/officeDocument/2006/relationships/hyperlink" Target="http://www.myreflexionmedical.com" TargetMode="External"/><Relationship Id="rId3390" Type="http://schemas.openxmlformats.org/officeDocument/2006/relationships/hyperlink" Target="http://lovefirst.world" TargetMode="External"/><Relationship Id="rId2061" Type="http://schemas.openxmlformats.org/officeDocument/2006/relationships/hyperlink" Target="http://bit.ly/2pbLlI3" TargetMode="External"/><Relationship Id="rId3393" Type="http://schemas.openxmlformats.org/officeDocument/2006/relationships/hyperlink" Target="https://pbs.twimg.com/media/EOjVUD8X0AAxH-5.jpg" TargetMode="External"/><Relationship Id="rId2062" Type="http://schemas.openxmlformats.org/officeDocument/2006/relationships/hyperlink" Target="https://pbs.twimg.com/media/EOk1XFAWkAACLrx.jpg" TargetMode="External"/><Relationship Id="rId3392" Type="http://schemas.openxmlformats.org/officeDocument/2006/relationships/hyperlink" Target="http://scotttweedphotography.weebly.com/" TargetMode="External"/><Relationship Id="rId2063" Type="http://schemas.openxmlformats.org/officeDocument/2006/relationships/hyperlink" Target="http://richardcosgrove.co.uk" TargetMode="External"/><Relationship Id="rId3395" Type="http://schemas.openxmlformats.org/officeDocument/2006/relationships/hyperlink" Target="http://ow.ly/vz1S30q94tO" TargetMode="External"/><Relationship Id="rId2064" Type="http://schemas.openxmlformats.org/officeDocument/2006/relationships/hyperlink" Target="https://pbs.twimg.com/media/EOk1VzZUcAYayOb.jpg" TargetMode="External"/><Relationship Id="rId3394" Type="http://schemas.openxmlformats.org/officeDocument/2006/relationships/hyperlink" Target="http://www.adhdsnap.com" TargetMode="External"/><Relationship Id="rId2065" Type="http://schemas.openxmlformats.org/officeDocument/2006/relationships/hyperlink" Target="http://www.mycomeditations.com" TargetMode="External"/><Relationship Id="rId3397" Type="http://schemas.openxmlformats.org/officeDocument/2006/relationships/hyperlink" Target="http://ow.ly/nvML50xUOcz" TargetMode="External"/><Relationship Id="rId2066" Type="http://schemas.openxmlformats.org/officeDocument/2006/relationships/hyperlink" Target="https://bit.ly/2NgS90j" TargetMode="External"/><Relationship Id="rId3396" Type="http://schemas.openxmlformats.org/officeDocument/2006/relationships/hyperlink" Target="http://www.ksbrecruitment.co.uk/" TargetMode="External"/><Relationship Id="rId2067" Type="http://schemas.openxmlformats.org/officeDocument/2006/relationships/hyperlink" Target="https://pbs.twimg.com/media/EOk1TlzWkAA_e8t.jpg" TargetMode="External"/><Relationship Id="rId3399" Type="http://schemas.openxmlformats.org/officeDocument/2006/relationships/hyperlink" Target="http://pic.twitter.com/WcXBNfBR7X" TargetMode="External"/><Relationship Id="rId2068" Type="http://schemas.openxmlformats.org/officeDocument/2006/relationships/hyperlink" Target="http://www.healthyplace.com" TargetMode="External"/><Relationship Id="rId3398" Type="http://schemas.openxmlformats.org/officeDocument/2006/relationships/hyperlink" Target="http://www.ivfbabble.com" TargetMode="External"/><Relationship Id="rId2069" Type="http://schemas.openxmlformats.org/officeDocument/2006/relationships/hyperlink" Target="https://eqf.org/2TmZ8J9" TargetMode="External"/><Relationship Id="rId3380" Type="http://schemas.openxmlformats.org/officeDocument/2006/relationships/hyperlink" Target="http://www.georgebarnes.co.uk/articles/our-new-mental-health-theme-park-is-now-open/" TargetMode="External"/><Relationship Id="rId2050" Type="http://schemas.openxmlformats.org/officeDocument/2006/relationships/hyperlink" Target="https://iamkittyuk.wordpress.com/" TargetMode="External"/><Relationship Id="rId3382" Type="http://schemas.openxmlformats.org/officeDocument/2006/relationships/hyperlink" Target="http://www.georgebarnes.co.uk" TargetMode="External"/><Relationship Id="rId2051" Type="http://schemas.openxmlformats.org/officeDocument/2006/relationships/hyperlink" Target="https://twitter.com/BethFratesMD/status/1218530020320333824" TargetMode="External"/><Relationship Id="rId3381" Type="http://schemas.openxmlformats.org/officeDocument/2006/relationships/hyperlink" Target="https://pbs.twimg.com/media/EOjWEWOWAAAIu0Q.jpg" TargetMode="External"/><Relationship Id="rId2052" Type="http://schemas.openxmlformats.org/officeDocument/2006/relationships/hyperlink" Target="https://pbs.twimg.com/media/EOkWl1dXkAM3mFU.jpg" TargetMode="External"/><Relationship Id="rId3384" Type="http://schemas.openxmlformats.org/officeDocument/2006/relationships/hyperlink" Target="https://twitch.tv/little_ms_jynxie" TargetMode="External"/><Relationship Id="rId2053" Type="http://schemas.openxmlformats.org/officeDocument/2006/relationships/hyperlink" Target="http://www.kari-joys.com" TargetMode="External"/><Relationship Id="rId3383" Type="http://schemas.openxmlformats.org/officeDocument/2006/relationships/hyperlink" Target="https://ctt.ec/fJHwT+" TargetMode="External"/><Relationship Id="rId2054" Type="http://schemas.openxmlformats.org/officeDocument/2006/relationships/hyperlink" Target="http://ow.ly/Ubh350xUEZt" TargetMode="External"/><Relationship Id="rId3386" Type="http://schemas.openxmlformats.org/officeDocument/2006/relationships/hyperlink" Target="http://socsi.in/JvMdR" TargetMode="External"/><Relationship Id="rId2055" Type="http://schemas.openxmlformats.org/officeDocument/2006/relationships/hyperlink" Target="https://pbs.twimg.com/media/EOk1e7EWoAENvkv.jpg" TargetMode="External"/><Relationship Id="rId3385" Type="http://schemas.openxmlformats.org/officeDocument/2006/relationships/hyperlink" Target="http://warriormumproject.com/" TargetMode="External"/><Relationship Id="rId2056" Type="http://schemas.openxmlformats.org/officeDocument/2006/relationships/hyperlink" Target="http://www.thekettle.ca/donate" TargetMode="External"/><Relationship Id="rId3388" Type="http://schemas.openxmlformats.org/officeDocument/2006/relationships/hyperlink" Target="https://jobs.dpt.nhs.uk/" TargetMode="External"/><Relationship Id="rId2057" Type="http://schemas.openxmlformats.org/officeDocument/2006/relationships/hyperlink" Target="https://pbs.twimg.com/media/EOk1bK6X4AEIIKA.jpg" TargetMode="External"/><Relationship Id="rId3387" Type="http://schemas.openxmlformats.org/officeDocument/2006/relationships/hyperlink" Target="https://pbs.twimg.com/media/EOjVpVOWsAEi_eY.jpg" TargetMode="External"/><Relationship Id="rId2058" Type="http://schemas.openxmlformats.org/officeDocument/2006/relationships/hyperlink" Target="http://ow.ly/PXxY30q5r6l" TargetMode="External"/><Relationship Id="rId2059" Type="http://schemas.openxmlformats.org/officeDocument/2006/relationships/hyperlink" Target="https://pbs.twimg.com/media/EOk1XfhX0AAWbr-.jpg" TargetMode="External"/><Relationship Id="rId3389" Type="http://schemas.openxmlformats.org/officeDocument/2006/relationships/hyperlink" Target="https://pbs.twimg.com/media/EOjVZMgU0AAFb3e.jpg" TargetMode="External"/><Relationship Id="rId2080" Type="http://schemas.openxmlformats.org/officeDocument/2006/relationships/hyperlink" Target="https://www.sites.google.com/home/s136news" TargetMode="External"/><Relationship Id="rId2081" Type="http://schemas.openxmlformats.org/officeDocument/2006/relationships/hyperlink" Target="https://twitter.com/thebpdbabe/status/1217502619477905408" TargetMode="External"/><Relationship Id="rId2082" Type="http://schemas.openxmlformats.org/officeDocument/2006/relationships/hyperlink" Target="https://pbs.twimg.com/media/EOk0hGUWkAc8OGG.jpg" TargetMode="External"/><Relationship Id="rId2083" Type="http://schemas.openxmlformats.org/officeDocument/2006/relationships/hyperlink" Target="https://www.instagram.com/p/B7d4GypFm05/?igshid=63gcbd0whyz1" TargetMode="External"/><Relationship Id="rId2084" Type="http://schemas.openxmlformats.org/officeDocument/2006/relationships/hyperlink" Target="http://pratyushsinhafoudation.org" TargetMode="External"/><Relationship Id="rId2085" Type="http://schemas.openxmlformats.org/officeDocument/2006/relationships/hyperlink" Target="https://twitter.com/CharlieWtrust/status/1218473141124636678" TargetMode="External"/><Relationship Id="rId2086" Type="http://schemas.openxmlformats.org/officeDocument/2006/relationships/hyperlink" Target="https://pbs.twimg.com/media/EOji3OUWoAEcf5H.jpg" TargetMode="External"/><Relationship Id="rId2087" Type="http://schemas.openxmlformats.org/officeDocument/2006/relationships/hyperlink" Target="http://www.shirtoffyourbackaz.com" TargetMode="External"/><Relationship Id="rId2088" Type="http://schemas.openxmlformats.org/officeDocument/2006/relationships/hyperlink" Target="https://twitter.com/kevinhinesstory/status/1218292148736491523" TargetMode="External"/><Relationship Id="rId2089" Type="http://schemas.openxmlformats.org/officeDocument/2006/relationships/hyperlink" Target="https://pbs.twimg.com/media/EOg-QL3WAAc9vpp.png" TargetMode="External"/><Relationship Id="rId2070" Type="http://schemas.openxmlformats.org/officeDocument/2006/relationships/hyperlink" Target="https://pbs.twimg.com/media/EOk1P-EXsAYoWgy.jpg" TargetMode="External"/><Relationship Id="rId2071" Type="http://schemas.openxmlformats.org/officeDocument/2006/relationships/hyperlink" Target="http://www.educationquest.org" TargetMode="External"/><Relationship Id="rId2072" Type="http://schemas.openxmlformats.org/officeDocument/2006/relationships/hyperlink" Target="https://pbs.twimg.com/media/EOk1Cs6WkAUZUaQ.jpg" TargetMode="External"/><Relationship Id="rId2073" Type="http://schemas.openxmlformats.org/officeDocument/2006/relationships/hyperlink" Target="https://youtu.be/VJopFWiIGR8" TargetMode="External"/><Relationship Id="rId2074" Type="http://schemas.openxmlformats.org/officeDocument/2006/relationships/hyperlink" Target="http://reflectionreflectionreflection.blogspot.com" TargetMode="External"/><Relationship Id="rId2075" Type="http://schemas.openxmlformats.org/officeDocument/2006/relationships/hyperlink" Target="https://goodmenproject.com/featured-content/the-bravest-thing-ive-ever-done-kpkn/" TargetMode="External"/><Relationship Id="rId2076" Type="http://schemas.openxmlformats.org/officeDocument/2006/relationships/hyperlink" Target="http://www.lovelaughtertruthblog.com/" TargetMode="External"/><Relationship Id="rId2077" Type="http://schemas.openxmlformats.org/officeDocument/2006/relationships/hyperlink" Target="https://pbs.twimg.com/media/EOk0yNHWsAI4r1V.jpg" TargetMode="External"/><Relationship Id="rId2078" Type="http://schemas.openxmlformats.org/officeDocument/2006/relationships/hyperlink" Target="https://rxe.me/3HYZ2M" TargetMode="External"/><Relationship Id="rId2079" Type="http://schemas.openxmlformats.org/officeDocument/2006/relationships/hyperlink" Target="http://shor.by/tolusefrancis" TargetMode="External"/><Relationship Id="rId2940" Type="http://schemas.openxmlformats.org/officeDocument/2006/relationships/hyperlink" Target="http://richardcosgrove.co.uk" TargetMode="External"/><Relationship Id="rId1610" Type="http://schemas.openxmlformats.org/officeDocument/2006/relationships/hyperlink" Target="https://pbs.twimg.com/media/EOlQyqPWoAEKWfW.jpg" TargetMode="External"/><Relationship Id="rId2941" Type="http://schemas.openxmlformats.org/officeDocument/2006/relationships/hyperlink" Target="https://buff.ly/2rCnHWY" TargetMode="External"/><Relationship Id="rId1611" Type="http://schemas.openxmlformats.org/officeDocument/2006/relationships/hyperlink" Target="http://www.healthyplace.com" TargetMode="External"/><Relationship Id="rId2942" Type="http://schemas.openxmlformats.org/officeDocument/2006/relationships/hyperlink" Target="http://www.lighthousearabia.com" TargetMode="External"/><Relationship Id="rId1612" Type="http://schemas.openxmlformats.org/officeDocument/2006/relationships/hyperlink" Target="http://www.brownsistersspeak.org" TargetMode="External"/><Relationship Id="rId2943" Type="http://schemas.openxmlformats.org/officeDocument/2006/relationships/hyperlink" Target="https://www.bbc.co.uk/news/uk-wales-51156066?intlink_from_url=&amp;link_location=live-reporting-story" TargetMode="External"/><Relationship Id="rId1613" Type="http://schemas.openxmlformats.org/officeDocument/2006/relationships/hyperlink" Target="http://bit.ly/CMBCSUS" TargetMode="External"/><Relationship Id="rId2944" Type="http://schemas.openxmlformats.org/officeDocument/2006/relationships/hyperlink" Target="http://oxford-counsellor.uk" TargetMode="External"/><Relationship Id="rId1614" Type="http://schemas.openxmlformats.org/officeDocument/2006/relationships/hyperlink" Target="https://pbs.twimg.com/media/EOlQxjDVAAAplfx.jpg" TargetMode="External"/><Relationship Id="rId2945" Type="http://schemas.openxmlformats.org/officeDocument/2006/relationships/hyperlink" Target="https://pbs.twimg.com/media/EOiP80GXsAEJLzm.png" TargetMode="External"/><Relationship Id="rId1615" Type="http://schemas.openxmlformats.org/officeDocument/2006/relationships/hyperlink" Target="https://cmbowenauthor.com/" TargetMode="External"/><Relationship Id="rId2946" Type="http://schemas.openxmlformats.org/officeDocument/2006/relationships/hyperlink" Target="http://simplyalvin.wordpress.com" TargetMode="External"/><Relationship Id="rId1616" Type="http://schemas.openxmlformats.org/officeDocument/2006/relationships/hyperlink" Target="https://buff.ly/2u6qGIj" TargetMode="External"/><Relationship Id="rId2947" Type="http://schemas.openxmlformats.org/officeDocument/2006/relationships/hyperlink" Target="https://www.leicestermercury.co.uk/sport/football/football-news/former-leicester-city-striker-wants-3707347?utm_source=twitter.com&amp;utm_medium=social&amp;utm_campaign=sharebar" TargetMode="External"/><Relationship Id="rId907" Type="http://schemas.openxmlformats.org/officeDocument/2006/relationships/hyperlink" Target="http://www.roslynbyfieldcounselling.co.uk" TargetMode="External"/><Relationship Id="rId1617" Type="http://schemas.openxmlformats.org/officeDocument/2006/relationships/hyperlink" Target="https://pbs.twimg.com/media/EOlQv_-UcAEGeXN.jpg" TargetMode="External"/><Relationship Id="rId2948" Type="http://schemas.openxmlformats.org/officeDocument/2006/relationships/hyperlink" Target="https://pbs.twimg.com/media/EN1jOFzWoAAFQYW.jpg" TargetMode="External"/><Relationship Id="rId906" Type="http://schemas.openxmlformats.org/officeDocument/2006/relationships/hyperlink" Target="https://www.radiotimes.com/tv-programme/e/kvr2mk/horizon--s2020-e1-addicted-to-painkillers-britains-opioid-crisis/" TargetMode="External"/><Relationship Id="rId1618" Type="http://schemas.openxmlformats.org/officeDocument/2006/relationships/hyperlink" Target="http://dgrantsmith.com" TargetMode="External"/><Relationship Id="rId2949" Type="http://schemas.openxmlformats.org/officeDocument/2006/relationships/hyperlink" Target="http://www.fortunatushousing.co.uk" TargetMode="External"/><Relationship Id="rId905" Type="http://schemas.openxmlformats.org/officeDocument/2006/relationships/hyperlink" Target="http://www.drraynd.com" TargetMode="External"/><Relationship Id="rId1619" Type="http://schemas.openxmlformats.org/officeDocument/2006/relationships/hyperlink" Target="https://www.sciencedaily.com/releases/2019/08/190821100003.htm" TargetMode="External"/><Relationship Id="rId904" Type="http://schemas.openxmlformats.org/officeDocument/2006/relationships/hyperlink" Target="https://pbs.twimg.com/media/EOl5Nv_XsAEyZHC.jpg" TargetMode="External"/><Relationship Id="rId909" Type="http://schemas.openxmlformats.org/officeDocument/2006/relationships/hyperlink" Target="http://www.wscottauthor.com" TargetMode="External"/><Relationship Id="rId908" Type="http://schemas.openxmlformats.org/officeDocument/2006/relationships/hyperlink" Target="https://www.instagram.com/p/B7eaTYVgFCj/?igshid=9igyame98xgt" TargetMode="External"/><Relationship Id="rId903" Type="http://schemas.openxmlformats.org/officeDocument/2006/relationships/hyperlink" Target="https://buff.ly/2KNzlVm" TargetMode="External"/><Relationship Id="rId902" Type="http://schemas.openxmlformats.org/officeDocument/2006/relationships/hyperlink" Target="http://pic.twitter.com/AW3annRg7P" TargetMode="External"/><Relationship Id="rId901" Type="http://schemas.openxmlformats.org/officeDocument/2006/relationships/hyperlink" Target="http://www.facebook.com/Hablex" TargetMode="External"/><Relationship Id="rId900" Type="http://schemas.openxmlformats.org/officeDocument/2006/relationships/hyperlink" Target="http://sarahareed.plannedgiving.org" TargetMode="External"/><Relationship Id="rId2930" Type="http://schemas.openxmlformats.org/officeDocument/2006/relationships/hyperlink" Target="https://pbs.twimg.com/media/EOj8YRDXkAIhOQn.png" TargetMode="External"/><Relationship Id="rId1600" Type="http://schemas.openxmlformats.org/officeDocument/2006/relationships/hyperlink" Target="https://unwantedlife.me/" TargetMode="External"/><Relationship Id="rId2931" Type="http://schemas.openxmlformats.org/officeDocument/2006/relationships/hyperlink" Target="https://bit.ly/35Qebh1" TargetMode="External"/><Relationship Id="rId1601" Type="http://schemas.openxmlformats.org/officeDocument/2006/relationships/hyperlink" Target="http://ow.ly/lTcA50x5WeU" TargetMode="External"/><Relationship Id="rId2932" Type="http://schemas.openxmlformats.org/officeDocument/2006/relationships/hyperlink" Target="https://pbs.twimg.com/media/EOj-fD2XsAErETk.jpg" TargetMode="External"/><Relationship Id="rId1602" Type="http://schemas.openxmlformats.org/officeDocument/2006/relationships/hyperlink" Target="https://pbs.twimg.com/media/EOlQ0zFWAAg_Im4.jpg" TargetMode="External"/><Relationship Id="rId2933" Type="http://schemas.openxmlformats.org/officeDocument/2006/relationships/hyperlink" Target="http://www.highfieldhealthcare.ie" TargetMode="External"/><Relationship Id="rId1603" Type="http://schemas.openxmlformats.org/officeDocument/2006/relationships/hyperlink" Target="http://www.anxietyuk.org.uk" TargetMode="External"/><Relationship Id="rId2934" Type="http://schemas.openxmlformats.org/officeDocument/2006/relationships/hyperlink" Target="http://www.stampoutstigma.co.uk" TargetMode="External"/><Relationship Id="rId1604" Type="http://schemas.openxmlformats.org/officeDocument/2006/relationships/hyperlink" Target="https://buff.ly/2ImbxZB" TargetMode="External"/><Relationship Id="rId2935" Type="http://schemas.openxmlformats.org/officeDocument/2006/relationships/hyperlink" Target="https://pbs.twimg.com/media/EOj-emxWsAEUYbr.jpg" TargetMode="External"/><Relationship Id="rId1605" Type="http://schemas.openxmlformats.org/officeDocument/2006/relationships/hyperlink" Target="https://pbs.twimg.com/media/EOlQzrYX4AASVF5.jpg" TargetMode="External"/><Relationship Id="rId2936" Type="http://schemas.openxmlformats.org/officeDocument/2006/relationships/hyperlink" Target="http://www.threecs.co.uk" TargetMode="External"/><Relationship Id="rId1606" Type="http://schemas.openxmlformats.org/officeDocument/2006/relationships/hyperlink" Target="http://www.gryffin.com" TargetMode="External"/><Relationship Id="rId2937" Type="http://schemas.openxmlformats.org/officeDocument/2006/relationships/hyperlink" Target="https://pbs.twimg.com/media/EOj-cW5WkAEYmXY.png" TargetMode="External"/><Relationship Id="rId1607" Type="http://schemas.openxmlformats.org/officeDocument/2006/relationships/hyperlink" Target="https://buff.ly/2TAuKem" TargetMode="External"/><Relationship Id="rId2938" Type="http://schemas.openxmlformats.org/officeDocument/2006/relationships/hyperlink" Target="http://www.metimetherapy.org" TargetMode="External"/><Relationship Id="rId1608" Type="http://schemas.openxmlformats.org/officeDocument/2006/relationships/hyperlink" Target="https://www.facebook.com/thismattersuk/" TargetMode="External"/><Relationship Id="rId2939" Type="http://schemas.openxmlformats.org/officeDocument/2006/relationships/hyperlink" Target="https://pbs.twimg.com/media/EOj-a4IWAAI9R1D.jpg" TargetMode="External"/><Relationship Id="rId1609" Type="http://schemas.openxmlformats.org/officeDocument/2006/relationships/hyperlink" Target="https://bit.ly/2naTfNY" TargetMode="External"/><Relationship Id="rId1631" Type="http://schemas.openxmlformats.org/officeDocument/2006/relationships/hyperlink" Target="http://www.westhullfm.org" TargetMode="External"/><Relationship Id="rId2962" Type="http://schemas.openxmlformats.org/officeDocument/2006/relationships/hyperlink" Target="http://www.england.nhs.uk" TargetMode="External"/><Relationship Id="rId1632" Type="http://schemas.openxmlformats.org/officeDocument/2006/relationships/hyperlink" Target="https://slinky.to/TryAgain" TargetMode="External"/><Relationship Id="rId2963" Type="http://schemas.openxmlformats.org/officeDocument/2006/relationships/hyperlink" Target="https://music.youtube.com/watch?v=94RVX7pLF_A&amp;feature=share" TargetMode="External"/><Relationship Id="rId1633" Type="http://schemas.openxmlformats.org/officeDocument/2006/relationships/hyperlink" Target="http://pic.twitter.com/AHNvznvvS7" TargetMode="External"/><Relationship Id="rId2964" Type="http://schemas.openxmlformats.org/officeDocument/2006/relationships/hyperlink" Target="http://news.sky.com/story/call-for-all-new-fathers-to-be-routinely-checked-for-post-natal-depression-11911277" TargetMode="External"/><Relationship Id="rId1634" Type="http://schemas.openxmlformats.org/officeDocument/2006/relationships/hyperlink" Target="http://www.reggienbollieofficial.com" TargetMode="External"/><Relationship Id="rId2965" Type="http://schemas.openxmlformats.org/officeDocument/2006/relationships/hyperlink" Target="http://www.dalerobertson.co.uk" TargetMode="External"/><Relationship Id="rId1635" Type="http://schemas.openxmlformats.org/officeDocument/2006/relationships/hyperlink" Target="https://pbs.twimg.com/media/EOlP57AU4AEjHii.jpg" TargetMode="External"/><Relationship Id="rId2966" Type="http://schemas.openxmlformats.org/officeDocument/2006/relationships/hyperlink" Target="https://bit.ly/2X3d49H" TargetMode="External"/><Relationship Id="rId1636" Type="http://schemas.openxmlformats.org/officeDocument/2006/relationships/hyperlink" Target="http://carolynsrvlife.tv" TargetMode="External"/><Relationship Id="rId2967" Type="http://schemas.openxmlformats.org/officeDocument/2006/relationships/hyperlink" Target="https://pbs.twimg.com/media/EOj8BgrWkAAb7C7.jpg" TargetMode="External"/><Relationship Id="rId1637" Type="http://schemas.openxmlformats.org/officeDocument/2006/relationships/hyperlink" Target="https://notallarchaeologistshavebeards.wordpress.com" TargetMode="External"/><Relationship Id="rId2968" Type="http://schemas.openxmlformats.org/officeDocument/2006/relationships/hyperlink" Target="http://www.susannahpitman.com" TargetMode="External"/><Relationship Id="rId1638" Type="http://schemas.openxmlformats.org/officeDocument/2006/relationships/hyperlink" Target="http://www.amjcomms.com/2020/01/18/listening-to-what-some-people-say-about-mental-health-its-no-wonder-im-depressed/" TargetMode="External"/><Relationship Id="rId2969" Type="http://schemas.openxmlformats.org/officeDocument/2006/relationships/hyperlink" Target="http://www.sunriseacademytx.com" TargetMode="External"/><Relationship Id="rId929" Type="http://schemas.openxmlformats.org/officeDocument/2006/relationships/hyperlink" Target="https://psychcentral.com/blog/therapists-share-their-favorite-meaningful-self-care-tips/" TargetMode="External"/><Relationship Id="rId1639" Type="http://schemas.openxmlformats.org/officeDocument/2006/relationships/hyperlink" Target="https://pbs.twimg.com/media/EOlP1DmWoAAlclS.jpg" TargetMode="External"/><Relationship Id="rId928" Type="http://schemas.openxmlformats.org/officeDocument/2006/relationships/hyperlink" Target="http://www.whereismadmax.com" TargetMode="External"/><Relationship Id="rId927" Type="http://schemas.openxmlformats.org/officeDocument/2006/relationships/hyperlink" Target="http://on.fb.me/1vF5UYZ" TargetMode="External"/><Relationship Id="rId926" Type="http://schemas.openxmlformats.org/officeDocument/2006/relationships/hyperlink" Target="http://www.hanwellnature.com" TargetMode="External"/><Relationship Id="rId921" Type="http://schemas.openxmlformats.org/officeDocument/2006/relationships/hyperlink" Target="https://clips.twitch.tv/YummyTangentialNikudonPeanutButterJellyTime" TargetMode="External"/><Relationship Id="rId920" Type="http://schemas.openxmlformats.org/officeDocument/2006/relationships/hyperlink" Target="http://jhengstler.wordpress.com" TargetMode="External"/><Relationship Id="rId925" Type="http://schemas.openxmlformats.org/officeDocument/2006/relationships/hyperlink" Target="https://pbs.twimg.com/media/EOl3UJXU0AAc2Y0.jpg" TargetMode="External"/><Relationship Id="rId924" Type="http://schemas.openxmlformats.org/officeDocument/2006/relationships/hyperlink" Target="http://www.crowdjustice.com/case/protect-warren-farm/" TargetMode="External"/><Relationship Id="rId923" Type="http://schemas.openxmlformats.org/officeDocument/2006/relationships/hyperlink" Target="https://pbs.twimg.com/media/EOl27OiU0AY_Q0F.jpg" TargetMode="External"/><Relationship Id="rId922" Type="http://schemas.openxmlformats.org/officeDocument/2006/relationships/hyperlink" Target="https://www.youtube.com/channel/UCy2bM1Fsx_HI1hSOznsfVCw" TargetMode="External"/><Relationship Id="rId2960" Type="http://schemas.openxmlformats.org/officeDocument/2006/relationships/hyperlink" Target="https://www.strava.com/athletes/4848745" TargetMode="External"/><Relationship Id="rId1630" Type="http://schemas.openxmlformats.org/officeDocument/2006/relationships/hyperlink" Target="http://www.takona.co.uk" TargetMode="External"/><Relationship Id="rId2961" Type="http://schemas.openxmlformats.org/officeDocument/2006/relationships/hyperlink" Target="https://www.nhs.uk/oneyou/every-mind-matters/helping-others/" TargetMode="External"/><Relationship Id="rId1620" Type="http://schemas.openxmlformats.org/officeDocument/2006/relationships/hyperlink" Target="https://pbs.twimg.com/media/EOlQuyYWsAEeY8H.png" TargetMode="External"/><Relationship Id="rId2951" Type="http://schemas.openxmlformats.org/officeDocument/2006/relationships/hyperlink" Target="https://www.youtube.com/watch?v=35khoND6Z18&amp;feature=share" TargetMode="External"/><Relationship Id="rId1621" Type="http://schemas.openxmlformats.org/officeDocument/2006/relationships/hyperlink" Target="http://guidingexceptionalparents.com" TargetMode="External"/><Relationship Id="rId2952" Type="http://schemas.openxmlformats.org/officeDocument/2006/relationships/hyperlink" Target="http://introvertedit.com" TargetMode="External"/><Relationship Id="rId1622" Type="http://schemas.openxmlformats.org/officeDocument/2006/relationships/hyperlink" Target="https://pbs.twimg.com/media/EOlQsa4WkAAt74l.jpg" TargetMode="External"/><Relationship Id="rId2953" Type="http://schemas.openxmlformats.org/officeDocument/2006/relationships/hyperlink" Target="http://pic.twitter.com/CFwIQoX4sT" TargetMode="External"/><Relationship Id="rId1623" Type="http://schemas.openxmlformats.org/officeDocument/2006/relationships/hyperlink" Target="http://www.drdeblindh.com" TargetMode="External"/><Relationship Id="rId2954" Type="http://schemas.openxmlformats.org/officeDocument/2006/relationships/hyperlink" Target="http://www.introvertedit.com" TargetMode="External"/><Relationship Id="rId1624" Type="http://schemas.openxmlformats.org/officeDocument/2006/relationships/hyperlink" Target="http://bit.ly/31HCLyt" TargetMode="External"/><Relationship Id="rId2955" Type="http://schemas.openxmlformats.org/officeDocument/2006/relationships/hyperlink" Target="https://pbs.twimg.com/media/EOj9nR0WAAEa7Gh.jpg" TargetMode="External"/><Relationship Id="rId1625" Type="http://schemas.openxmlformats.org/officeDocument/2006/relationships/hyperlink" Target="http://bhekisisa.org" TargetMode="External"/><Relationship Id="rId2956" Type="http://schemas.openxmlformats.org/officeDocument/2006/relationships/hyperlink" Target="http://www.dudesndogs.co.uk/" TargetMode="External"/><Relationship Id="rId1626" Type="http://schemas.openxmlformats.org/officeDocument/2006/relationships/hyperlink" Target="https://pbs.twimg.com/media/EOlQXOvW4AASOEN.jpg" TargetMode="External"/><Relationship Id="rId2957" Type="http://schemas.openxmlformats.org/officeDocument/2006/relationships/hyperlink" Target="https://bhive.nectar.social/7XWnWy" TargetMode="External"/><Relationship Id="rId1627" Type="http://schemas.openxmlformats.org/officeDocument/2006/relationships/hyperlink" Target="http://www.borderlinearts.org" TargetMode="External"/><Relationship Id="rId2958" Type="http://schemas.openxmlformats.org/officeDocument/2006/relationships/hyperlink" Target="https://www.linkedin.com/in/drgurdeepparhar/" TargetMode="External"/><Relationship Id="rId918" Type="http://schemas.openxmlformats.org/officeDocument/2006/relationships/hyperlink" Target="https://pdmstrong.wordpress.com" TargetMode="External"/><Relationship Id="rId1628" Type="http://schemas.openxmlformats.org/officeDocument/2006/relationships/hyperlink" Target="http://instagram.com/shaka.brown" TargetMode="External"/><Relationship Id="rId2959" Type="http://schemas.openxmlformats.org/officeDocument/2006/relationships/hyperlink" Target="https://pbs.twimg.com/media/EOj9QnRWAAIHi5r.jpg" TargetMode="External"/><Relationship Id="rId917" Type="http://schemas.openxmlformats.org/officeDocument/2006/relationships/hyperlink" Target="https://www.thriveglobal.com/authors/59-lisa-gallagher" TargetMode="External"/><Relationship Id="rId1629" Type="http://schemas.openxmlformats.org/officeDocument/2006/relationships/hyperlink" Target="https://pbs.twimg.com/media/EOlP_-TWsAEspSB.jpg" TargetMode="External"/><Relationship Id="rId916" Type="http://schemas.openxmlformats.org/officeDocument/2006/relationships/hyperlink" Target="https://link.medium.com/epD7gbRbWU" TargetMode="External"/><Relationship Id="rId915" Type="http://schemas.openxmlformats.org/officeDocument/2006/relationships/hyperlink" Target="https://twitter.com/carminesabia/status/1218612540177108992" TargetMode="External"/><Relationship Id="rId919" Type="http://schemas.openxmlformats.org/officeDocument/2006/relationships/hyperlink" Target="https://pdmstrong.wordpress.com" TargetMode="External"/><Relationship Id="rId910" Type="http://schemas.openxmlformats.org/officeDocument/2006/relationships/hyperlink" Target="https://pbs.twimg.com/media/EOkhpN_U0AAQGII.png" TargetMode="External"/><Relationship Id="rId914" Type="http://schemas.openxmlformats.org/officeDocument/2006/relationships/hyperlink" Target="https://pbs.twimg.com/media/EOl3w7oVUAE1rAo.jpg" TargetMode="External"/><Relationship Id="rId913" Type="http://schemas.openxmlformats.org/officeDocument/2006/relationships/hyperlink" Target="http://www.dulleytopbooks.com" TargetMode="External"/><Relationship Id="rId912" Type="http://schemas.openxmlformats.org/officeDocument/2006/relationships/hyperlink" Target="https://twitter.com/drrickbarnett/status/1218502873161650176" TargetMode="External"/><Relationship Id="rId911" Type="http://schemas.openxmlformats.org/officeDocument/2006/relationships/hyperlink" Target="http://sassycat3000.net" TargetMode="External"/><Relationship Id="rId2950" Type="http://schemas.openxmlformats.org/officeDocument/2006/relationships/hyperlink" Target="http://pic.twitter.com/JyGM26UwAT" TargetMode="External"/><Relationship Id="rId2900" Type="http://schemas.openxmlformats.org/officeDocument/2006/relationships/hyperlink" Target="http://thenewmentalhealth.org" TargetMode="External"/><Relationship Id="rId2901" Type="http://schemas.openxmlformats.org/officeDocument/2006/relationships/hyperlink" Target="https://twitter.com/ArianaGrande/status/1218430803182374913" TargetMode="External"/><Relationship Id="rId2902" Type="http://schemas.openxmlformats.org/officeDocument/2006/relationships/hyperlink" Target="http://psy.pub/autism-test" TargetMode="External"/><Relationship Id="rId2903" Type="http://schemas.openxmlformats.org/officeDocument/2006/relationships/hyperlink" Target="http://www.durham-autism.org/" TargetMode="External"/><Relationship Id="rId2904" Type="http://schemas.openxmlformats.org/officeDocument/2006/relationships/hyperlink" Target="https://pbs.twimg.com/media/EOkAqFHX4AUTl1x.jpg" TargetMode="External"/><Relationship Id="rId2905" Type="http://schemas.openxmlformats.org/officeDocument/2006/relationships/hyperlink" Target="http://amidoingliferight.com" TargetMode="External"/><Relationship Id="rId2906" Type="http://schemas.openxmlformats.org/officeDocument/2006/relationships/hyperlink" Target="https://pbs.twimg.com/media/EOkAW56W4AAG1hQ.jpg" TargetMode="External"/><Relationship Id="rId2907" Type="http://schemas.openxmlformats.org/officeDocument/2006/relationships/hyperlink" Target="https://www.northumberlandccg.nhs.uk/" TargetMode="External"/><Relationship Id="rId2908" Type="http://schemas.openxmlformats.org/officeDocument/2006/relationships/hyperlink" Target="https://pbs.twimg.com/media/EOkAKhYUYAA8_jT.jpg" TargetMode="External"/><Relationship Id="rId2909" Type="http://schemas.openxmlformats.org/officeDocument/2006/relationships/hyperlink" Target="https://twitter.com/tgirlkatie/status/1217170067403759617" TargetMode="External"/><Relationship Id="rId2920" Type="http://schemas.openxmlformats.org/officeDocument/2006/relationships/hyperlink" Target="http://bit.ly/2BD1Vnu" TargetMode="External"/><Relationship Id="rId2921" Type="http://schemas.openxmlformats.org/officeDocument/2006/relationships/hyperlink" Target="https://www.talkspace.com/" TargetMode="External"/><Relationship Id="rId2922" Type="http://schemas.openxmlformats.org/officeDocument/2006/relationships/hyperlink" Target="http://housemusicradio.ca" TargetMode="External"/><Relationship Id="rId2923" Type="http://schemas.openxmlformats.org/officeDocument/2006/relationships/hyperlink" Target="https://www.torontohousemusicfestival.com" TargetMode="External"/><Relationship Id="rId2924" Type="http://schemas.openxmlformats.org/officeDocument/2006/relationships/hyperlink" Target="http://www.djdavelive.com" TargetMode="External"/><Relationship Id="rId2925" Type="http://schemas.openxmlformats.org/officeDocument/2006/relationships/hyperlink" Target="http://bit.ly/SadieSharpBreakthrough" TargetMode="External"/><Relationship Id="rId2926" Type="http://schemas.openxmlformats.org/officeDocument/2006/relationships/hyperlink" Target="https://pbs.twimg.com/media/EOj-kmIWkAAkoAt.png" TargetMode="External"/><Relationship Id="rId2927" Type="http://schemas.openxmlformats.org/officeDocument/2006/relationships/hyperlink" Target="http://www.sharptransformations.co.uk" TargetMode="External"/><Relationship Id="rId2928" Type="http://schemas.openxmlformats.org/officeDocument/2006/relationships/hyperlink" Target="https://pbs.twimg.com/media/EOj-kg3X4AAs83a.jpg" TargetMode="External"/><Relationship Id="rId2929" Type="http://schemas.openxmlformats.org/officeDocument/2006/relationships/hyperlink" Target="http://www.motoraty.com" TargetMode="External"/><Relationship Id="rId2910" Type="http://schemas.openxmlformats.org/officeDocument/2006/relationships/hyperlink" Target="https://pbs.twimg.com/media/EORBuMRXkAEiGRc.jpg" TargetMode="External"/><Relationship Id="rId2911" Type="http://schemas.openxmlformats.org/officeDocument/2006/relationships/hyperlink" Target="http://pic.twitter.com/3rt97mtoEv" TargetMode="External"/><Relationship Id="rId2912" Type="http://schemas.openxmlformats.org/officeDocument/2006/relationships/hyperlink" Target="https://tsctalks.com/" TargetMode="External"/><Relationship Id="rId2913" Type="http://schemas.openxmlformats.org/officeDocument/2006/relationships/hyperlink" Target="https://abrainoutofbalance.org" TargetMode="External"/><Relationship Id="rId2914" Type="http://schemas.openxmlformats.org/officeDocument/2006/relationships/hyperlink" Target="https://pbs.twimg.com/media/EOj_csxXsAAx4bW.jpg" TargetMode="External"/><Relationship Id="rId2915" Type="http://schemas.openxmlformats.org/officeDocument/2006/relationships/hyperlink" Target="http://backupbuddy.uk" TargetMode="External"/><Relationship Id="rId2916" Type="http://schemas.openxmlformats.org/officeDocument/2006/relationships/hyperlink" Target="https://medium.com/dialogue-and-discourse/united-nations-world-happiness-report-46b0710ac73b" TargetMode="External"/><Relationship Id="rId2917" Type="http://schemas.openxmlformats.org/officeDocument/2006/relationships/hyperlink" Target="https://linktr.ee/chrisoldcorn" TargetMode="External"/><Relationship Id="rId2918" Type="http://schemas.openxmlformats.org/officeDocument/2006/relationships/hyperlink" Target="https://twitter.com/share?url=https://www.firstpost.com/health/the-time-to-focus-on-mental-health-at-the-workplace-is-now-an-open-letter-to-bosses-everywhere-2-7818161.html" TargetMode="External"/><Relationship Id="rId2919" Type="http://schemas.openxmlformats.org/officeDocument/2006/relationships/hyperlink" Target="http://www.fortunatushousing.co.uk" TargetMode="External"/><Relationship Id="rId1697" Type="http://schemas.openxmlformats.org/officeDocument/2006/relationships/hyperlink" Target="http://www.icppmh2020.com" TargetMode="External"/><Relationship Id="rId1698" Type="http://schemas.openxmlformats.org/officeDocument/2006/relationships/hyperlink" Target="http://pic.twitter.com/7aecAEJAT0" TargetMode="External"/><Relationship Id="rId1699" Type="http://schemas.openxmlformats.org/officeDocument/2006/relationships/hyperlink" Target="http://www.psyfy.net" TargetMode="External"/><Relationship Id="rId866" Type="http://schemas.openxmlformats.org/officeDocument/2006/relationships/hyperlink" Target="https://twitter.com/hans_kluge/status/1218434323306688513" TargetMode="External"/><Relationship Id="rId865" Type="http://schemas.openxmlformats.org/officeDocument/2006/relationships/hyperlink" Target="https://journals.sagepub.com/home/hpp" TargetMode="External"/><Relationship Id="rId864" Type="http://schemas.openxmlformats.org/officeDocument/2006/relationships/hyperlink" Target="https://pbs.twimg.com/media/EOl6G2DVUAAY3gv.jpg" TargetMode="External"/><Relationship Id="rId863" Type="http://schemas.openxmlformats.org/officeDocument/2006/relationships/hyperlink" Target="http://bit.ly/2EMfuTg" TargetMode="External"/><Relationship Id="rId869" Type="http://schemas.openxmlformats.org/officeDocument/2006/relationships/hyperlink" Target="http://progressplace.org/breakfast.html" TargetMode="External"/><Relationship Id="rId868" Type="http://schemas.openxmlformats.org/officeDocument/2006/relationships/hyperlink" Target="http://www.etha.eu" TargetMode="External"/><Relationship Id="rId867" Type="http://schemas.openxmlformats.org/officeDocument/2006/relationships/hyperlink" Target="https://pbs.twimg.com/media/EOi_jZaXkAEtA5a.jpg" TargetMode="External"/><Relationship Id="rId1690" Type="http://schemas.openxmlformats.org/officeDocument/2006/relationships/hyperlink" Target="https://pbs.twimg.com/media/EOd4OiAW4AAQTFV.jpg" TargetMode="External"/><Relationship Id="rId1691" Type="http://schemas.openxmlformats.org/officeDocument/2006/relationships/hyperlink" Target="https://hapihemp.co.uk/50-of-millennials-would-choose-cbd-oil-over-prescription-medication-for-mental-health-problems" TargetMode="External"/><Relationship Id="rId1692" Type="http://schemas.openxmlformats.org/officeDocument/2006/relationships/hyperlink" Target="http://www.hapihemp.co.uk" TargetMode="External"/><Relationship Id="rId862" Type="http://schemas.openxmlformats.org/officeDocument/2006/relationships/hyperlink" Target="http://nostigmas.org" TargetMode="External"/><Relationship Id="rId1693" Type="http://schemas.openxmlformats.org/officeDocument/2006/relationships/hyperlink" Target="https://www.thestar.com/life/health_wellness/opinion/2020/01/17/loss-grief-acceptance-how-the-ancient-tibetan-practice-of-sound-baths-brought-me-peace.html?fbclid=IwAR0zhpGnauFFoW9WWF-KFI362MSGw82vUBAa_me71kYl4VnGv58fcPBVq6Y" TargetMode="External"/><Relationship Id="rId861" Type="http://schemas.openxmlformats.org/officeDocument/2006/relationships/hyperlink" Target="https://www.time-to-change.org.uk/blog/mental-health-stigma-doesnt-solve-issues-it-just-makes-them-worse" TargetMode="External"/><Relationship Id="rId1694" Type="http://schemas.openxmlformats.org/officeDocument/2006/relationships/hyperlink" Target="http://www.markhenick.com" TargetMode="External"/><Relationship Id="rId860" Type="http://schemas.openxmlformats.org/officeDocument/2006/relationships/hyperlink" Target="http://bit.ly/2JNDzfv" TargetMode="External"/><Relationship Id="rId1695" Type="http://schemas.openxmlformats.org/officeDocument/2006/relationships/hyperlink" Target="https://time.com/5766180/tightrope-book-excerpt-working-class-america/" TargetMode="External"/><Relationship Id="rId1696" Type="http://schemas.openxmlformats.org/officeDocument/2006/relationships/hyperlink" Target="http://www.riahealth.com" TargetMode="External"/><Relationship Id="rId1686" Type="http://schemas.openxmlformats.org/officeDocument/2006/relationships/hyperlink" Target="http://www.awaken-mind.com" TargetMode="External"/><Relationship Id="rId1687" Type="http://schemas.openxmlformats.org/officeDocument/2006/relationships/hyperlink" Target="https://youtu.be/--EMsnVTNVM" TargetMode="External"/><Relationship Id="rId1688" Type="http://schemas.openxmlformats.org/officeDocument/2006/relationships/hyperlink" Target="http://www.tsarashelton.com/" TargetMode="External"/><Relationship Id="rId1689" Type="http://schemas.openxmlformats.org/officeDocument/2006/relationships/hyperlink" Target="https://twitter.com/ChancyMarsh/status/1218074417487663104" TargetMode="External"/><Relationship Id="rId855" Type="http://schemas.openxmlformats.org/officeDocument/2006/relationships/hyperlink" Target="http://rosywindow.com" TargetMode="External"/><Relationship Id="rId854" Type="http://schemas.openxmlformats.org/officeDocument/2006/relationships/hyperlink" Target="http://pic.twitter.com/ZwueOnuw3C" TargetMode="External"/><Relationship Id="rId853" Type="http://schemas.openxmlformats.org/officeDocument/2006/relationships/hyperlink" Target="https://twitter.com/valaafshar/status/1213288365463871488" TargetMode="External"/><Relationship Id="rId852" Type="http://schemas.openxmlformats.org/officeDocument/2006/relationships/hyperlink" Target="https://www.wilx.com/content/news/Bill-to-create-Michigan-mental-health-hotline-nears-final-OK-566978981.html" TargetMode="External"/><Relationship Id="rId859" Type="http://schemas.openxmlformats.org/officeDocument/2006/relationships/hyperlink" Target="https://pbs.twimg.com/media/EOl6JFFUwAAeOvq.jpg" TargetMode="External"/><Relationship Id="rId858" Type="http://schemas.openxmlformats.org/officeDocument/2006/relationships/hyperlink" Target="http://ow.ly/9jeA30q6AJc" TargetMode="External"/><Relationship Id="rId857" Type="http://schemas.openxmlformats.org/officeDocument/2006/relationships/hyperlink" Target="http://rosywindow.com" TargetMode="External"/><Relationship Id="rId856" Type="http://schemas.openxmlformats.org/officeDocument/2006/relationships/hyperlink" Target="https://pbs.twimg.com/media/EOl5-ZfU4AAlfMJ.jpg" TargetMode="External"/><Relationship Id="rId1680" Type="http://schemas.openxmlformats.org/officeDocument/2006/relationships/hyperlink" Target="https://www.theglobeandmail.com/canada/article-half-of-canadians-have-too-few-local-psychiatrists-or-none-at-all/?utm_medium=Referrer:+Social+Network+/+Media&amp;utm_campaign=Shared+Web+Article+Links" TargetMode="External"/><Relationship Id="rId1681" Type="http://schemas.openxmlformats.org/officeDocument/2006/relationships/hyperlink" Target="https://twitter.com/HealthMarkets4U/moments" TargetMode="External"/><Relationship Id="rId851" Type="http://schemas.openxmlformats.org/officeDocument/2006/relationships/hyperlink" Target="https://pbs.twimg.com/media/EOl6W3RWkAAzdt_.jpg" TargetMode="External"/><Relationship Id="rId1682" Type="http://schemas.openxmlformats.org/officeDocument/2006/relationships/hyperlink" Target="https://ctri.co/35q9RVv" TargetMode="External"/><Relationship Id="rId850" Type="http://schemas.openxmlformats.org/officeDocument/2006/relationships/hyperlink" Target="http://bit.ly/2LtYra2" TargetMode="External"/><Relationship Id="rId1683" Type="http://schemas.openxmlformats.org/officeDocument/2006/relationships/hyperlink" Target="https://pbs.twimg.com/media/EOlNRTRXUAAds0K.jpg" TargetMode="External"/><Relationship Id="rId1684" Type="http://schemas.openxmlformats.org/officeDocument/2006/relationships/hyperlink" Target="http://www.ctrinstitute.com" TargetMode="External"/><Relationship Id="rId1685" Type="http://schemas.openxmlformats.org/officeDocument/2006/relationships/hyperlink" Target="http://psy.pub/2HCl0IE" TargetMode="External"/><Relationship Id="rId3414" Type="http://schemas.openxmlformats.org/officeDocument/2006/relationships/hyperlink" Target="http://umbertocrisanti.com" TargetMode="External"/><Relationship Id="rId3413" Type="http://schemas.openxmlformats.org/officeDocument/2006/relationships/hyperlink" Target="https://www.kategrosvenor.com" TargetMode="External"/><Relationship Id="rId3416" Type="http://schemas.openxmlformats.org/officeDocument/2006/relationships/hyperlink" Target="http://www.newsgram.com/" TargetMode="External"/><Relationship Id="rId3415" Type="http://schemas.openxmlformats.org/officeDocument/2006/relationships/hyperlink" Target="https://www.newsgram.com/ai-tool-detect-mental-health-issues/" TargetMode="External"/><Relationship Id="rId3418" Type="http://schemas.openxmlformats.org/officeDocument/2006/relationships/hyperlink" Target="https://pbs.twimg.com/media/EOjT-fIWkAA1g7X.jpg" TargetMode="External"/><Relationship Id="rId3417" Type="http://schemas.openxmlformats.org/officeDocument/2006/relationships/hyperlink" Target="http://ow.ly/m9Lq50xY0AN" TargetMode="External"/><Relationship Id="rId3419" Type="http://schemas.openxmlformats.org/officeDocument/2006/relationships/hyperlink" Target="http://www.expertlink.org.uk" TargetMode="External"/><Relationship Id="rId888" Type="http://schemas.openxmlformats.org/officeDocument/2006/relationships/hyperlink" Target="https://pbs.twimg.com/media/CVtdrd6U4AAXVmi.jpg" TargetMode="External"/><Relationship Id="rId887" Type="http://schemas.openxmlformats.org/officeDocument/2006/relationships/hyperlink" Target="https://www.truewarrior.fm/recovery-101" TargetMode="External"/><Relationship Id="rId886" Type="http://schemas.openxmlformats.org/officeDocument/2006/relationships/hyperlink" Target="http://www.theravive.com" TargetMode="External"/><Relationship Id="rId885" Type="http://schemas.openxmlformats.org/officeDocument/2006/relationships/hyperlink" Target="https://bit.ly/38j78PG" TargetMode="External"/><Relationship Id="rId889" Type="http://schemas.openxmlformats.org/officeDocument/2006/relationships/hyperlink" Target="http://www.kari-joys.com" TargetMode="External"/><Relationship Id="rId880" Type="http://schemas.openxmlformats.org/officeDocument/2006/relationships/hyperlink" Target="https://buff.ly/2HhO2fi" TargetMode="External"/><Relationship Id="rId884" Type="http://schemas.openxmlformats.org/officeDocument/2006/relationships/hyperlink" Target="http://justanordinarybloke.com" TargetMode="External"/><Relationship Id="rId3410" Type="http://schemas.openxmlformats.org/officeDocument/2006/relationships/hyperlink" Target="http://www.northwoodstudios.co.uk" TargetMode="External"/><Relationship Id="rId883" Type="http://schemas.openxmlformats.org/officeDocument/2006/relationships/hyperlink" Target="https://pbs.twimg.com/media/EOl57vEU4AEQk51.png" TargetMode="External"/><Relationship Id="rId882" Type="http://schemas.openxmlformats.org/officeDocument/2006/relationships/hyperlink" Target="https://buff.ly/2HhO2fi" TargetMode="External"/><Relationship Id="rId3412" Type="http://schemas.openxmlformats.org/officeDocument/2006/relationships/hyperlink" Target="http://www.thesleepguru.co.uk" TargetMode="External"/><Relationship Id="rId881" Type="http://schemas.openxmlformats.org/officeDocument/2006/relationships/hyperlink" Target="https://pbs.twimg.com/media/EOl58tnUUAA-_yy.png" TargetMode="External"/><Relationship Id="rId3411" Type="http://schemas.openxmlformats.org/officeDocument/2006/relationships/hyperlink" Target="https://pbs.twimg.com/media/EOjUsUZWAAAgmH1.jpg" TargetMode="External"/><Relationship Id="rId3403" Type="http://schemas.openxmlformats.org/officeDocument/2006/relationships/hyperlink" Target="http://pic.twitter.com/1BZVUkek6q" TargetMode="External"/><Relationship Id="rId3402" Type="http://schemas.openxmlformats.org/officeDocument/2006/relationships/hyperlink" Target="http://oxford-counsellor.uk" TargetMode="External"/><Relationship Id="rId3405" Type="http://schemas.openxmlformats.org/officeDocument/2006/relationships/hyperlink" Target="https://pbs.twimg.com/media/EOfQuUHX4AI1snt.jpg" TargetMode="External"/><Relationship Id="rId3404" Type="http://schemas.openxmlformats.org/officeDocument/2006/relationships/hyperlink" Target="https://headstucktheatreco.wixsite.com/mysite" TargetMode="External"/><Relationship Id="rId3407" Type="http://schemas.openxmlformats.org/officeDocument/2006/relationships/hyperlink" Target="https://hbr.org/2020/01/how-to-manage-an-employee-with-depression" TargetMode="External"/><Relationship Id="rId3406" Type="http://schemas.openxmlformats.org/officeDocument/2006/relationships/hyperlink" Target="http://www.coventryrugbyccg.nhs.uk" TargetMode="External"/><Relationship Id="rId3409" Type="http://schemas.openxmlformats.org/officeDocument/2006/relationships/hyperlink" Target="http://pic.twitter.com/JXcJxqKXrH" TargetMode="External"/><Relationship Id="rId3408" Type="http://schemas.openxmlformats.org/officeDocument/2006/relationships/hyperlink" Target="https://www.befrienders.org.my/centre-in-malaysia" TargetMode="External"/><Relationship Id="rId877" Type="http://schemas.openxmlformats.org/officeDocument/2006/relationships/hyperlink" Target="https://buff.ly/2KVLt4T" TargetMode="External"/><Relationship Id="rId876" Type="http://schemas.openxmlformats.org/officeDocument/2006/relationships/hyperlink" Target="http://www.healthyplace.com" TargetMode="External"/><Relationship Id="rId875" Type="http://schemas.openxmlformats.org/officeDocument/2006/relationships/hyperlink" Target="https://pbs.twimg.com/media/EOl59lOW4AE-eUr.jpg" TargetMode="External"/><Relationship Id="rId874" Type="http://schemas.openxmlformats.org/officeDocument/2006/relationships/hyperlink" Target="https://bit.ly/3ag9LmU" TargetMode="External"/><Relationship Id="rId879" Type="http://schemas.openxmlformats.org/officeDocument/2006/relationships/hyperlink" Target="http://www.coum.org" TargetMode="External"/><Relationship Id="rId878" Type="http://schemas.openxmlformats.org/officeDocument/2006/relationships/hyperlink" Target="https://pbs.twimg.com/media/EOl59YBU4AAwUma.jpg" TargetMode="External"/><Relationship Id="rId873" Type="http://schemas.openxmlformats.org/officeDocument/2006/relationships/hyperlink" Target="https://ift.tt/1TImMuM" TargetMode="External"/><Relationship Id="rId872" Type="http://schemas.openxmlformats.org/officeDocument/2006/relationships/hyperlink" Target="https://www.oxfordmail.co.uk/news/18162570.oxfordshire-suicide-prevention-group-unveils-2020-2024-strategy/?ref=twtrec" TargetMode="External"/><Relationship Id="rId871" Type="http://schemas.openxmlformats.org/officeDocument/2006/relationships/hyperlink" Target="http://www.progressplace.org" TargetMode="External"/><Relationship Id="rId3401" Type="http://schemas.openxmlformats.org/officeDocument/2006/relationships/hyperlink" Target="https://www.thoughtsonlifeandlove.com/how-to-make-your-workplace-mental-health-friendly/" TargetMode="External"/><Relationship Id="rId870" Type="http://schemas.openxmlformats.org/officeDocument/2006/relationships/hyperlink" Target="https://pbs.twimg.com/media/EOl6BJdWAAE-pz8.jpg" TargetMode="External"/><Relationship Id="rId3400" Type="http://schemas.openxmlformats.org/officeDocument/2006/relationships/hyperlink" Target="http://www.rhcp.org.uk" TargetMode="External"/><Relationship Id="rId1653" Type="http://schemas.openxmlformats.org/officeDocument/2006/relationships/hyperlink" Target="http://bit.ly/2KcsDWi" TargetMode="External"/><Relationship Id="rId2984" Type="http://schemas.openxmlformats.org/officeDocument/2006/relationships/hyperlink" Target="https://pbs.twimg.com/media/EOj5vOGX4AACCol.jpg" TargetMode="External"/><Relationship Id="rId1654" Type="http://schemas.openxmlformats.org/officeDocument/2006/relationships/hyperlink" Target="http://ericabannon.com" TargetMode="External"/><Relationship Id="rId2985" Type="http://schemas.openxmlformats.org/officeDocument/2006/relationships/hyperlink" Target="http://ajmh.co.uk" TargetMode="External"/><Relationship Id="rId1655" Type="http://schemas.openxmlformats.org/officeDocument/2006/relationships/hyperlink" Target="https://www.twitch.tv/tehbaw" TargetMode="External"/><Relationship Id="rId2986" Type="http://schemas.openxmlformats.org/officeDocument/2006/relationships/hyperlink" Target="https://www.tandfonline.com/doi/full/10.1080/07448481.2019.1705840" TargetMode="External"/><Relationship Id="rId1656" Type="http://schemas.openxmlformats.org/officeDocument/2006/relationships/hyperlink" Target="https://goo.gl/oXsDis" TargetMode="External"/><Relationship Id="rId2987" Type="http://schemas.openxmlformats.org/officeDocument/2006/relationships/hyperlink" Target="https://pbs.twimg.com/media/EOj5pJNXsAEMh_k.png" TargetMode="External"/><Relationship Id="rId1657" Type="http://schemas.openxmlformats.org/officeDocument/2006/relationships/hyperlink" Target="http://durham-autism.org" TargetMode="External"/><Relationship Id="rId2988" Type="http://schemas.openxmlformats.org/officeDocument/2006/relationships/hyperlink" Target="https://www.researchgate.net/profile/Carsten_Mueller2" TargetMode="External"/><Relationship Id="rId1658" Type="http://schemas.openxmlformats.org/officeDocument/2006/relationships/hyperlink" Target="http://www.brainsummit.com" TargetMode="External"/><Relationship Id="rId2989" Type="http://schemas.openxmlformats.org/officeDocument/2006/relationships/hyperlink" Target="https://pbs.twimg.com/media/EOj5hNfXsAA1Vnk.jpg" TargetMode="External"/><Relationship Id="rId1659" Type="http://schemas.openxmlformats.org/officeDocument/2006/relationships/hyperlink" Target="https://linktr.ee/daniel.anhut.fotografie" TargetMode="External"/><Relationship Id="rId829" Type="http://schemas.openxmlformats.org/officeDocument/2006/relationships/hyperlink" Target="https://www.explorearoundthecorner.com" TargetMode="External"/><Relationship Id="rId828" Type="http://schemas.openxmlformats.org/officeDocument/2006/relationships/hyperlink" Target="https://pbs.twimg.com/media/EOl8PXyUwAASKgW.jpg" TargetMode="External"/><Relationship Id="rId827" Type="http://schemas.openxmlformats.org/officeDocument/2006/relationships/hyperlink" Target="about:blank" TargetMode="External"/><Relationship Id="rId822" Type="http://schemas.openxmlformats.org/officeDocument/2006/relationships/hyperlink" Target="https://www.youtube.com/channel/UCy2bM1Fsx_HI1hSOznsfVCw" TargetMode="External"/><Relationship Id="rId821" Type="http://schemas.openxmlformats.org/officeDocument/2006/relationships/hyperlink" Target="http://www.twitch.tv/heartsupport" TargetMode="External"/><Relationship Id="rId820" Type="http://schemas.openxmlformats.org/officeDocument/2006/relationships/hyperlink" Target="http://pic.twitter.com/siCDnC7occ" TargetMode="External"/><Relationship Id="rId826" Type="http://schemas.openxmlformats.org/officeDocument/2006/relationships/hyperlink" Target="http://bootscootinreview.com" TargetMode="External"/><Relationship Id="rId825" Type="http://schemas.openxmlformats.org/officeDocument/2006/relationships/hyperlink" Target="https://pbs.twimg.com/media/EOl8cSXW4AEXU7m.jpg" TargetMode="External"/><Relationship Id="rId824" Type="http://schemas.openxmlformats.org/officeDocument/2006/relationships/hyperlink" Target="http://www.charleshannahigher.com" TargetMode="External"/><Relationship Id="rId823" Type="http://schemas.openxmlformats.org/officeDocument/2006/relationships/hyperlink" Target="http://bit.ly/2RtYPHM?utm_campaign=coschedule&amp;utm_source=twitter&amp;utm_medium=hanna_higher" TargetMode="External"/><Relationship Id="rId2980" Type="http://schemas.openxmlformats.org/officeDocument/2006/relationships/hyperlink" Target="http://www.perceptioninmotion.co.za" TargetMode="External"/><Relationship Id="rId1650" Type="http://schemas.openxmlformats.org/officeDocument/2006/relationships/hyperlink" Target="https://pbs.twimg.com/media/EOlPRB1WkAI2oi0.jpg" TargetMode="External"/><Relationship Id="rId2981" Type="http://schemas.openxmlformats.org/officeDocument/2006/relationships/hyperlink" Target="https://abcn.ws/3ammkxf" TargetMode="External"/><Relationship Id="rId1651" Type="http://schemas.openxmlformats.org/officeDocument/2006/relationships/hyperlink" Target="http://www.bedfordshire.police.uk" TargetMode="External"/><Relationship Id="rId2982" Type="http://schemas.openxmlformats.org/officeDocument/2006/relationships/hyperlink" Target="http://www.farjo.com" TargetMode="External"/><Relationship Id="rId1652" Type="http://schemas.openxmlformats.org/officeDocument/2006/relationships/hyperlink" Target="http://bit.ly/2RyOV9Q" TargetMode="External"/><Relationship Id="rId2983" Type="http://schemas.openxmlformats.org/officeDocument/2006/relationships/hyperlink" Target="https://pbs.twimg.com/media/EOj5_RqWsAAarug.jpg" TargetMode="External"/><Relationship Id="rId1642" Type="http://schemas.openxmlformats.org/officeDocument/2006/relationships/hyperlink" Target="https://www.twitch.tv/cherryblosom/" TargetMode="External"/><Relationship Id="rId2973" Type="http://schemas.openxmlformats.org/officeDocument/2006/relationships/hyperlink" Target="https://www.researchgate.net/profile/Carsten_Mueller2" TargetMode="External"/><Relationship Id="rId1643" Type="http://schemas.openxmlformats.org/officeDocument/2006/relationships/hyperlink" Target="https://www.twitch.tv/cherryblosom" TargetMode="External"/><Relationship Id="rId2974" Type="http://schemas.openxmlformats.org/officeDocument/2006/relationships/hyperlink" Target="http://www.georgebarnes.co.uk/featured/45-years-on-from-one-flew-over-the-cuckoos-nest-nothing-has-changed/" TargetMode="External"/><Relationship Id="rId1644" Type="http://schemas.openxmlformats.org/officeDocument/2006/relationships/hyperlink" Target="http://www.georgebarnes.co.uk/articles/our-new-mental-health-theme-park-is-now-open/" TargetMode="External"/><Relationship Id="rId2975" Type="http://schemas.openxmlformats.org/officeDocument/2006/relationships/hyperlink" Target="https://pbs.twimg.com/media/EOj6284WAAERT7k.jpg" TargetMode="External"/><Relationship Id="rId1645" Type="http://schemas.openxmlformats.org/officeDocument/2006/relationships/hyperlink" Target="https://pbs.twimg.com/media/EOlPqT9WAAEwhNn.jpg" TargetMode="External"/><Relationship Id="rId2976" Type="http://schemas.openxmlformats.org/officeDocument/2006/relationships/hyperlink" Target="http://www.georgebarnes.co.uk" TargetMode="External"/><Relationship Id="rId1646" Type="http://schemas.openxmlformats.org/officeDocument/2006/relationships/hyperlink" Target="http://www.georgebarnes.co.uk" TargetMode="External"/><Relationship Id="rId2977" Type="http://schemas.openxmlformats.org/officeDocument/2006/relationships/hyperlink" Target="https://youtu.be/ZkPIXRDzTu8" TargetMode="External"/><Relationship Id="rId1647" Type="http://schemas.openxmlformats.org/officeDocument/2006/relationships/hyperlink" Target="https://medium.com/wilder-with-yael-wolfe/let-the-light-in-bfb24b3fc881?source=friends_link&amp;sk=b822b9f0a14181d64f762c1d2bad3c14" TargetMode="External"/><Relationship Id="rId2978" Type="http://schemas.openxmlformats.org/officeDocument/2006/relationships/hyperlink" Target="http://www.staceybing.com" TargetMode="External"/><Relationship Id="rId1648" Type="http://schemas.openxmlformats.org/officeDocument/2006/relationships/hyperlink" Target="https://medium.com/@yaelwolfe" TargetMode="External"/><Relationship Id="rId2979" Type="http://schemas.openxmlformats.org/officeDocument/2006/relationships/hyperlink" Target="https://pbs.twimg.com/media/EOj6eUaW4AA6viB.jpg" TargetMode="External"/><Relationship Id="rId1649" Type="http://schemas.openxmlformats.org/officeDocument/2006/relationships/hyperlink" Target="http://www.loenne.info" TargetMode="External"/><Relationship Id="rId819" Type="http://schemas.openxmlformats.org/officeDocument/2006/relationships/hyperlink" Target="http://www.alvernia.edu/about/center_for_entrepreneurial_leadership/index.html" TargetMode="External"/><Relationship Id="rId818" Type="http://schemas.openxmlformats.org/officeDocument/2006/relationships/hyperlink" Target="https://bit.ly/2ZN7mv7" TargetMode="External"/><Relationship Id="rId817" Type="http://schemas.openxmlformats.org/officeDocument/2006/relationships/hyperlink" Target="http://www.sexybrilliant.com" TargetMode="External"/><Relationship Id="rId816" Type="http://schemas.openxmlformats.org/officeDocument/2006/relationships/hyperlink" Target="https://pbs.twimg.com/media/EOl9VldXUAMV0O7.jpg" TargetMode="External"/><Relationship Id="rId811" Type="http://schemas.openxmlformats.org/officeDocument/2006/relationships/hyperlink" Target="https://pbs.twimg.com/media/EOl9j8JU8AAzKCE.jpg" TargetMode="External"/><Relationship Id="rId810" Type="http://schemas.openxmlformats.org/officeDocument/2006/relationships/hyperlink" Target="https://buff.ly/2tPD3If" TargetMode="External"/><Relationship Id="rId815" Type="http://schemas.openxmlformats.org/officeDocument/2006/relationships/hyperlink" Target="http://www.sexybrilliant.com" TargetMode="External"/><Relationship Id="rId814" Type="http://schemas.openxmlformats.org/officeDocument/2006/relationships/hyperlink" Target="https://www.facebook.com/pages/Pop-Up-Chat-Together/311177515713413" TargetMode="External"/><Relationship Id="rId813" Type="http://schemas.openxmlformats.org/officeDocument/2006/relationships/hyperlink" Target="https://www.facebook.com/events/848248692280846/" TargetMode="External"/><Relationship Id="rId812" Type="http://schemas.openxmlformats.org/officeDocument/2006/relationships/hyperlink" Target="http://www.brathay.org.uk" TargetMode="External"/><Relationship Id="rId2970" Type="http://schemas.openxmlformats.org/officeDocument/2006/relationships/hyperlink" Target="https://pbs.twimg.com/media/EOj696TXUAEfAK3.jpg" TargetMode="External"/><Relationship Id="rId1640" Type="http://schemas.openxmlformats.org/officeDocument/2006/relationships/hyperlink" Target="http://www.amjcomms.com/what-we-think" TargetMode="External"/><Relationship Id="rId2971" Type="http://schemas.openxmlformats.org/officeDocument/2006/relationships/hyperlink" Target="https://livedexperiencepro.wixsite.com/patientexpertgroupuk" TargetMode="External"/><Relationship Id="rId1641" Type="http://schemas.openxmlformats.org/officeDocument/2006/relationships/hyperlink" Target="http://www.papyrus-uk.org" TargetMode="External"/><Relationship Id="rId2972" Type="http://schemas.openxmlformats.org/officeDocument/2006/relationships/hyperlink" Target="https://www.sciencedirect.com/science/article/pii/S0165178119312065" TargetMode="External"/><Relationship Id="rId1675" Type="http://schemas.openxmlformats.org/officeDocument/2006/relationships/hyperlink" Target="http://www.vam.ac.uk" TargetMode="External"/><Relationship Id="rId1676" Type="http://schemas.openxmlformats.org/officeDocument/2006/relationships/hyperlink" Target="http://ow.ly/8SxX30q8J8J" TargetMode="External"/><Relationship Id="rId1677" Type="http://schemas.openxmlformats.org/officeDocument/2006/relationships/hyperlink" Target="http://www.teamsters362.com" TargetMode="External"/><Relationship Id="rId1678" Type="http://schemas.openxmlformats.org/officeDocument/2006/relationships/hyperlink" Target="https://wp.me/p8anIU-xk" TargetMode="External"/><Relationship Id="rId1679" Type="http://schemas.openxmlformats.org/officeDocument/2006/relationships/hyperlink" Target="http://sohappyintown.com/shop/" TargetMode="External"/><Relationship Id="rId849" Type="http://schemas.openxmlformats.org/officeDocument/2006/relationships/hyperlink" Target="http://www.facebook.com/KingTwistic" TargetMode="External"/><Relationship Id="rId844" Type="http://schemas.openxmlformats.org/officeDocument/2006/relationships/hyperlink" Target="https://www.wellin5.com" TargetMode="External"/><Relationship Id="rId843" Type="http://schemas.openxmlformats.org/officeDocument/2006/relationships/hyperlink" Target="http://ow.ly/iRfy50xYqCS" TargetMode="External"/><Relationship Id="rId842" Type="http://schemas.openxmlformats.org/officeDocument/2006/relationships/hyperlink" Target="http://www.kimamadril.com" TargetMode="External"/><Relationship Id="rId841" Type="http://schemas.openxmlformats.org/officeDocument/2006/relationships/hyperlink" Target="https://www.bbc.com/news/health-51093999" TargetMode="External"/><Relationship Id="rId848" Type="http://schemas.openxmlformats.org/officeDocument/2006/relationships/hyperlink" Target="https://www.instagram.com/p/B7ebC4Uh7gl/?igshid=1ozx51vsk00nc" TargetMode="External"/><Relationship Id="rId847" Type="http://schemas.openxmlformats.org/officeDocument/2006/relationships/hyperlink" Target="https://twitter.com/caringforyaa/status/1218615725243424768" TargetMode="External"/><Relationship Id="rId846" Type="http://schemas.openxmlformats.org/officeDocument/2006/relationships/hyperlink" Target="https://www.talkspace.com/" TargetMode="External"/><Relationship Id="rId845" Type="http://schemas.openxmlformats.org/officeDocument/2006/relationships/hyperlink" Target="http://bit.ly/370BGFC" TargetMode="External"/><Relationship Id="rId1670" Type="http://schemas.openxmlformats.org/officeDocument/2006/relationships/hyperlink" Target="https://pbs.twimg.com/media/EOlOOGxWoAIRoWm.jpg" TargetMode="External"/><Relationship Id="rId840" Type="http://schemas.openxmlformats.org/officeDocument/2006/relationships/hyperlink" Target="https://www.dcottawa.on.ca" TargetMode="External"/><Relationship Id="rId1671" Type="http://schemas.openxmlformats.org/officeDocument/2006/relationships/hyperlink" Target="https://pdmstrong.wordpress.com" TargetMode="External"/><Relationship Id="rId1672" Type="http://schemas.openxmlformats.org/officeDocument/2006/relationships/hyperlink" Target="https://pdmstrong.wordpress.com" TargetMode="External"/><Relationship Id="rId1673" Type="http://schemas.openxmlformats.org/officeDocument/2006/relationships/hyperlink" Target="http://instagram.com/shaka.brown" TargetMode="External"/><Relationship Id="rId1674" Type="http://schemas.openxmlformats.org/officeDocument/2006/relationships/hyperlink" Target="https://pbs.twimg.com/media/EOlNRYqXsAI66yh.jpg" TargetMode="External"/><Relationship Id="rId1664" Type="http://schemas.openxmlformats.org/officeDocument/2006/relationships/hyperlink" Target="https://pbs.twimg.com/media/EOlO07oX0AcJsKH.jpg" TargetMode="External"/><Relationship Id="rId2995" Type="http://schemas.openxmlformats.org/officeDocument/2006/relationships/hyperlink" Target="https://www.primrosepractice.co.uk" TargetMode="External"/><Relationship Id="rId1665" Type="http://schemas.openxmlformats.org/officeDocument/2006/relationships/hyperlink" Target="http://drjohnmayer.com" TargetMode="External"/><Relationship Id="rId2996" Type="http://schemas.openxmlformats.org/officeDocument/2006/relationships/hyperlink" Target="https://bit.ly/2N6PSot" TargetMode="External"/><Relationship Id="rId1666" Type="http://schemas.openxmlformats.org/officeDocument/2006/relationships/hyperlink" Target="http://instagram.com/shaka.brown" TargetMode="External"/><Relationship Id="rId2997" Type="http://schemas.openxmlformats.org/officeDocument/2006/relationships/hyperlink" Target="https://www.mheducation.co.uk/openup-homepage" TargetMode="External"/><Relationship Id="rId1667" Type="http://schemas.openxmlformats.org/officeDocument/2006/relationships/hyperlink" Target="https://m.facebook.com/story.php?story_fbid=2525995307729361&amp;id=100009567501733" TargetMode="External"/><Relationship Id="rId2998" Type="http://schemas.openxmlformats.org/officeDocument/2006/relationships/hyperlink" Target="https://zurl.co/ipKz" TargetMode="External"/><Relationship Id="rId1668" Type="http://schemas.openxmlformats.org/officeDocument/2006/relationships/hyperlink" Target="https://pbs.twimg.com/media/EOlOoihU8AA0RmI.jpg" TargetMode="External"/><Relationship Id="rId2999" Type="http://schemas.openxmlformats.org/officeDocument/2006/relationships/hyperlink" Target="https://pbs.twimg.com/media/EOj3q5ZWkAsZmjF.jpg" TargetMode="External"/><Relationship Id="rId1669" Type="http://schemas.openxmlformats.org/officeDocument/2006/relationships/hyperlink" Target="https://pbs.twimg.com/media/EOlOgYCWAAAVi2y.jpg" TargetMode="External"/><Relationship Id="rId839" Type="http://schemas.openxmlformats.org/officeDocument/2006/relationships/hyperlink" Target="https://linktr.ee/yourpurespark" TargetMode="External"/><Relationship Id="rId838" Type="http://schemas.openxmlformats.org/officeDocument/2006/relationships/hyperlink" Target="https://pbs.twimg.com/media/EOl72KZXUAAnSvC.jpg" TargetMode="External"/><Relationship Id="rId833" Type="http://schemas.openxmlformats.org/officeDocument/2006/relationships/hyperlink" Target="http://www.aurtism.org" TargetMode="External"/><Relationship Id="rId832" Type="http://schemas.openxmlformats.org/officeDocument/2006/relationships/hyperlink" Target="https://pbs.twimg.com/media/EOl79leUEAAKKJh.jpg" TargetMode="External"/><Relationship Id="rId831" Type="http://schemas.openxmlformats.org/officeDocument/2006/relationships/hyperlink" Target="http://www.mymusingsandme.co.uk" TargetMode="External"/><Relationship Id="rId830" Type="http://schemas.openxmlformats.org/officeDocument/2006/relationships/hyperlink" Target="https://mymusingsandme.co.uk/anxiety-vs-anxiety-disorder/" TargetMode="External"/><Relationship Id="rId837" Type="http://schemas.openxmlformats.org/officeDocument/2006/relationships/hyperlink" Target="https://pbs.twimg.com/media/EOjaqhgWAAAMdPr.jpg" TargetMode="External"/><Relationship Id="rId836" Type="http://schemas.openxmlformats.org/officeDocument/2006/relationships/hyperlink" Target="https://twitter.com/Robinson_Linds/status/1218464125543690240" TargetMode="External"/><Relationship Id="rId835" Type="http://schemas.openxmlformats.org/officeDocument/2006/relationships/hyperlink" Target="https://www.goodreads.com/BookishQuest" TargetMode="External"/><Relationship Id="rId834" Type="http://schemas.openxmlformats.org/officeDocument/2006/relationships/hyperlink" Target="https://pbs.twimg.com/media/EOl775BUYAAD0jw.jpg" TargetMode="External"/><Relationship Id="rId2990" Type="http://schemas.openxmlformats.org/officeDocument/2006/relationships/hyperlink" Target="http://www.youngwomenalliance.com" TargetMode="External"/><Relationship Id="rId1660" Type="http://schemas.openxmlformats.org/officeDocument/2006/relationships/hyperlink" Target="https://bit.ly/2ND5dNO" TargetMode="External"/><Relationship Id="rId2991" Type="http://schemas.openxmlformats.org/officeDocument/2006/relationships/hyperlink" Target="https://pbs.twimg.com/media/EOj5UO5XsAA81yP.jpg" TargetMode="External"/><Relationship Id="rId1661" Type="http://schemas.openxmlformats.org/officeDocument/2006/relationships/hyperlink" Target="https://pbs.twimg.com/media/EOlO3eyXkAAdzOI.jpg" TargetMode="External"/><Relationship Id="rId2992" Type="http://schemas.openxmlformats.org/officeDocument/2006/relationships/hyperlink" Target="https://pbs.twimg.com/media/EOj5ABAWAAAMj_F.jpg" TargetMode="External"/><Relationship Id="rId1662" Type="http://schemas.openxmlformats.org/officeDocument/2006/relationships/hyperlink" Target="http://www.healthyhispanicliving.com" TargetMode="External"/><Relationship Id="rId2993" Type="http://schemas.openxmlformats.org/officeDocument/2006/relationships/hyperlink" Target="https://pbs.twimg.com/media/EOj4ZtbXkAAddYo.jpg" TargetMode="External"/><Relationship Id="rId1663" Type="http://schemas.openxmlformats.org/officeDocument/2006/relationships/hyperlink" Target="http://drjohnmayer.com" TargetMode="External"/><Relationship Id="rId2994" Type="http://schemas.openxmlformats.org/officeDocument/2006/relationships/hyperlink" Target="https://pbs.twimg.com/media/ENlXupEXYAYslI3.png" TargetMode="External"/><Relationship Id="rId2148" Type="http://schemas.openxmlformats.org/officeDocument/2006/relationships/hyperlink" Target="https://twitter.com/stuartshanker/status/1218545345346621441" TargetMode="External"/><Relationship Id="rId2149" Type="http://schemas.openxmlformats.org/officeDocument/2006/relationships/hyperlink" Target="https://pbs.twimg.com/media/EOkkiAkWkAU6s8T.jpg" TargetMode="External"/><Relationship Id="rId3479" Type="http://schemas.openxmlformats.org/officeDocument/2006/relationships/hyperlink" Target="https://pbs.twimg.com/media/EOjPAnzXUAEBHWC.jpg" TargetMode="External"/><Relationship Id="rId3470" Type="http://schemas.openxmlformats.org/officeDocument/2006/relationships/hyperlink" Target="http://www.georgebarnes.co.uk" TargetMode="External"/><Relationship Id="rId2140" Type="http://schemas.openxmlformats.org/officeDocument/2006/relationships/hyperlink" Target="https://pbs.twimg.com/media/EOkxi9XXUAITSfW.jpg" TargetMode="External"/><Relationship Id="rId3472" Type="http://schemas.openxmlformats.org/officeDocument/2006/relationships/hyperlink" Target="https://pbs.twimg.com/media/EOjPaTaWkAAE7od.jpg" TargetMode="External"/><Relationship Id="rId2141" Type="http://schemas.openxmlformats.org/officeDocument/2006/relationships/hyperlink" Target="http://www.wunda.today" TargetMode="External"/><Relationship Id="rId3471" Type="http://schemas.openxmlformats.org/officeDocument/2006/relationships/hyperlink" Target="https://iamnotamistake.co.za" TargetMode="External"/><Relationship Id="rId2142" Type="http://schemas.openxmlformats.org/officeDocument/2006/relationships/hyperlink" Target="https://www.city.ac.uk/people/academics/katerina-hilari" TargetMode="External"/><Relationship Id="rId3474" Type="http://schemas.openxmlformats.org/officeDocument/2006/relationships/hyperlink" Target="https://pbs.twimg.com/media/EOjPY3cWoAYRS3g.jpg" TargetMode="External"/><Relationship Id="rId2143" Type="http://schemas.openxmlformats.org/officeDocument/2006/relationships/hyperlink" Target="https://pbs.twimg.com/media/EOkxVy7XUAETRyY.jpg" TargetMode="External"/><Relationship Id="rId3473" Type="http://schemas.openxmlformats.org/officeDocument/2006/relationships/hyperlink" Target="http://bit.ly/2q1qrIA" TargetMode="External"/><Relationship Id="rId2144" Type="http://schemas.openxmlformats.org/officeDocument/2006/relationships/hyperlink" Target="https://likeoneanother.com/" TargetMode="External"/><Relationship Id="rId3476" Type="http://schemas.openxmlformats.org/officeDocument/2006/relationships/hyperlink" Target="https://acti-labs.com/me/rachel-evans-5" TargetMode="External"/><Relationship Id="rId2145" Type="http://schemas.openxmlformats.org/officeDocument/2006/relationships/hyperlink" Target="https://youtu.be/3214jr5V-5I" TargetMode="External"/><Relationship Id="rId3475" Type="http://schemas.openxmlformats.org/officeDocument/2006/relationships/hyperlink" Target="http://www.cwmind.org.uk" TargetMode="External"/><Relationship Id="rId2146" Type="http://schemas.openxmlformats.org/officeDocument/2006/relationships/hyperlink" Target="https://pbs.twimg.com/media/EOkw59CWkAEQ6Ac.jpg" TargetMode="External"/><Relationship Id="rId3478" Type="http://schemas.openxmlformats.org/officeDocument/2006/relationships/hyperlink" Target="https://www.bbc.co.uk/programmes/m000df09" TargetMode="External"/><Relationship Id="rId2147" Type="http://schemas.openxmlformats.org/officeDocument/2006/relationships/hyperlink" Target="http://www.lightingupdarkcorners.com" TargetMode="External"/><Relationship Id="rId3477" Type="http://schemas.openxmlformats.org/officeDocument/2006/relationships/hyperlink" Target="http://news.sky.com/story/new-dad-reveals-battle-with-post-natal-depression-i-didnt-love-my-daughter-11911063" TargetMode="External"/><Relationship Id="rId2137" Type="http://schemas.openxmlformats.org/officeDocument/2006/relationships/hyperlink" Target="https://pbs.twimg.com/media/EOkxoaMX4AoEZjD.jpg" TargetMode="External"/><Relationship Id="rId3469" Type="http://schemas.openxmlformats.org/officeDocument/2006/relationships/hyperlink" Target="https://pbs.twimg.com/media/EOjPsIgXUAAltqB.jpg" TargetMode="External"/><Relationship Id="rId2138" Type="http://schemas.openxmlformats.org/officeDocument/2006/relationships/hyperlink" Target="https://pbs.twimg.com/media/EOkxl8_W4AA3Y4U.jpg" TargetMode="External"/><Relationship Id="rId3468" Type="http://schemas.openxmlformats.org/officeDocument/2006/relationships/hyperlink" Target="http://www.georgebarnes.co.uk/career/sacked-for-being-mentally-ill-was-like-a-bullet-to-the-head/" TargetMode="External"/><Relationship Id="rId2139" Type="http://schemas.openxmlformats.org/officeDocument/2006/relationships/hyperlink" Target="http://www.youareworthy.ca" TargetMode="External"/><Relationship Id="rId3461" Type="http://schemas.openxmlformats.org/officeDocument/2006/relationships/hyperlink" Target="http://pic.twitter.com/nrhnf7ey1D" TargetMode="External"/><Relationship Id="rId2130" Type="http://schemas.openxmlformats.org/officeDocument/2006/relationships/hyperlink" Target="http://www.timely.md" TargetMode="External"/><Relationship Id="rId3460" Type="http://schemas.openxmlformats.org/officeDocument/2006/relationships/hyperlink" Target="http://www.drdeblindh.com" TargetMode="External"/><Relationship Id="rId2131" Type="http://schemas.openxmlformats.org/officeDocument/2006/relationships/hyperlink" Target="https://pbs.twimg.com/media/EOkxtI3XsAAhmtE.jpg" TargetMode="External"/><Relationship Id="rId3463" Type="http://schemas.openxmlformats.org/officeDocument/2006/relationships/hyperlink" Target="https://pbs.twimg.com/media/D6sNxdbXYAALwFl.jpg" TargetMode="External"/><Relationship Id="rId2132" Type="http://schemas.openxmlformats.org/officeDocument/2006/relationships/hyperlink" Target="http://www.theoneofnow.com/blog" TargetMode="External"/><Relationship Id="rId3462" Type="http://schemas.openxmlformats.org/officeDocument/2006/relationships/hyperlink" Target="https://www.kratutherescuedog.co.uk/" TargetMode="External"/><Relationship Id="rId2133" Type="http://schemas.openxmlformats.org/officeDocument/2006/relationships/hyperlink" Target="https://pbs.twimg.com/media/EOkxp90XsAI5B4h.jpg" TargetMode="External"/><Relationship Id="rId3465" Type="http://schemas.openxmlformats.org/officeDocument/2006/relationships/hyperlink" Target="https://www.metawellbeing.com" TargetMode="External"/><Relationship Id="rId2134" Type="http://schemas.openxmlformats.org/officeDocument/2006/relationships/hyperlink" Target="https://www.theoneofnow.com" TargetMode="External"/><Relationship Id="rId3464" Type="http://schemas.openxmlformats.org/officeDocument/2006/relationships/hyperlink" Target="https://www.facebook.com/story.php?story_fbid=10216627442425564&amp;id=1445071842" TargetMode="External"/><Relationship Id="rId2135" Type="http://schemas.openxmlformats.org/officeDocument/2006/relationships/hyperlink" Target="https://youtu.be/joKsob0tCk8" TargetMode="External"/><Relationship Id="rId3467" Type="http://schemas.openxmlformats.org/officeDocument/2006/relationships/hyperlink" Target="http://www.books2read.com/Osbert" TargetMode="External"/><Relationship Id="rId2136" Type="http://schemas.openxmlformats.org/officeDocument/2006/relationships/hyperlink" Target="http://youareenough712.wordpress.com" TargetMode="External"/><Relationship Id="rId3466" Type="http://schemas.openxmlformats.org/officeDocument/2006/relationships/hyperlink" Target="http://books2read.com/Osbert" TargetMode="External"/><Relationship Id="rId3490" Type="http://schemas.openxmlformats.org/officeDocument/2006/relationships/hyperlink" Target="http://www.ecbcmanchester.com" TargetMode="External"/><Relationship Id="rId2160" Type="http://schemas.openxmlformats.org/officeDocument/2006/relationships/hyperlink" Target="http://bit.ly/38haK4D" TargetMode="External"/><Relationship Id="rId3492" Type="http://schemas.openxmlformats.org/officeDocument/2006/relationships/hyperlink" Target="https://pbs.twimg.com/media/EOjNhf4WkAAyNg0.jpg" TargetMode="External"/><Relationship Id="rId2161" Type="http://schemas.openxmlformats.org/officeDocument/2006/relationships/hyperlink" Target="http://www.mhcd.org/careers" TargetMode="External"/><Relationship Id="rId3491" Type="http://schemas.openxmlformats.org/officeDocument/2006/relationships/hyperlink" Target="http://www.theoliveprime.com" TargetMode="External"/><Relationship Id="rId2162" Type="http://schemas.openxmlformats.org/officeDocument/2006/relationships/hyperlink" Target="https://medium.com/@paisleysmith94/my-true-voice-started-speaking-louder-in-my-head-5940e3d7db0a" TargetMode="External"/><Relationship Id="rId3494" Type="http://schemas.openxmlformats.org/officeDocument/2006/relationships/hyperlink" Target="https://www.bbc.co.uk/bitesize/articles/zndp6v4?fbclid=IwAR2s6J0wu4ijMjRJvjtue44je2UWUAmq66DX2jpUnHkVjMMc_-H2ZyvGKbU" TargetMode="External"/><Relationship Id="rId2163" Type="http://schemas.openxmlformats.org/officeDocument/2006/relationships/hyperlink" Target="https://pbs.twimg.com/media/EOkvbPzXkAALokp.jpg" TargetMode="External"/><Relationship Id="rId3493" Type="http://schemas.openxmlformats.org/officeDocument/2006/relationships/hyperlink" Target="http://www.mind.org.uk" TargetMode="External"/><Relationship Id="rId2164" Type="http://schemas.openxmlformats.org/officeDocument/2006/relationships/hyperlink" Target="http://www.lightingupdarkcorners.com" TargetMode="External"/><Relationship Id="rId3496" Type="http://schemas.openxmlformats.org/officeDocument/2006/relationships/hyperlink" Target="https://www.england.nhs.uk/2020/01/countrys-top-mental-health-nurse-warns-video-games-pushing-young-people-into-under-the-radar-gambling/" TargetMode="External"/><Relationship Id="rId2165" Type="http://schemas.openxmlformats.org/officeDocument/2006/relationships/hyperlink" Target="http://www.thesociallight.org" TargetMode="External"/><Relationship Id="rId3495" Type="http://schemas.openxmlformats.org/officeDocument/2006/relationships/hyperlink" Target="http://www.holistichealing4children.com" TargetMode="External"/><Relationship Id="rId2166" Type="http://schemas.openxmlformats.org/officeDocument/2006/relationships/hyperlink" Target="https://www.bacp.co.uk/news/news-from-bacp/2020/17-january-new-film-explores-psychological-impact-of-social-media/" TargetMode="External"/><Relationship Id="rId3498" Type="http://schemas.openxmlformats.org/officeDocument/2006/relationships/hyperlink" Target="http://www.england.nhs.uk" TargetMode="External"/><Relationship Id="rId2167" Type="http://schemas.openxmlformats.org/officeDocument/2006/relationships/hyperlink" Target="https://pbs.twimg.com/media/EOkvJN6W4AA6dJT.jpg" TargetMode="External"/><Relationship Id="rId3497" Type="http://schemas.openxmlformats.org/officeDocument/2006/relationships/hyperlink" Target="https://pbs.twimg.com/media/EOjNGbrWAAAlOA_.jpg" TargetMode="External"/><Relationship Id="rId2168" Type="http://schemas.openxmlformats.org/officeDocument/2006/relationships/hyperlink" Target="http://www.justtalk2019.com" TargetMode="External"/><Relationship Id="rId2169" Type="http://schemas.openxmlformats.org/officeDocument/2006/relationships/hyperlink" Target="https://pbs.twimg.com/media/EOkus0CU4AIiymf.jpg" TargetMode="External"/><Relationship Id="rId3499" Type="http://schemas.openxmlformats.org/officeDocument/2006/relationships/hyperlink" Target="http://mwanakache.blogspot.com" TargetMode="External"/><Relationship Id="rId2159" Type="http://schemas.openxmlformats.org/officeDocument/2006/relationships/hyperlink" Target="http://www.exploringucounselling.co.uk" TargetMode="External"/><Relationship Id="rId3481" Type="http://schemas.openxmlformats.org/officeDocument/2006/relationships/hyperlink" Target="https://pbs.twimg.com/media/EOjOtnFXkAAkDV0.jpg" TargetMode="External"/><Relationship Id="rId2150" Type="http://schemas.openxmlformats.org/officeDocument/2006/relationships/hyperlink" Target="https://pbs.twimg.com/media/EOfsEW-X4AANQKY.png" TargetMode="External"/><Relationship Id="rId3480" Type="http://schemas.openxmlformats.org/officeDocument/2006/relationships/hyperlink" Target="https://linktr.ee/everyorigin" TargetMode="External"/><Relationship Id="rId2151" Type="http://schemas.openxmlformats.org/officeDocument/2006/relationships/hyperlink" Target="https://www.bacp.co.uk/news/news-from-bacp/2020/17-january-new-film-explores-psychological-impact-of-social-media/" TargetMode="External"/><Relationship Id="rId3483" Type="http://schemas.openxmlformats.org/officeDocument/2006/relationships/hyperlink" Target="https://www.twitch.tv/duckplague" TargetMode="External"/><Relationship Id="rId2152" Type="http://schemas.openxmlformats.org/officeDocument/2006/relationships/hyperlink" Target="https://pbs.twimg.com/media/EOkwWNvXsAIImLx.jpg" TargetMode="External"/><Relationship Id="rId3482" Type="http://schemas.openxmlformats.org/officeDocument/2006/relationships/hyperlink" Target="http://throughthedarkclothing.com" TargetMode="External"/><Relationship Id="rId2153" Type="http://schemas.openxmlformats.org/officeDocument/2006/relationships/hyperlink" Target="http://www.justtalk2019.com" TargetMode="External"/><Relationship Id="rId3485" Type="http://schemas.openxmlformats.org/officeDocument/2006/relationships/hyperlink" Target="https://twitter.com/jasonkander/status/1218035685720035328" TargetMode="External"/><Relationship Id="rId2154" Type="http://schemas.openxmlformats.org/officeDocument/2006/relationships/hyperlink" Target="https://pbs.twimg.com/media/EOkwOviW4AI4Zp4.jpg" TargetMode="External"/><Relationship Id="rId3484" Type="http://schemas.openxmlformats.org/officeDocument/2006/relationships/hyperlink" Target="http://www.tumblr.com/blog/poppyparsons" TargetMode="External"/><Relationship Id="rId2155" Type="http://schemas.openxmlformats.org/officeDocument/2006/relationships/hyperlink" Target="https://www.youtube.com/channel/UCEvm5H7xDKmjI6mqVLfbdWg?view_as=subscriber" TargetMode="External"/><Relationship Id="rId3487" Type="http://schemas.openxmlformats.org/officeDocument/2006/relationships/hyperlink" Target="https://pbs.twimg.com/media/EOjOD9fUwAIDBO6.jpg" TargetMode="External"/><Relationship Id="rId2156" Type="http://schemas.openxmlformats.org/officeDocument/2006/relationships/hyperlink" Target="http://twitch.tv/HolidayGoddess" TargetMode="External"/><Relationship Id="rId3486" Type="http://schemas.openxmlformats.org/officeDocument/2006/relationships/hyperlink" Target="http://drsallychung.com" TargetMode="External"/><Relationship Id="rId2157" Type="http://schemas.openxmlformats.org/officeDocument/2006/relationships/hyperlink" Target="https://www.bacp.co.uk/news/news-from-bacp/2020/17-january-new-film-explores-psychological-impact-of-social-media/" TargetMode="External"/><Relationship Id="rId3489" Type="http://schemas.openxmlformats.org/officeDocument/2006/relationships/hyperlink" Target="https://pbs.twimg.com/media/EOjNoGzWkAAhLpg.jpg" TargetMode="External"/><Relationship Id="rId2158" Type="http://schemas.openxmlformats.org/officeDocument/2006/relationships/hyperlink" Target="https://pbs.twimg.com/media/EOkv5mZXsAEnli4.jpg" TargetMode="External"/><Relationship Id="rId3488" Type="http://schemas.openxmlformats.org/officeDocument/2006/relationships/hyperlink" Target="https://ecbcmanchester.wordpress.com/2020/01/18/knowyourcommunity/" TargetMode="External"/><Relationship Id="rId2104" Type="http://schemas.openxmlformats.org/officeDocument/2006/relationships/hyperlink" Target="https://pbs.twimg.com/media/EOkzSvRWsAAOT3P.png" TargetMode="External"/><Relationship Id="rId3436" Type="http://schemas.openxmlformats.org/officeDocument/2006/relationships/hyperlink" Target="https://pbs.twimg.com/media/EOjScNoWoAEB9ar.jpg" TargetMode="External"/><Relationship Id="rId2105" Type="http://schemas.openxmlformats.org/officeDocument/2006/relationships/hyperlink" Target="https://www.bbc.com/news/uk-wales-51156066" TargetMode="External"/><Relationship Id="rId3435" Type="http://schemas.openxmlformats.org/officeDocument/2006/relationships/hyperlink" Target="https://open.spotify.com/show/1JSkIUdkxo4lXdSxkqfZhb?si=tzhazmATRL2HsJUd2M7n1w" TargetMode="External"/><Relationship Id="rId2106" Type="http://schemas.openxmlformats.org/officeDocument/2006/relationships/hyperlink" Target="https://www.patreon.com/posts/bad-days-will-1-33253414?utm_medium=social&amp;utm_source=twitter&amp;utm_campaign=postshare" TargetMode="External"/><Relationship Id="rId3438" Type="http://schemas.openxmlformats.org/officeDocument/2006/relationships/hyperlink" Target="https://fatherhoodandtriathlons.wordpress.com/" TargetMode="External"/><Relationship Id="rId2107" Type="http://schemas.openxmlformats.org/officeDocument/2006/relationships/hyperlink" Target="https://patreon.com/novicejourno?utm_medium=social&amp;utm_source=twitter&amp;utm_campaign=creatorshare" TargetMode="External"/><Relationship Id="rId3437" Type="http://schemas.openxmlformats.org/officeDocument/2006/relationships/hyperlink" Target="https://www.youtube.com/channel/UCEvm5H7xDKmjI6mqVLfbdWg?view_as=subscriber" TargetMode="External"/><Relationship Id="rId2108" Type="http://schemas.openxmlformats.org/officeDocument/2006/relationships/hyperlink" Target="https://pbs.twimg.com/media/EOkzDXRXUAU7Euw.jpg" TargetMode="External"/><Relationship Id="rId2109" Type="http://schemas.openxmlformats.org/officeDocument/2006/relationships/hyperlink" Target="https://twitter.com/majdpsingh/status/1218485166076653568" TargetMode="External"/><Relationship Id="rId3439" Type="http://schemas.openxmlformats.org/officeDocument/2006/relationships/hyperlink" Target="https://pbs.twimg.com/media/EOjSHXBX0AApQpS.jpg" TargetMode="External"/><Relationship Id="rId3430" Type="http://schemas.openxmlformats.org/officeDocument/2006/relationships/hyperlink" Target="https://pbs.twimg.com/media/EOjSxSoXUAA0zYW.jpg" TargetMode="External"/><Relationship Id="rId2100" Type="http://schemas.openxmlformats.org/officeDocument/2006/relationships/hyperlink" Target="https://pbs.twimg.com/media/EOkzbWOX4AAWP3V.jpg" TargetMode="External"/><Relationship Id="rId3432" Type="http://schemas.openxmlformats.org/officeDocument/2006/relationships/hyperlink" Target="https://pbs.twimg.com/media/EOjSokiX4AEqpKb.jpg" TargetMode="External"/><Relationship Id="rId2101" Type="http://schemas.openxmlformats.org/officeDocument/2006/relationships/hyperlink" Target="https://linktr.ee/iammegganoreilly" TargetMode="External"/><Relationship Id="rId3431" Type="http://schemas.openxmlformats.org/officeDocument/2006/relationships/hyperlink" Target="http://www.virginmoneygiving.com/gusbus" TargetMode="External"/><Relationship Id="rId2102" Type="http://schemas.openxmlformats.org/officeDocument/2006/relationships/hyperlink" Target="https://m.youtube.com/channel/UCTe_jbUOsYyZyBtj3ewysXQ" TargetMode="External"/><Relationship Id="rId3434" Type="http://schemas.openxmlformats.org/officeDocument/2006/relationships/hyperlink" Target="https://anchor.fm/aaron-detrinidad/episodes/Toxic-Work-Environments-ea5ts4" TargetMode="External"/><Relationship Id="rId2103" Type="http://schemas.openxmlformats.org/officeDocument/2006/relationships/hyperlink" Target="http://cpix.me/a/90229582" TargetMode="External"/><Relationship Id="rId3433" Type="http://schemas.openxmlformats.org/officeDocument/2006/relationships/hyperlink" Target="https://www.instagram.com/thehashtag.in" TargetMode="External"/><Relationship Id="rId3425" Type="http://schemas.openxmlformats.org/officeDocument/2006/relationships/hyperlink" Target="http://www.triadtherapy.co.uk" TargetMode="External"/><Relationship Id="rId3424" Type="http://schemas.openxmlformats.org/officeDocument/2006/relationships/hyperlink" Target="http://news.sky.com/story/call-for-all-new-fathers-to-be-routinely-checked-for-post-natal-depression-11911277" TargetMode="External"/><Relationship Id="rId3427" Type="http://schemas.openxmlformats.org/officeDocument/2006/relationships/hyperlink" Target="https://pbs.twimg.com/media/EOjS0WiXsAAPs-A.jpg" TargetMode="External"/><Relationship Id="rId3426" Type="http://schemas.openxmlformats.org/officeDocument/2006/relationships/hyperlink" Target="https://www.seandcessexmind.org.uk/somewhere-to-turn-volunteer" TargetMode="External"/><Relationship Id="rId3429" Type="http://schemas.openxmlformats.org/officeDocument/2006/relationships/hyperlink" Target="https://youtu.be/mnNJ3Cf7SSQ" TargetMode="External"/><Relationship Id="rId3428" Type="http://schemas.openxmlformats.org/officeDocument/2006/relationships/hyperlink" Target="http://www.seandcessexmind.org.uk" TargetMode="External"/><Relationship Id="rId899" Type="http://schemas.openxmlformats.org/officeDocument/2006/relationships/hyperlink" Target="https://www.slideshare.net/GaryLBukowskiMACFREV/corys-story-making-a-difference-at-sarah-a-reed-childrens-center" TargetMode="External"/><Relationship Id="rId898" Type="http://schemas.openxmlformats.org/officeDocument/2006/relationships/hyperlink" Target="https://pbs.twimg.com/media/EOl5uMrU8AA4q51.jpg" TargetMode="External"/><Relationship Id="rId897" Type="http://schemas.openxmlformats.org/officeDocument/2006/relationships/hyperlink" Target="https://pbs.twimg.com/media/EOl5u_nUUAEnXzg.jpg" TargetMode="External"/><Relationship Id="rId896" Type="http://schemas.openxmlformats.org/officeDocument/2006/relationships/hyperlink" Target="http://bit.ly/moodsbox2" TargetMode="External"/><Relationship Id="rId891" Type="http://schemas.openxmlformats.org/officeDocument/2006/relationships/hyperlink" Target="https://pbs.twimg.com/media/EOl5zewXkAEGxd4.jpg" TargetMode="External"/><Relationship Id="rId890" Type="http://schemas.openxmlformats.org/officeDocument/2006/relationships/hyperlink" Target="http://www.adhdsnap.com" TargetMode="External"/><Relationship Id="rId895" Type="http://schemas.openxmlformats.org/officeDocument/2006/relationships/hyperlink" Target="http://www.themoodcards.com" TargetMode="External"/><Relationship Id="rId3421" Type="http://schemas.openxmlformats.org/officeDocument/2006/relationships/hyperlink" Target="https://pbs.twimg.com/media/EOjT-aNU8AEnXlZ.png" TargetMode="External"/><Relationship Id="rId894" Type="http://schemas.openxmlformats.org/officeDocument/2006/relationships/hyperlink" Target="https://goo.gl/oqsSup" TargetMode="External"/><Relationship Id="rId3420" Type="http://schemas.openxmlformats.org/officeDocument/2006/relationships/hyperlink" Target="http://bit.ly/3akd1xK" TargetMode="External"/><Relationship Id="rId893" Type="http://schemas.openxmlformats.org/officeDocument/2006/relationships/hyperlink" Target="https://www.theguardian.com/higher-education-network/2018/jan/05/we-all-need-to-be-less-scared-of-asking-for-help-campus-security-on-mental-health" TargetMode="External"/><Relationship Id="rId3423" Type="http://schemas.openxmlformats.org/officeDocument/2006/relationships/hyperlink" Target="http://fabtraining.net" TargetMode="External"/><Relationship Id="rId892" Type="http://schemas.openxmlformats.org/officeDocument/2006/relationships/hyperlink" Target="http://www.adhdsnap.com" TargetMode="External"/><Relationship Id="rId3422" Type="http://schemas.openxmlformats.org/officeDocument/2006/relationships/hyperlink" Target="https://pbs.twimg.com/media/EOjTr6TWAAAWN-a.jpg" TargetMode="External"/><Relationship Id="rId2126" Type="http://schemas.openxmlformats.org/officeDocument/2006/relationships/hyperlink" Target="https://pbs.twimg.com/media/EOkx3aAXsAU9zva.jpg" TargetMode="External"/><Relationship Id="rId3458" Type="http://schemas.openxmlformats.org/officeDocument/2006/relationships/hyperlink" Target="http://ow.ly/ytGU50xY7SW" TargetMode="External"/><Relationship Id="rId2127" Type="http://schemas.openxmlformats.org/officeDocument/2006/relationships/hyperlink" Target="http://lastwordonprofootball.com/author/troylambert/" TargetMode="External"/><Relationship Id="rId3457" Type="http://schemas.openxmlformats.org/officeDocument/2006/relationships/hyperlink" Target="https://www.abqjournal.com/1410938" TargetMode="External"/><Relationship Id="rId2128" Type="http://schemas.openxmlformats.org/officeDocument/2006/relationships/hyperlink" Target="https://www.timely.md" TargetMode="External"/><Relationship Id="rId2129" Type="http://schemas.openxmlformats.org/officeDocument/2006/relationships/hyperlink" Target="https://pbs.twimg.com/media/EOkx1bcW4AkEmog.jpg" TargetMode="External"/><Relationship Id="rId3459" Type="http://schemas.openxmlformats.org/officeDocument/2006/relationships/hyperlink" Target="https://pbs.twimg.com/media/EOjQh6HXUAUdvtG.jpg" TargetMode="External"/><Relationship Id="rId3450" Type="http://schemas.openxmlformats.org/officeDocument/2006/relationships/hyperlink" Target="https://linktr.ee/artistrebeccals" TargetMode="External"/><Relationship Id="rId2120" Type="http://schemas.openxmlformats.org/officeDocument/2006/relationships/hyperlink" Target="https://bit.ly/1zXIQSZ" TargetMode="External"/><Relationship Id="rId3452" Type="http://schemas.openxmlformats.org/officeDocument/2006/relationships/hyperlink" Target="https://twitter.com/ZenEssentials/status/1218446945997524992" TargetMode="External"/><Relationship Id="rId2121" Type="http://schemas.openxmlformats.org/officeDocument/2006/relationships/hyperlink" Target="http://www.awaken-mind.com" TargetMode="External"/><Relationship Id="rId3451" Type="http://schemas.openxmlformats.org/officeDocument/2006/relationships/hyperlink" Target="http://www.hafal.org/" TargetMode="External"/><Relationship Id="rId2122" Type="http://schemas.openxmlformats.org/officeDocument/2006/relationships/hyperlink" Target="https://thehill.com/homenews/administration/478816-trump-administration-to-roll-back-michelle-obamas-school-lunch-rules" TargetMode="External"/><Relationship Id="rId3454" Type="http://schemas.openxmlformats.org/officeDocument/2006/relationships/hyperlink" Target="http://www.drdeblindh.com" TargetMode="External"/><Relationship Id="rId2123" Type="http://schemas.openxmlformats.org/officeDocument/2006/relationships/hyperlink" Target="https://www.lnk.xyz/r1BbKs2lL?aduc=mOJm5c01579362364301" TargetMode="External"/><Relationship Id="rId3453" Type="http://schemas.openxmlformats.org/officeDocument/2006/relationships/hyperlink" Target="http://www.clearrising.com" TargetMode="External"/><Relationship Id="rId2124" Type="http://schemas.openxmlformats.org/officeDocument/2006/relationships/hyperlink" Target="https://linktr.ee/dshorbauthor" TargetMode="External"/><Relationship Id="rId3456" Type="http://schemas.openxmlformats.org/officeDocument/2006/relationships/hyperlink" Target="http://www.whitesquirrelgolfclub.com" TargetMode="External"/><Relationship Id="rId2125" Type="http://schemas.openxmlformats.org/officeDocument/2006/relationships/hyperlink" Target="http://unboundnorthwest.com/you-nobody-does-it-better/" TargetMode="External"/><Relationship Id="rId3455" Type="http://schemas.openxmlformats.org/officeDocument/2006/relationships/hyperlink" Target="https://www.instagram.com/p/B7dF_V0j-kS/?igshid=k6z939o90huu" TargetMode="External"/><Relationship Id="rId2115" Type="http://schemas.openxmlformats.org/officeDocument/2006/relationships/hyperlink" Target="https://www.youtube.com/channel/UCLLdUY0pwy2yuVqcP7TcwaA" TargetMode="External"/><Relationship Id="rId3447" Type="http://schemas.openxmlformats.org/officeDocument/2006/relationships/hyperlink" Target="https://pbs.twimg.com/media/EOjRrhRUEAAm4fv.jpg" TargetMode="External"/><Relationship Id="rId2116" Type="http://schemas.openxmlformats.org/officeDocument/2006/relationships/hyperlink" Target="http://www.openpitlane.co.uk" TargetMode="External"/><Relationship Id="rId3446" Type="http://schemas.openxmlformats.org/officeDocument/2006/relationships/hyperlink" Target="http://bit.ly/2QiBf0y" TargetMode="External"/><Relationship Id="rId2117" Type="http://schemas.openxmlformats.org/officeDocument/2006/relationships/hyperlink" Target="https://www.instagram.com/p/B7d3EGmBK_W/?igshid=18o013ngapwbh" TargetMode="External"/><Relationship Id="rId3449" Type="http://schemas.openxmlformats.org/officeDocument/2006/relationships/hyperlink" Target="https://rdbl.co/2GUDEhV" TargetMode="External"/><Relationship Id="rId2118" Type="http://schemas.openxmlformats.org/officeDocument/2006/relationships/hyperlink" Target="http://www.shelleythiemann.com" TargetMode="External"/><Relationship Id="rId3448" Type="http://schemas.openxmlformats.org/officeDocument/2006/relationships/hyperlink" Target="http://turningthepage.info/" TargetMode="External"/><Relationship Id="rId2119" Type="http://schemas.openxmlformats.org/officeDocument/2006/relationships/hyperlink" Target="https://www.theglobeandmail.com/canada/article-half-of-canadians-have-too-few-local-psychiatrists-or-none-at-all/" TargetMode="External"/><Relationship Id="rId3441" Type="http://schemas.openxmlformats.org/officeDocument/2006/relationships/hyperlink" Target="https://pbs.twimg.com/media/EOjSHuhX4AIsaKU.jpg" TargetMode="External"/><Relationship Id="rId2110" Type="http://schemas.openxmlformats.org/officeDocument/2006/relationships/hyperlink" Target="http://www.tarasharmashow.com" TargetMode="External"/><Relationship Id="rId3440" Type="http://schemas.openxmlformats.org/officeDocument/2006/relationships/hyperlink" Target="http://news.sky.com/story/new-dad-reveals-battle-with-post-natal-depression-i-didnt-love-my-daughter-11911063" TargetMode="External"/><Relationship Id="rId2111" Type="http://schemas.openxmlformats.org/officeDocument/2006/relationships/hyperlink" Target="https://pbs.twimg.com/media/EOky2UAWsAY_5xq.png" TargetMode="External"/><Relationship Id="rId3443" Type="http://schemas.openxmlformats.org/officeDocument/2006/relationships/hyperlink" Target="https://pbs.twimg.com/media/EOjSEDOWsAAhjNJ.jpg" TargetMode="External"/><Relationship Id="rId2112" Type="http://schemas.openxmlformats.org/officeDocument/2006/relationships/hyperlink" Target="http://ow.ly/xnBV50xYTbR" TargetMode="External"/><Relationship Id="rId3442" Type="http://schemas.openxmlformats.org/officeDocument/2006/relationships/hyperlink" Target="http://www.triadtherapy.co.uk" TargetMode="External"/><Relationship Id="rId2113" Type="http://schemas.openxmlformats.org/officeDocument/2006/relationships/hyperlink" Target="http://mhac.org" TargetMode="External"/><Relationship Id="rId3445" Type="http://schemas.openxmlformats.org/officeDocument/2006/relationships/hyperlink" Target="http://www.parentkind.org.uk" TargetMode="External"/><Relationship Id="rId2114" Type="http://schemas.openxmlformats.org/officeDocument/2006/relationships/hyperlink" Target="https://twitter.com/FrankthePegasus/status/1218317709496213507" TargetMode="External"/><Relationship Id="rId3444" Type="http://schemas.openxmlformats.org/officeDocument/2006/relationships/hyperlink" Target="http://ow.ly/sCc950xXSPq"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2" width="15.86"/>
    <col customWidth="1" min="3" max="3" width="21.57"/>
    <col customWidth="1" min="4" max="4" width="43.0"/>
    <col customWidth="1" min="5" max="5" width="18.71"/>
    <col customWidth="1" min="6" max="6" width="21.57"/>
  </cols>
  <sheetData>
    <row r="1" ht="24.0" customHeight="1">
      <c r="A1" s="1"/>
      <c r="B1" s="2" t="s">
        <v>0</v>
      </c>
      <c r="C1" s="3"/>
      <c r="D1" s="3"/>
      <c r="E1" s="3"/>
      <c r="F1" s="3"/>
      <c r="G1" s="3"/>
      <c r="H1" s="3"/>
      <c r="I1" s="3"/>
      <c r="J1" s="3"/>
      <c r="K1" s="3"/>
      <c r="L1" s="4"/>
      <c r="M1" s="4"/>
      <c r="N1" s="4"/>
      <c r="O1" s="4"/>
      <c r="P1" s="4"/>
      <c r="Q1" s="3"/>
      <c r="R1" s="3"/>
      <c r="S1" s="3"/>
      <c r="T1" s="3"/>
      <c r="U1" s="4"/>
      <c r="V1" s="3"/>
      <c r="W1" s="3"/>
      <c r="X1" s="3"/>
      <c r="Y1" s="3"/>
      <c r="Z1" s="3"/>
    </row>
    <row r="2" ht="24.0" customHeight="1">
      <c r="A2" s="5" t="s">
        <v>1</v>
      </c>
      <c r="B2" s="6" t="s">
        <v>2</v>
      </c>
      <c r="C2" s="6" t="s">
        <v>3</v>
      </c>
      <c r="D2" s="6" t="s">
        <v>4</v>
      </c>
      <c r="E2" s="6" t="s">
        <v>5</v>
      </c>
      <c r="F2" s="6" t="s">
        <v>6</v>
      </c>
      <c r="G2" s="6" t="s">
        <v>7</v>
      </c>
      <c r="H2" s="6" t="s">
        <v>8</v>
      </c>
      <c r="I2" s="6" t="s">
        <v>9</v>
      </c>
      <c r="J2" s="6" t="s">
        <v>10</v>
      </c>
      <c r="K2" s="6" t="s">
        <v>11</v>
      </c>
      <c r="L2" s="5" t="s">
        <v>12</v>
      </c>
      <c r="M2" s="5" t="s">
        <v>13</v>
      </c>
      <c r="N2" s="5" t="s">
        <v>14</v>
      </c>
      <c r="O2" s="5" t="s">
        <v>15</v>
      </c>
      <c r="P2" s="5" t="s">
        <v>16</v>
      </c>
      <c r="Q2" s="6" t="s">
        <v>8</v>
      </c>
      <c r="R2" s="6" t="s">
        <v>17</v>
      </c>
      <c r="S2" s="6" t="s">
        <v>18</v>
      </c>
      <c r="T2" s="6" t="s">
        <v>19</v>
      </c>
      <c r="U2" s="5" t="s">
        <v>20</v>
      </c>
      <c r="V2" s="7"/>
      <c r="W2" s="7"/>
      <c r="X2" s="7"/>
      <c r="Y2" s="7"/>
      <c r="Z2" s="7"/>
    </row>
    <row r="3">
      <c r="A3" s="8">
        <v>43848.93376157407</v>
      </c>
      <c r="B3" s="9" t="str">
        <f>HYPERLINK("https://twitter.com/DShorb","@DShorb")</f>
        <v>@DShorb</v>
      </c>
      <c r="C3" s="10" t="s">
        <v>21</v>
      </c>
      <c r="D3" s="10" t="s">
        <v>22</v>
      </c>
      <c r="E3" s="9" t="str">
        <f>HYPERLINK("https://twitter.com/DShorb/status/1218735990384340993","1218735990384340993")</f>
        <v>1218735990384340993</v>
      </c>
      <c r="F3" s="11" t="s">
        <v>23</v>
      </c>
      <c r="G3" s="12"/>
      <c r="H3" s="13"/>
      <c r="I3" s="14">
        <v>0.0</v>
      </c>
      <c r="J3" s="14">
        <v>0.0</v>
      </c>
      <c r="K3" s="9" t="str">
        <f>HYPERLINK("https://www.smedian.com","Penname")</f>
        <v>Penname</v>
      </c>
      <c r="L3" s="15">
        <v>3874.0</v>
      </c>
      <c r="M3" s="15">
        <v>4543.0</v>
      </c>
      <c r="N3" s="15">
        <v>186.0</v>
      </c>
      <c r="O3" s="16"/>
      <c r="P3" s="17">
        <v>40991.739027777774</v>
      </c>
      <c r="Q3" s="10" t="s">
        <v>24</v>
      </c>
      <c r="R3" s="10" t="s">
        <v>25</v>
      </c>
      <c r="S3" s="11" t="s">
        <v>26</v>
      </c>
      <c r="T3" s="13"/>
      <c r="U3" s="18" t="str">
        <f>HYPERLINK("https://pbs.twimg.com/profile_images/1134459629478408192/VnPf0dlm.jpg","View")</f>
        <v>View</v>
      </c>
      <c r="V3" s="13"/>
      <c r="W3" s="13"/>
      <c r="X3" s="13"/>
      <c r="Y3" s="13"/>
      <c r="Z3" s="13"/>
    </row>
    <row r="4">
      <c r="A4" s="8">
        <v>43848.93351851852</v>
      </c>
      <c r="B4" s="9" t="str">
        <f>HYPERLINK("https://twitter.com/jamalarchuk","@jamalarchuk")</f>
        <v>@jamalarchuk</v>
      </c>
      <c r="C4" s="10" t="s">
        <v>27</v>
      </c>
      <c r="D4" s="10" t="s">
        <v>28</v>
      </c>
      <c r="E4" s="9" t="str">
        <f>HYPERLINK("https://twitter.com/jamalarchuk/status/1218735902899392513","1218735902899392513")</f>
        <v>1218735902899392513</v>
      </c>
      <c r="F4" s="13"/>
      <c r="G4" s="12"/>
      <c r="H4" s="13"/>
      <c r="I4" s="14">
        <v>0.0</v>
      </c>
      <c r="J4" s="14">
        <v>0.0</v>
      </c>
      <c r="K4" s="9" t="str">
        <f t="shared" ref="K4:K5" si="1">HYPERLINK("http://twitter.com/download/iphone","Twitter for iPhone")</f>
        <v>Twitter for iPhone</v>
      </c>
      <c r="L4" s="15">
        <v>574.0</v>
      </c>
      <c r="M4" s="15">
        <v>358.0</v>
      </c>
      <c r="N4" s="15">
        <v>4.0</v>
      </c>
      <c r="O4" s="16"/>
      <c r="P4" s="17">
        <v>40611.05767361111</v>
      </c>
      <c r="Q4" s="10" t="s">
        <v>29</v>
      </c>
      <c r="R4" s="10" t="s">
        <v>30</v>
      </c>
      <c r="S4" s="11" t="s">
        <v>31</v>
      </c>
      <c r="T4" s="13"/>
      <c r="U4" s="18" t="str">
        <f>HYPERLINK("https://pbs.twimg.com/profile_images/947598121923624960/lVA-tZe1.jpg","View")</f>
        <v>View</v>
      </c>
      <c r="V4" s="13"/>
      <c r="W4" s="13"/>
      <c r="X4" s="13"/>
      <c r="Y4" s="13"/>
      <c r="Z4" s="13"/>
    </row>
    <row r="5">
      <c r="A5" s="8">
        <v>43848.93320601852</v>
      </c>
      <c r="B5" s="9" t="str">
        <f>HYPERLINK("https://twitter.com/sudesna_ghosh","@sudesna_ghosh")</f>
        <v>@sudesna_ghosh</v>
      </c>
      <c r="C5" s="10" t="s">
        <v>32</v>
      </c>
      <c r="D5" s="10" t="s">
        <v>33</v>
      </c>
      <c r="E5" s="9" t="str">
        <f>HYPERLINK("https://twitter.com/sudesna_ghosh/status/1218735785916030976","1218735785916030976")</f>
        <v>1218735785916030976</v>
      </c>
      <c r="F5" s="11" t="s">
        <v>34</v>
      </c>
      <c r="G5" s="12"/>
      <c r="H5" s="13"/>
      <c r="I5" s="14">
        <v>0.0</v>
      </c>
      <c r="J5" s="14">
        <v>0.0</v>
      </c>
      <c r="K5" s="9" t="str">
        <f t="shared" si="1"/>
        <v>Twitter for iPhone</v>
      </c>
      <c r="L5" s="15">
        <v>2501.0</v>
      </c>
      <c r="M5" s="15">
        <v>884.0</v>
      </c>
      <c r="N5" s="15">
        <v>84.0</v>
      </c>
      <c r="O5" s="16"/>
      <c r="P5" s="17">
        <v>42769.487905092596</v>
      </c>
      <c r="Q5" s="10" t="s">
        <v>35</v>
      </c>
      <c r="R5" s="10" t="s">
        <v>36</v>
      </c>
      <c r="S5" s="11" t="s">
        <v>37</v>
      </c>
      <c r="T5" s="13"/>
      <c r="U5" s="18" t="str">
        <f>HYPERLINK("https://pbs.twimg.com/profile_images/1072880835966038018/DJj_vldD.jpg","View")</f>
        <v>View</v>
      </c>
      <c r="V5" s="13"/>
      <c r="W5" s="13"/>
      <c r="X5" s="13"/>
      <c r="Y5" s="13"/>
      <c r="Z5" s="13"/>
    </row>
    <row r="6">
      <c r="A6" s="8">
        <v>43848.932650462964</v>
      </c>
      <c r="B6" s="9" t="str">
        <f>HYPERLINK("https://twitter.com/SkypeTherapist","@SkypeTherapist")</f>
        <v>@SkypeTherapist</v>
      </c>
      <c r="C6" s="10" t="s">
        <v>39</v>
      </c>
      <c r="D6" s="10" t="s">
        <v>40</v>
      </c>
      <c r="E6" s="9" t="str">
        <f>HYPERLINK("https://twitter.com/SkypeTherapist/status/1218735585935986688","1218735585935986688")</f>
        <v>1218735585935986688</v>
      </c>
      <c r="F6" s="11" t="s">
        <v>43</v>
      </c>
      <c r="G6" s="12"/>
      <c r="H6" s="13"/>
      <c r="I6" s="14">
        <v>0.0</v>
      </c>
      <c r="J6" s="14">
        <v>0.0</v>
      </c>
      <c r="K6" s="9" t="str">
        <f>HYPERLINK("https://buffer.com","Buffer")</f>
        <v>Buffer</v>
      </c>
      <c r="L6" s="15">
        <v>31073.0</v>
      </c>
      <c r="M6" s="15">
        <v>29180.0</v>
      </c>
      <c r="N6" s="15">
        <v>397.0</v>
      </c>
      <c r="O6" s="16"/>
      <c r="P6" s="17">
        <v>40131.457777777774</v>
      </c>
      <c r="Q6" s="10" t="s">
        <v>46</v>
      </c>
      <c r="R6" s="10" t="s">
        <v>47</v>
      </c>
      <c r="S6" s="11" t="s">
        <v>43</v>
      </c>
      <c r="T6" s="13"/>
      <c r="U6" s="18" t="str">
        <f>HYPERLINK("https://pbs.twimg.com/profile_images/1093911234120798208/G4lphODU.jpg","View")</f>
        <v>View</v>
      </c>
      <c r="V6" s="13"/>
      <c r="W6" s="13"/>
      <c r="X6" s="13"/>
      <c r="Y6" s="13"/>
      <c r="Z6" s="13"/>
    </row>
    <row r="7">
      <c r="A7" s="8">
        <v>43848.9314699074</v>
      </c>
      <c r="B7" s="9" t="str">
        <f>HYPERLINK("https://twitter.com/MituSamar","@MituSamar")</f>
        <v>@MituSamar</v>
      </c>
      <c r="C7" s="10" t="s">
        <v>48</v>
      </c>
      <c r="D7" s="10" t="s">
        <v>49</v>
      </c>
      <c r="E7" s="9" t="str">
        <f>HYPERLINK("https://twitter.com/MituSamar/status/1218735158322507776","1218735158322507776")</f>
        <v>1218735158322507776</v>
      </c>
      <c r="F7" s="11" t="s">
        <v>50</v>
      </c>
      <c r="G7" s="12"/>
      <c r="H7" s="13"/>
      <c r="I7" s="14">
        <v>0.0</v>
      </c>
      <c r="J7" s="14">
        <v>0.0</v>
      </c>
      <c r="K7" s="9" t="str">
        <f>HYPERLINK("http://twitter.com/download/android","Twitter for Android")</f>
        <v>Twitter for Android</v>
      </c>
      <c r="L7" s="15">
        <v>1605.0</v>
      </c>
      <c r="M7" s="15">
        <v>487.0</v>
      </c>
      <c r="N7" s="15">
        <v>139.0</v>
      </c>
      <c r="O7" s="16"/>
      <c r="P7" s="17">
        <v>41397.12951388889</v>
      </c>
      <c r="Q7" s="10" t="s">
        <v>51</v>
      </c>
      <c r="R7" s="10" t="s">
        <v>52</v>
      </c>
      <c r="S7" s="11" t="s">
        <v>53</v>
      </c>
      <c r="T7" s="13"/>
      <c r="U7" s="18" t="str">
        <f>HYPERLINK("https://pbs.twimg.com/profile_images/944787120148893697/AW_v3PV_.jpg","View")</f>
        <v>View</v>
      </c>
      <c r="V7" s="13"/>
      <c r="W7" s="13"/>
      <c r="X7" s="13"/>
      <c r="Y7" s="13"/>
      <c r="Z7" s="13"/>
    </row>
    <row r="8">
      <c r="A8" s="8">
        <v>43848.93138888889</v>
      </c>
      <c r="B8" s="9" t="str">
        <f>HYPERLINK("https://twitter.com/DrGurdeepParhar","@DrGurdeepParhar")</f>
        <v>@DrGurdeepParhar</v>
      </c>
      <c r="C8" s="10" t="s">
        <v>54</v>
      </c>
      <c r="D8" s="10" t="s">
        <v>55</v>
      </c>
      <c r="E8" s="9" t="str">
        <f>HYPERLINK("https://twitter.com/DrGurdeepParhar/status/1218735128865837057","1218735128865837057")</f>
        <v>1218735128865837057</v>
      </c>
      <c r="F8" s="11" t="s">
        <v>56</v>
      </c>
      <c r="G8" s="12"/>
      <c r="H8" s="13"/>
      <c r="I8" s="14">
        <v>0.0</v>
      </c>
      <c r="J8" s="14">
        <v>0.0</v>
      </c>
      <c r="K8" s="9" t="str">
        <f>HYPERLINK("https://nectar.social","BHIVE Nectar")</f>
        <v>BHIVE Nectar</v>
      </c>
      <c r="L8" s="15">
        <v>81432.0</v>
      </c>
      <c r="M8" s="15">
        <v>30.0</v>
      </c>
      <c r="N8" s="15">
        <v>73.0</v>
      </c>
      <c r="O8" s="16"/>
      <c r="P8" s="17">
        <v>42450.41334490741</v>
      </c>
      <c r="Q8" s="10" t="s">
        <v>57</v>
      </c>
      <c r="R8" s="10" t="s">
        <v>58</v>
      </c>
      <c r="S8" s="11" t="s">
        <v>59</v>
      </c>
      <c r="T8" s="13"/>
      <c r="U8" s="18" t="str">
        <f>HYPERLINK("https://pbs.twimg.com/profile_images/1013719377697357824/2F3Qgmy6.jpg","View")</f>
        <v>View</v>
      </c>
      <c r="V8" s="13"/>
      <c r="W8" s="13"/>
      <c r="X8" s="13"/>
      <c r="Y8" s="13"/>
      <c r="Z8" s="13"/>
    </row>
    <row r="9">
      <c r="A9" s="8">
        <v>43848.929398148146</v>
      </c>
      <c r="B9" s="9" t="str">
        <f>HYPERLINK("https://twitter.com/drchriscarreira","@drchriscarreira")</f>
        <v>@drchriscarreira</v>
      </c>
      <c r="C9" s="10" t="s">
        <v>60</v>
      </c>
      <c r="D9" s="10" t="s">
        <v>61</v>
      </c>
      <c r="E9" s="9" t="str">
        <f>HYPERLINK("https://twitter.com/drchriscarreira/status/1218734409240711168","1218734409240711168")</f>
        <v>1218734409240711168</v>
      </c>
      <c r="F9" s="11" t="s">
        <v>62</v>
      </c>
      <c r="G9" s="12"/>
      <c r="H9" s="13"/>
      <c r="I9" s="14">
        <v>0.0</v>
      </c>
      <c r="J9" s="14">
        <v>0.0</v>
      </c>
      <c r="K9" s="9" t="str">
        <f>HYPERLINK("https://ifttt.com","IFTTT")</f>
        <v>IFTTT</v>
      </c>
      <c r="L9" s="15">
        <v>565.0</v>
      </c>
      <c r="M9" s="15">
        <v>321.0</v>
      </c>
      <c r="N9" s="15">
        <v>255.0</v>
      </c>
      <c r="O9" s="16"/>
      <c r="P9" s="17">
        <v>41258.84956018518</v>
      </c>
      <c r="Q9" s="10" t="s">
        <v>63</v>
      </c>
      <c r="R9" s="10" t="s">
        <v>64</v>
      </c>
      <c r="S9" s="11" t="s">
        <v>65</v>
      </c>
      <c r="T9" s="13"/>
      <c r="U9" s="18" t="str">
        <f>HYPERLINK("https://pbs.twimg.com/profile_images/534418124305866752/-138ZwsY.png","View")</f>
        <v>View</v>
      </c>
      <c r="V9" s="13"/>
      <c r="W9" s="13"/>
      <c r="X9" s="13"/>
      <c r="Y9" s="13"/>
      <c r="Z9" s="13"/>
    </row>
    <row r="10">
      <c r="A10" s="8">
        <v>43848.92865740741</v>
      </c>
      <c r="B10" s="9" t="str">
        <f>HYPERLINK("https://twitter.com/cal_zada","@cal_zada")</f>
        <v>@cal_zada</v>
      </c>
      <c r="C10" s="10" t="s">
        <v>66</v>
      </c>
      <c r="D10" s="10" t="s">
        <v>67</v>
      </c>
      <c r="E10" s="9" t="str">
        <f>HYPERLINK("https://twitter.com/cal_zada/status/1218734141040201728","1218734141040201728")</f>
        <v>1218734141040201728</v>
      </c>
      <c r="F10" s="13"/>
      <c r="G10" s="12"/>
      <c r="H10" s="13"/>
      <c r="I10" s="14">
        <v>0.0</v>
      </c>
      <c r="J10" s="14">
        <v>0.0</v>
      </c>
      <c r="K10" s="9" t="str">
        <f>HYPERLINK("http://twitter.com/download/iphone","Twitter for iPhone")</f>
        <v>Twitter for iPhone</v>
      </c>
      <c r="L10" s="15">
        <v>8.0</v>
      </c>
      <c r="M10" s="15">
        <v>202.0</v>
      </c>
      <c r="N10" s="15">
        <v>0.0</v>
      </c>
      <c r="O10" s="16"/>
      <c r="P10" s="17">
        <v>43848.02439814815</v>
      </c>
      <c r="Q10" s="10" t="s">
        <v>68</v>
      </c>
      <c r="R10" s="10" t="s">
        <v>69</v>
      </c>
      <c r="S10" s="12"/>
      <c r="T10" s="13"/>
      <c r="U10" s="18" t="str">
        <f>HYPERLINK("https://pbs.twimg.com/profile_images/1218406983973462016/nVrufav8.jpg","View")</f>
        <v>View</v>
      </c>
      <c r="V10" s="13"/>
      <c r="W10" s="13"/>
      <c r="X10" s="13"/>
      <c r="Y10" s="13"/>
      <c r="Z10" s="13"/>
    </row>
    <row r="11">
      <c r="A11" s="8">
        <v>43848.92733796296</v>
      </c>
      <c r="B11" s="9" t="str">
        <f t="shared" ref="B11:B12" si="2">HYPERLINK("https://twitter.com/LovingSanders","@LovingSanders")</f>
        <v>@LovingSanders</v>
      </c>
      <c r="C11" s="10" t="s">
        <v>70</v>
      </c>
      <c r="D11" s="10" t="s">
        <v>71</v>
      </c>
      <c r="E11" s="9" t="str">
        <f>HYPERLINK("https://twitter.com/LovingSanders/status/1218733660314198020","1218733660314198020")</f>
        <v>1218733660314198020</v>
      </c>
      <c r="F11" s="11" t="s">
        <v>72</v>
      </c>
      <c r="G11" s="12"/>
      <c r="H11" s="13"/>
      <c r="I11" s="14">
        <v>1.0</v>
      </c>
      <c r="J11" s="14">
        <v>0.0</v>
      </c>
      <c r="K11" s="9" t="str">
        <f t="shared" ref="K11:K12" si="3">HYPERLINK("https://plus.google.com/102104104608814339564","ZolushkaLaura")</f>
        <v>ZolushkaLaura</v>
      </c>
      <c r="L11" s="15">
        <v>8205.0</v>
      </c>
      <c r="M11" s="15">
        <v>5645.0</v>
      </c>
      <c r="N11" s="15">
        <v>555.0</v>
      </c>
      <c r="O11" s="16"/>
      <c r="P11" s="17">
        <v>41611.270844907405</v>
      </c>
      <c r="Q11" s="10" t="s">
        <v>73</v>
      </c>
      <c r="R11" s="10" t="s">
        <v>74</v>
      </c>
      <c r="S11" s="11" t="s">
        <v>75</v>
      </c>
      <c r="T11" s="13"/>
      <c r="U11" s="18" t="str">
        <f t="shared" ref="U11:U12" si="4">HYPERLINK("https://pbs.twimg.com/profile_images/953034378275377152/PI2tXfLU.jpg","View")</f>
        <v>View</v>
      </c>
      <c r="V11" s="13"/>
      <c r="W11" s="13"/>
      <c r="X11" s="13"/>
      <c r="Y11" s="13"/>
      <c r="Z11" s="13"/>
    </row>
    <row r="12">
      <c r="A12" s="8">
        <v>43848.92730324074</v>
      </c>
      <c r="B12" s="9" t="str">
        <f t="shared" si="2"/>
        <v>@LovingSanders</v>
      </c>
      <c r="C12" s="10" t="s">
        <v>70</v>
      </c>
      <c r="D12" s="10" t="s">
        <v>76</v>
      </c>
      <c r="E12" s="9" t="str">
        <f>HYPERLINK("https://twitter.com/LovingSanders/status/1218733647060094976","1218733647060094976")</f>
        <v>1218733647060094976</v>
      </c>
      <c r="F12" s="11" t="s">
        <v>77</v>
      </c>
      <c r="G12" s="12"/>
      <c r="H12" s="13"/>
      <c r="I12" s="14">
        <v>2.0</v>
      </c>
      <c r="J12" s="14">
        <v>1.0</v>
      </c>
      <c r="K12" s="9" t="str">
        <f t="shared" si="3"/>
        <v>ZolushkaLaura</v>
      </c>
      <c r="L12" s="15">
        <v>8205.0</v>
      </c>
      <c r="M12" s="15">
        <v>5645.0</v>
      </c>
      <c r="N12" s="15">
        <v>555.0</v>
      </c>
      <c r="O12" s="16"/>
      <c r="P12" s="17">
        <v>41611.270844907405</v>
      </c>
      <c r="Q12" s="10" t="s">
        <v>73</v>
      </c>
      <c r="R12" s="10" t="s">
        <v>74</v>
      </c>
      <c r="S12" s="11" t="s">
        <v>75</v>
      </c>
      <c r="T12" s="13"/>
      <c r="U12" s="18" t="str">
        <f t="shared" si="4"/>
        <v>View</v>
      </c>
      <c r="V12" s="13"/>
      <c r="W12" s="13"/>
      <c r="X12" s="13"/>
      <c r="Y12" s="13"/>
      <c r="Z12" s="13"/>
    </row>
    <row r="13">
      <c r="A13" s="8">
        <v>43848.924363425926</v>
      </c>
      <c r="B13" s="9" t="str">
        <f>HYPERLINK("https://twitter.com/olgaisthebest","@olgaisthebest")</f>
        <v>@olgaisthebest</v>
      </c>
      <c r="C13" s="10" t="s">
        <v>78</v>
      </c>
      <c r="D13" s="10" t="s">
        <v>61</v>
      </c>
      <c r="E13" s="9" t="str">
        <f>HYPERLINK("https://twitter.com/olgaisthebest/status/1218732584307494912","1218732584307494912")</f>
        <v>1218732584307494912</v>
      </c>
      <c r="F13" s="11" t="s">
        <v>62</v>
      </c>
      <c r="G13" s="12"/>
      <c r="H13" s="13"/>
      <c r="I13" s="14">
        <v>1.0</v>
      </c>
      <c r="J13" s="14">
        <v>0.0</v>
      </c>
      <c r="K13" s="9" t="str">
        <f>HYPERLINK("https://plus.google.com/u/0/116747167284206603033/","ZolushkaOlga")</f>
        <v>ZolushkaOlga</v>
      </c>
      <c r="L13" s="15">
        <v>8350.0</v>
      </c>
      <c r="M13" s="15">
        <v>5668.0</v>
      </c>
      <c r="N13" s="15">
        <v>472.0</v>
      </c>
      <c r="O13" s="16"/>
      <c r="P13" s="17">
        <v>41560.766238425924</v>
      </c>
      <c r="Q13" s="10" t="s">
        <v>79</v>
      </c>
      <c r="R13" s="10" t="s">
        <v>80</v>
      </c>
      <c r="S13" s="11" t="s">
        <v>81</v>
      </c>
      <c r="T13" s="13"/>
      <c r="U13" s="18" t="str">
        <f>HYPERLINK("https://pbs.twimg.com/profile_images/756252326214631424/PkKMeNT3.jpg","View")</f>
        <v>View</v>
      </c>
      <c r="V13" s="13"/>
      <c r="W13" s="13"/>
      <c r="X13" s="13"/>
      <c r="Y13" s="13"/>
      <c r="Z13" s="13"/>
    </row>
    <row r="14">
      <c r="A14" s="8">
        <v>43848.924166666664</v>
      </c>
      <c r="B14" s="9" t="str">
        <f>HYPERLINK("https://twitter.com/BlaneyMD","@BlaneyMD")</f>
        <v>@BlaneyMD</v>
      </c>
      <c r="C14" s="10" t="s">
        <v>82</v>
      </c>
      <c r="D14" s="10" t="s">
        <v>83</v>
      </c>
      <c r="E14" s="9" t="str">
        <f>HYPERLINK("https://twitter.com/BlaneyMD/status/1218732513616703489","1218732513616703489")</f>
        <v>1218732513616703489</v>
      </c>
      <c r="F14" s="13"/>
      <c r="G14" s="11" t="s">
        <v>84</v>
      </c>
      <c r="H14" s="13"/>
      <c r="I14" s="14">
        <v>1.0</v>
      </c>
      <c r="J14" s="14">
        <v>1.0</v>
      </c>
      <c r="K14" s="9" t="str">
        <f t="shared" ref="K14:K16" si="5">HYPERLINK("http://twitter.com/download/iphone","Twitter for iPhone")</f>
        <v>Twitter for iPhone</v>
      </c>
      <c r="L14" s="15">
        <v>35.0</v>
      </c>
      <c r="M14" s="15">
        <v>173.0</v>
      </c>
      <c r="N14" s="15">
        <v>1.0</v>
      </c>
      <c r="O14" s="16"/>
      <c r="P14" s="17">
        <v>43737.46071759259</v>
      </c>
      <c r="Q14" s="10" t="s">
        <v>85</v>
      </c>
      <c r="R14" s="10" t="s">
        <v>86</v>
      </c>
      <c r="S14" s="11" t="s">
        <v>87</v>
      </c>
      <c r="T14" s="13"/>
      <c r="U14" s="18" t="str">
        <f>HYPERLINK("https://pbs.twimg.com/profile_images/1203879623383298049/pHZR5ZZS.jpg","View")</f>
        <v>View</v>
      </c>
      <c r="V14" s="13"/>
      <c r="W14" s="13"/>
      <c r="X14" s="13"/>
      <c r="Y14" s="13"/>
      <c r="Z14" s="13"/>
    </row>
    <row r="15">
      <c r="A15" s="8">
        <v>43848.92356481482</v>
      </c>
      <c r="B15" s="9" t="str">
        <f>HYPERLINK("https://twitter.com/JoryElliott","@JoryElliott")</f>
        <v>@JoryElliott</v>
      </c>
      <c r="C15" s="10" t="s">
        <v>88</v>
      </c>
      <c r="D15" s="10" t="s">
        <v>89</v>
      </c>
      <c r="E15" s="9" t="str">
        <f>HYPERLINK("https://twitter.com/JoryElliott/status/1218732295655477249","1218732295655477249")</f>
        <v>1218732295655477249</v>
      </c>
      <c r="F15" s="10" t="s">
        <v>90</v>
      </c>
      <c r="G15" s="12"/>
      <c r="H15" s="13"/>
      <c r="I15" s="14">
        <v>1.0</v>
      </c>
      <c r="J15" s="14">
        <v>1.0</v>
      </c>
      <c r="K15" s="9" t="str">
        <f t="shared" si="5"/>
        <v>Twitter for iPhone</v>
      </c>
      <c r="L15" s="15">
        <v>513.0</v>
      </c>
      <c r="M15" s="15">
        <v>964.0</v>
      </c>
      <c r="N15" s="15">
        <v>10.0</v>
      </c>
      <c r="O15" s="16"/>
      <c r="P15" s="17">
        <v>40401.717465277776</v>
      </c>
      <c r="Q15" s="10" t="s">
        <v>91</v>
      </c>
      <c r="R15" s="10" t="s">
        <v>92</v>
      </c>
      <c r="S15" s="12"/>
      <c r="T15" s="13"/>
      <c r="U15" s="18" t="str">
        <f>HYPERLINK("https://pbs.twimg.com/profile_images/1058082406207389696/CYwT8wds.jpg","View")</f>
        <v>View</v>
      </c>
      <c r="V15" s="13"/>
      <c r="W15" s="13"/>
      <c r="X15" s="13"/>
      <c r="Y15" s="13"/>
      <c r="Z15" s="13"/>
    </row>
    <row r="16">
      <c r="A16" s="8">
        <v>43848.922847222224</v>
      </c>
      <c r="B16" s="9" t="str">
        <f>HYPERLINK("https://twitter.com/deaksmusiclaw","@deaksmusiclaw")</f>
        <v>@deaksmusiclaw</v>
      </c>
      <c r="C16" s="10" t="s">
        <v>93</v>
      </c>
      <c r="D16" s="10" t="s">
        <v>94</v>
      </c>
      <c r="E16" s="9" t="str">
        <f>HYPERLINK("https://twitter.com/deaksmusiclaw/status/1218732034455109632","1218732034455109632")</f>
        <v>1218732034455109632</v>
      </c>
      <c r="F16" s="13"/>
      <c r="G16" s="12"/>
      <c r="H16" s="13"/>
      <c r="I16" s="14">
        <v>1.0</v>
      </c>
      <c r="J16" s="14">
        <v>0.0</v>
      </c>
      <c r="K16" s="9" t="str">
        <f t="shared" si="5"/>
        <v>Twitter for iPhone</v>
      </c>
      <c r="L16" s="15">
        <v>257.0</v>
      </c>
      <c r="M16" s="15">
        <v>1022.0</v>
      </c>
      <c r="N16" s="15">
        <v>1.0</v>
      </c>
      <c r="O16" s="16"/>
      <c r="P16" s="17">
        <v>40724.54578703704</v>
      </c>
      <c r="Q16" s="10" t="s">
        <v>95</v>
      </c>
      <c r="R16" s="10" t="s">
        <v>96</v>
      </c>
      <c r="S16" s="12"/>
      <c r="T16" s="13"/>
      <c r="U16" s="18" t="str">
        <f>HYPERLINK("https://pbs.twimg.com/profile_images/1003800242179932167/6y9i1Pgf.jpg","View")</f>
        <v>View</v>
      </c>
      <c r="V16" s="13"/>
      <c r="W16" s="13"/>
      <c r="X16" s="13"/>
      <c r="Y16" s="13"/>
      <c r="Z16" s="13"/>
    </row>
    <row r="17">
      <c r="A17" s="8">
        <v>43848.921701388885</v>
      </c>
      <c r="B17" s="9" t="str">
        <f>HYPERLINK("https://twitter.com/ShamahWellness","@ShamahWellness")</f>
        <v>@ShamahWellness</v>
      </c>
      <c r="C17" s="10" t="s">
        <v>97</v>
      </c>
      <c r="D17" s="10" t="s">
        <v>98</v>
      </c>
      <c r="E17" s="9" t="str">
        <f>HYPERLINK("https://twitter.com/ShamahWellness/status/1218731620196159488","1218731620196159488")</f>
        <v>1218731620196159488</v>
      </c>
      <c r="F17" s="13"/>
      <c r="G17" s="11" t="s">
        <v>99</v>
      </c>
      <c r="H17" s="13"/>
      <c r="I17" s="14">
        <v>1.0</v>
      </c>
      <c r="J17" s="14">
        <v>0.0</v>
      </c>
      <c r="K17" s="9" t="str">
        <f>HYPERLINK("https://mobile.twitter.com","Twitter Web App")</f>
        <v>Twitter Web App</v>
      </c>
      <c r="L17" s="15">
        <v>0.0</v>
      </c>
      <c r="M17" s="15">
        <v>415.0</v>
      </c>
      <c r="N17" s="15">
        <v>0.0</v>
      </c>
      <c r="O17" s="16"/>
      <c r="P17" s="17">
        <v>43848.87982638889</v>
      </c>
      <c r="Q17" s="10" t="s">
        <v>51</v>
      </c>
      <c r="R17" s="10" t="s">
        <v>100</v>
      </c>
      <c r="S17" s="11" t="s">
        <v>101</v>
      </c>
      <c r="T17" s="13"/>
      <c r="U17" s="18" t="str">
        <f>HYPERLINK("https://pbs.twimg.com/profile_images/1218719919514116097/3VaRL6G3.jpg","View")</f>
        <v>View</v>
      </c>
      <c r="V17" s="13"/>
      <c r="W17" s="13"/>
      <c r="X17" s="13"/>
      <c r="Y17" s="13"/>
      <c r="Z17" s="13"/>
    </row>
    <row r="18">
      <c r="A18" s="8">
        <v>43848.92162037037</v>
      </c>
      <c r="B18" s="9" t="str">
        <f>HYPERLINK("https://twitter.com/reikimuse","@reikimuse")</f>
        <v>@reikimuse</v>
      </c>
      <c r="C18" s="10" t="s">
        <v>102</v>
      </c>
      <c r="D18" s="10" t="s">
        <v>103</v>
      </c>
      <c r="E18" s="9" t="str">
        <f>HYPERLINK("https://twitter.com/reikimuse/status/1218731590597169152","1218731590597169152")</f>
        <v>1218731590597169152</v>
      </c>
      <c r="F18" s="11" t="s">
        <v>104</v>
      </c>
      <c r="G18" s="11" t="s">
        <v>105</v>
      </c>
      <c r="H18" s="13"/>
      <c r="I18" s="14">
        <v>0.0</v>
      </c>
      <c r="J18" s="14">
        <v>0.0</v>
      </c>
      <c r="K18" s="9" t="str">
        <f>HYPERLINK("https://ifttt.com","IFTTT")</f>
        <v>IFTTT</v>
      </c>
      <c r="L18" s="15">
        <v>3348.0</v>
      </c>
      <c r="M18" s="15">
        <v>3485.0</v>
      </c>
      <c r="N18" s="15">
        <v>96.0</v>
      </c>
      <c r="O18" s="16"/>
      <c r="P18" s="17">
        <v>40698.422800925924</v>
      </c>
      <c r="Q18" s="10" t="s">
        <v>106</v>
      </c>
      <c r="R18" s="10" t="s">
        <v>107</v>
      </c>
      <c r="S18" s="11" t="s">
        <v>108</v>
      </c>
      <c r="T18" s="13"/>
      <c r="U18" s="18" t="str">
        <f>HYPERLINK("https://pbs.twimg.com/profile_images/816034828030189568/EfvXUe_u.jpg","View")</f>
        <v>View</v>
      </c>
      <c r="V18" s="13"/>
      <c r="W18" s="13"/>
      <c r="X18" s="13"/>
      <c r="Y18" s="13"/>
      <c r="Z18" s="13"/>
    </row>
    <row r="19">
      <c r="A19" s="8">
        <v>43848.92149305556</v>
      </c>
      <c r="B19" s="9" t="str">
        <f>HYPERLINK("https://twitter.com/Hilary_Parr","@Hilary_Parr")</f>
        <v>@Hilary_Parr</v>
      </c>
      <c r="C19" s="10" t="s">
        <v>109</v>
      </c>
      <c r="D19" s="10" t="s">
        <v>110</v>
      </c>
      <c r="E19" s="9" t="str">
        <f>HYPERLINK("https://twitter.com/Hilary_Parr/status/1218731545260896257","1218731545260896257")</f>
        <v>1218731545260896257</v>
      </c>
      <c r="F19" s="11" t="s">
        <v>111</v>
      </c>
      <c r="G19" s="12"/>
      <c r="H19" s="13"/>
      <c r="I19" s="14">
        <v>0.0</v>
      </c>
      <c r="J19" s="14">
        <v>0.0</v>
      </c>
      <c r="K19" s="9" t="str">
        <f>HYPERLINK("http://twitter.com/download/iphone","Twitter for iPhone")</f>
        <v>Twitter for iPhone</v>
      </c>
      <c r="L19" s="15">
        <v>749.0</v>
      </c>
      <c r="M19" s="15">
        <v>1225.0</v>
      </c>
      <c r="N19" s="15">
        <v>25.0</v>
      </c>
      <c r="O19" s="16"/>
      <c r="P19" s="17">
        <v>42025.80989583333</v>
      </c>
      <c r="Q19" s="10" t="s">
        <v>112</v>
      </c>
      <c r="R19" s="10" t="s">
        <v>113</v>
      </c>
      <c r="S19" s="11" t="s">
        <v>114</v>
      </c>
      <c r="T19" s="13"/>
      <c r="U19" s="18" t="str">
        <f>HYPERLINK("https://pbs.twimg.com/profile_images/1196618392377184256/2jv59Fx7.jpg","View")</f>
        <v>View</v>
      </c>
      <c r="V19" s="13"/>
      <c r="W19" s="13"/>
      <c r="X19" s="13"/>
      <c r="Y19" s="13"/>
      <c r="Z19" s="13"/>
    </row>
    <row r="20">
      <c r="A20" s="8">
        <v>43848.920682870375</v>
      </c>
      <c r="B20" s="9" t="str">
        <f>HYPERLINK("https://twitter.com/JonHarvey64","@JonHarvey64")</f>
        <v>@JonHarvey64</v>
      </c>
      <c r="C20" s="10" t="s">
        <v>115</v>
      </c>
      <c r="D20" s="10" t="s">
        <v>116</v>
      </c>
      <c r="E20" s="9" t="str">
        <f>HYPERLINK("https://twitter.com/JonHarvey64/status/1218731248736186370","1218731248736186370")</f>
        <v>1218731248736186370</v>
      </c>
      <c r="F20" s="13"/>
      <c r="G20" s="11" t="s">
        <v>117</v>
      </c>
      <c r="H20" s="13"/>
      <c r="I20" s="14">
        <v>2.0</v>
      </c>
      <c r="J20" s="14">
        <v>2.0</v>
      </c>
      <c r="K20" s="9" t="str">
        <f t="shared" ref="K20:K21" si="6">HYPERLINK("http://twitter.com/download/android","Twitter for Android")</f>
        <v>Twitter for Android</v>
      </c>
      <c r="L20" s="15">
        <v>3488.0</v>
      </c>
      <c r="M20" s="15">
        <v>5002.0</v>
      </c>
      <c r="N20" s="15">
        <v>28.0</v>
      </c>
      <c r="O20" s="16"/>
      <c r="P20" s="17">
        <v>41856.345358796294</v>
      </c>
      <c r="Q20" s="10" t="s">
        <v>118</v>
      </c>
      <c r="R20" s="10" t="s">
        <v>119</v>
      </c>
      <c r="S20" s="12"/>
      <c r="T20" s="13"/>
      <c r="U20" s="18" t="str">
        <f>HYPERLINK("https://pbs.twimg.com/profile_images/1218409859223302144/AI9rxlhq.jpg","View")</f>
        <v>View</v>
      </c>
      <c r="V20" s="13"/>
      <c r="W20" s="13"/>
      <c r="X20" s="13"/>
      <c r="Y20" s="13"/>
      <c r="Z20" s="13"/>
    </row>
    <row r="21">
      <c r="A21" s="8">
        <v>43848.91923611111</v>
      </c>
      <c r="B21" s="9" t="str">
        <f>HYPERLINK("https://twitter.com/geekysciencemom","@geekysciencemom")</f>
        <v>@geekysciencemom</v>
      </c>
      <c r="C21" s="10" t="s">
        <v>120</v>
      </c>
      <c r="D21" s="10" t="s">
        <v>121</v>
      </c>
      <c r="E21" s="9" t="str">
        <f>HYPERLINK("https://twitter.com/geekysciencemom/status/1218730726322892802","1218730726322892802")</f>
        <v>1218730726322892802</v>
      </c>
      <c r="F21" s="11" t="s">
        <v>122</v>
      </c>
      <c r="G21" s="12"/>
      <c r="H21" s="13"/>
      <c r="I21" s="14">
        <v>0.0</v>
      </c>
      <c r="J21" s="14">
        <v>0.0</v>
      </c>
      <c r="K21" s="9" t="str">
        <f t="shared" si="6"/>
        <v>Twitter for Android</v>
      </c>
      <c r="L21" s="15">
        <v>41.0</v>
      </c>
      <c r="M21" s="15">
        <v>31.0</v>
      </c>
      <c r="N21" s="15">
        <v>2.0</v>
      </c>
      <c r="O21" s="16"/>
      <c r="P21" s="17">
        <v>41940.93199074074</v>
      </c>
      <c r="Q21" s="12"/>
      <c r="R21" s="12"/>
      <c r="S21" s="11" t="s">
        <v>123</v>
      </c>
      <c r="T21" s="13"/>
      <c r="U21" s="18" t="str">
        <f>HYPERLINK("https://pbs.twimg.com/profile_images/527304632414900224/FkkfaMkl.png","View")</f>
        <v>View</v>
      </c>
      <c r="V21" s="13"/>
      <c r="W21" s="13"/>
      <c r="X21" s="13"/>
      <c r="Y21" s="13"/>
      <c r="Z21" s="13"/>
    </row>
    <row r="22">
      <c r="A22" s="8">
        <v>43848.91875</v>
      </c>
      <c r="B22" s="9" t="str">
        <f>HYPERLINK("https://twitter.com/namicalifornia","@namicalifornia")</f>
        <v>@namicalifornia</v>
      </c>
      <c r="C22" s="10" t="s">
        <v>124</v>
      </c>
      <c r="D22" s="10" t="s">
        <v>125</v>
      </c>
      <c r="E22" s="9" t="str">
        <f>HYPERLINK("https://twitter.com/namicalifornia/status/1218730548161667073","1218730548161667073")</f>
        <v>1218730548161667073</v>
      </c>
      <c r="F22" s="11" t="s">
        <v>126</v>
      </c>
      <c r="G22" s="11" t="s">
        <v>127</v>
      </c>
      <c r="H22" s="13"/>
      <c r="I22" s="14">
        <v>0.0</v>
      </c>
      <c r="J22" s="14">
        <v>0.0</v>
      </c>
      <c r="K22" s="9" t="str">
        <f>HYPERLINK("https://about.twitter.com/products/tweetdeck","TweetDeck")</f>
        <v>TweetDeck</v>
      </c>
      <c r="L22" s="15">
        <v>3975.0</v>
      </c>
      <c r="M22" s="15">
        <v>2291.0</v>
      </c>
      <c r="N22" s="15">
        <v>83.0</v>
      </c>
      <c r="O22" s="16"/>
      <c r="P22" s="17">
        <v>40717.80877314815</v>
      </c>
      <c r="Q22" s="10" t="s">
        <v>128</v>
      </c>
      <c r="R22" s="10" t="s">
        <v>129</v>
      </c>
      <c r="S22" s="11" t="s">
        <v>130</v>
      </c>
      <c r="T22" s="13"/>
      <c r="U22" s="18" t="str">
        <f>HYPERLINK("https://pbs.twimg.com/profile_images/1071169121012699136/FV5O4y-S.jpg","View")</f>
        <v>View</v>
      </c>
      <c r="V22" s="13"/>
      <c r="W22" s="13"/>
      <c r="X22" s="13"/>
      <c r="Y22" s="13"/>
      <c r="Z22" s="13"/>
    </row>
    <row r="23">
      <c r="A23" s="8">
        <v>43848.91850694444</v>
      </c>
      <c r="B23" s="9" t="str">
        <f>HYPERLINK("https://twitter.com/jenk_cory","@jenk_cory")</f>
        <v>@jenk_cory</v>
      </c>
      <c r="C23" s="10" t="s">
        <v>131</v>
      </c>
      <c r="D23" s="10" t="s">
        <v>132</v>
      </c>
      <c r="E23" s="9" t="str">
        <f>HYPERLINK("https://twitter.com/jenk_cory/status/1218730461477908482","1218730461477908482")</f>
        <v>1218730461477908482</v>
      </c>
      <c r="F23" s="13"/>
      <c r="G23" s="12"/>
      <c r="H23" s="13"/>
      <c r="I23" s="14">
        <v>0.0</v>
      </c>
      <c r="J23" s="14">
        <v>0.0</v>
      </c>
      <c r="K23" s="9" t="str">
        <f t="shared" ref="K23:K24" si="7">HYPERLINK("http://twitter.com/download/iphone","Twitter for iPhone")</f>
        <v>Twitter for iPhone</v>
      </c>
      <c r="L23" s="15">
        <v>7.0</v>
      </c>
      <c r="M23" s="15">
        <v>108.0</v>
      </c>
      <c r="N23" s="15">
        <v>0.0</v>
      </c>
      <c r="O23" s="16"/>
      <c r="P23" s="17">
        <v>43321.70711805555</v>
      </c>
      <c r="Q23" s="10" t="s">
        <v>133</v>
      </c>
      <c r="R23" s="10" t="s">
        <v>134</v>
      </c>
      <c r="S23" s="11" t="s">
        <v>135</v>
      </c>
      <c r="T23" s="13"/>
      <c r="U23" s="18" t="str">
        <f>HYPERLINK("https://pbs.twimg.com/profile_images/1202309002098597889/659_O4yt.jpg","View")</f>
        <v>View</v>
      </c>
      <c r="V23" s="13"/>
      <c r="W23" s="13"/>
      <c r="X23" s="13"/>
      <c r="Y23" s="13"/>
      <c r="Z23" s="13"/>
    </row>
    <row r="24">
      <c r="A24" s="8">
        <v>43848.91844907407</v>
      </c>
      <c r="B24" s="9" t="str">
        <f>HYPERLINK("https://twitter.com/JudgeWren","@JudgeWren")</f>
        <v>@JudgeWren</v>
      </c>
      <c r="C24" s="10" t="s">
        <v>136</v>
      </c>
      <c r="D24" s="10" t="s">
        <v>137</v>
      </c>
      <c r="E24" s="9" t="str">
        <f>HYPERLINK("https://twitter.com/JudgeWren/status/1218730440581951488","1218730440581951488")</f>
        <v>1218730440581951488</v>
      </c>
      <c r="F24" s="10" t="s">
        <v>138</v>
      </c>
      <c r="G24" s="11" t="s">
        <v>139</v>
      </c>
      <c r="H24" s="13"/>
      <c r="I24" s="14">
        <v>0.0</v>
      </c>
      <c r="J24" s="14">
        <v>2.0</v>
      </c>
      <c r="K24" s="9" t="str">
        <f t="shared" si="7"/>
        <v>Twitter for iPhone</v>
      </c>
      <c r="L24" s="15">
        <v>7704.0</v>
      </c>
      <c r="M24" s="15">
        <v>4617.0</v>
      </c>
      <c r="N24" s="15">
        <v>232.0</v>
      </c>
      <c r="O24" s="16"/>
      <c r="P24" s="17">
        <v>42224.38623842593</v>
      </c>
      <c r="Q24" s="10" t="s">
        <v>140</v>
      </c>
      <c r="R24" s="10" t="s">
        <v>141</v>
      </c>
      <c r="S24" s="12"/>
      <c r="T24" s="13"/>
      <c r="U24" s="18" t="str">
        <f>HYPERLINK("https://pbs.twimg.com/profile_images/630007080146092032/W5JXXMFx.jpg","View")</f>
        <v>View</v>
      </c>
      <c r="V24" s="13"/>
      <c r="W24" s="13"/>
      <c r="X24" s="13"/>
      <c r="Y24" s="13"/>
      <c r="Z24" s="13"/>
    </row>
    <row r="25">
      <c r="A25" s="8">
        <v>43848.91829861111</v>
      </c>
      <c r="B25" s="9" t="str">
        <f>HYPERLINK("https://twitter.com/TheGreatestsh17","@TheGreatestsh17")</f>
        <v>@TheGreatestsh17</v>
      </c>
      <c r="C25" s="10" t="s">
        <v>142</v>
      </c>
      <c r="D25" s="10" t="s">
        <v>143</v>
      </c>
      <c r="E25" s="9" t="str">
        <f>HYPERLINK("https://twitter.com/TheGreatestsh17/status/1218730384999047168","1218730384999047168")</f>
        <v>1218730384999047168</v>
      </c>
      <c r="F25" s="11" t="s">
        <v>144</v>
      </c>
      <c r="G25" s="12"/>
      <c r="H25" s="13"/>
      <c r="I25" s="14">
        <v>0.0</v>
      </c>
      <c r="J25" s="14">
        <v>0.0</v>
      </c>
      <c r="K25" s="9" t="str">
        <f>HYPERLINK("https://mobile.twitter.com","Twitter Web App")</f>
        <v>Twitter Web App</v>
      </c>
      <c r="L25" s="15">
        <v>115.0</v>
      </c>
      <c r="M25" s="15">
        <v>481.0</v>
      </c>
      <c r="N25" s="15">
        <v>0.0</v>
      </c>
      <c r="O25" s="16"/>
      <c r="P25" s="17">
        <v>43434.76855324074</v>
      </c>
      <c r="Q25" s="10" t="s">
        <v>145</v>
      </c>
      <c r="R25" s="10" t="s">
        <v>146</v>
      </c>
      <c r="S25" s="11" t="s">
        <v>147</v>
      </c>
      <c r="T25" s="13"/>
      <c r="U25" s="18" t="str">
        <f>HYPERLINK("https://pbs.twimg.com/profile_images/1125557296065544192/3K5ThvNq.png","View")</f>
        <v>View</v>
      </c>
      <c r="V25" s="13"/>
      <c r="W25" s="13"/>
      <c r="X25" s="13"/>
      <c r="Y25" s="13"/>
      <c r="Z25" s="13"/>
    </row>
    <row r="26">
      <c r="A26" s="8">
        <v>43848.917499999996</v>
      </c>
      <c r="B26" s="9" t="str">
        <f>HYPERLINK("https://twitter.com/suhrmesa","@suhrmesa")</f>
        <v>@suhrmesa</v>
      </c>
      <c r="C26" s="10" t="s">
        <v>148</v>
      </c>
      <c r="D26" s="10" t="s">
        <v>149</v>
      </c>
      <c r="E26" s="9" t="str">
        <f>HYPERLINK("https://twitter.com/suhrmesa/status/1218730096162271232","1218730096162271232")</f>
        <v>1218730096162271232</v>
      </c>
      <c r="F26" s="13"/>
      <c r="G26" s="12"/>
      <c r="H26" s="13"/>
      <c r="I26" s="14">
        <v>0.0</v>
      </c>
      <c r="J26" s="14">
        <v>0.0</v>
      </c>
      <c r="K26" s="9" t="str">
        <f>HYPERLINK("http://twitter.com/#!/download/ipad","Twitter for iPad")</f>
        <v>Twitter for iPad</v>
      </c>
      <c r="L26" s="15">
        <v>1046.0</v>
      </c>
      <c r="M26" s="15">
        <v>161.0</v>
      </c>
      <c r="N26" s="15">
        <v>188.0</v>
      </c>
      <c r="O26" s="16"/>
      <c r="P26" s="17">
        <v>39687.881215277775</v>
      </c>
      <c r="Q26" s="10" t="s">
        <v>150</v>
      </c>
      <c r="R26" s="10" t="s">
        <v>151</v>
      </c>
      <c r="S26" s="11" t="s">
        <v>152</v>
      </c>
      <c r="T26" s="13"/>
      <c r="U26" s="18" t="str">
        <f>HYPERLINK("https://pbs.twimg.com/profile_images/1868047979/work.jpg","View")</f>
        <v>View</v>
      </c>
      <c r="V26" s="13"/>
      <c r="W26" s="13"/>
      <c r="X26" s="13"/>
      <c r="Y26" s="13"/>
      <c r="Z26" s="13"/>
    </row>
    <row r="27">
      <c r="A27" s="8">
        <v>43848.91746527777</v>
      </c>
      <c r="B27" s="9" t="str">
        <f>HYPERLINK("https://twitter.com/AlbinaVeltman","@AlbinaVeltman")</f>
        <v>@AlbinaVeltman</v>
      </c>
      <c r="C27" s="10" t="s">
        <v>153</v>
      </c>
      <c r="D27" s="10" t="s">
        <v>154</v>
      </c>
      <c r="E27" s="9" t="str">
        <f>HYPERLINK("https://twitter.com/AlbinaVeltman/status/1218730084108062725","1218730084108062725")</f>
        <v>1218730084108062725</v>
      </c>
      <c r="F27" s="11" t="s">
        <v>155</v>
      </c>
      <c r="G27" s="12"/>
      <c r="H27" s="13"/>
      <c r="I27" s="14">
        <v>1.0</v>
      </c>
      <c r="J27" s="14">
        <v>1.0</v>
      </c>
      <c r="K27" s="9" t="str">
        <f>HYPERLINK("http://twitter.com","Twitter Web Client")</f>
        <v>Twitter Web Client</v>
      </c>
      <c r="L27" s="15">
        <v>466.0</v>
      </c>
      <c r="M27" s="15">
        <v>529.0</v>
      </c>
      <c r="N27" s="15">
        <v>20.0</v>
      </c>
      <c r="O27" s="16"/>
      <c r="P27" s="17">
        <v>41348.925775462965</v>
      </c>
      <c r="Q27" s="10" t="s">
        <v>156</v>
      </c>
      <c r="R27" s="10" t="s">
        <v>157</v>
      </c>
      <c r="S27" s="12"/>
      <c r="T27" s="13"/>
      <c r="U27" s="18" t="str">
        <f>HYPERLINK("https://pbs.twimg.com/profile_images/571863062873767936/AZmdhLIw.jpeg","View")</f>
        <v>View</v>
      </c>
      <c r="V27" s="13"/>
      <c r="W27" s="13"/>
      <c r="X27" s="13"/>
      <c r="Y27" s="13"/>
      <c r="Z27" s="13"/>
    </row>
    <row r="28">
      <c r="A28" s="8">
        <v>43848.916608796295</v>
      </c>
      <c r="B28" s="9" t="str">
        <f>HYPERLINK("https://twitter.com/LoopilouI","@LoopilouI")</f>
        <v>@LoopilouI</v>
      </c>
      <c r="C28" s="10" t="s">
        <v>158</v>
      </c>
      <c r="D28" s="10" t="s">
        <v>159</v>
      </c>
      <c r="E28" s="9" t="str">
        <f>HYPERLINK("https://twitter.com/LoopilouI/status/1218729774450905090","1218729774450905090")</f>
        <v>1218729774450905090</v>
      </c>
      <c r="F28" s="11" t="s">
        <v>160</v>
      </c>
      <c r="G28" s="12"/>
      <c r="H28" s="13"/>
      <c r="I28" s="14">
        <v>0.0</v>
      </c>
      <c r="J28" s="14">
        <v>0.0</v>
      </c>
      <c r="K28" s="9" t="str">
        <f t="shared" ref="K28:K29" si="8">HYPERLINK("http://twitter.com/download/android","Twitter for Android")</f>
        <v>Twitter for Android</v>
      </c>
      <c r="L28" s="15">
        <v>920.0</v>
      </c>
      <c r="M28" s="15">
        <v>1463.0</v>
      </c>
      <c r="N28" s="15">
        <v>29.0</v>
      </c>
      <c r="O28" s="16"/>
      <c r="P28" s="17">
        <v>42295.61822916666</v>
      </c>
      <c r="Q28" s="10" t="s">
        <v>161</v>
      </c>
      <c r="R28" s="10" t="s">
        <v>162</v>
      </c>
      <c r="S28" s="12"/>
      <c r="T28" s="13"/>
      <c r="U28" s="18" t="str">
        <f>HYPERLINK("https://pbs.twimg.com/profile_images/1100155327545331712/mvzoGsdk.jpg","View")</f>
        <v>View</v>
      </c>
      <c r="V28" s="13"/>
      <c r="W28" s="13"/>
      <c r="X28" s="13"/>
      <c r="Y28" s="13"/>
      <c r="Z28" s="13"/>
    </row>
    <row r="29">
      <c r="A29" s="8">
        <v>43848.91644675926</v>
      </c>
      <c r="B29" s="9" t="str">
        <f>HYPERLINK("https://twitter.com/PaganAndSister","@PaganAndSister")</f>
        <v>@PaganAndSister</v>
      </c>
      <c r="C29" s="10" t="s">
        <v>163</v>
      </c>
      <c r="D29" s="10" t="s">
        <v>164</v>
      </c>
      <c r="E29" s="9" t="str">
        <f>HYPERLINK("https://twitter.com/PaganAndSister/status/1218729714585669632","1218729714585669632")</f>
        <v>1218729714585669632</v>
      </c>
      <c r="F29" s="13"/>
      <c r="G29" s="11" t="s">
        <v>165</v>
      </c>
      <c r="H29" s="13"/>
      <c r="I29" s="14">
        <v>2.0</v>
      </c>
      <c r="J29" s="14">
        <v>3.0</v>
      </c>
      <c r="K29" s="9" t="str">
        <f t="shared" si="8"/>
        <v>Twitter for Android</v>
      </c>
      <c r="L29" s="15">
        <v>11.0</v>
      </c>
      <c r="M29" s="15">
        <v>42.0</v>
      </c>
      <c r="N29" s="15">
        <v>0.0</v>
      </c>
      <c r="O29" s="16"/>
      <c r="P29" s="17">
        <v>43811.607187500005</v>
      </c>
      <c r="Q29" s="10" t="s">
        <v>166</v>
      </c>
      <c r="R29" s="10" t="s">
        <v>167</v>
      </c>
      <c r="S29" s="12"/>
      <c r="T29" s="13"/>
      <c r="U29" s="18" t="str">
        <f>HYPERLINK("https://pbs.twimg.com/profile_images/1205211188830916609/hJRAivaZ.jpg","View")</f>
        <v>View</v>
      </c>
      <c r="V29" s="13"/>
      <c r="W29" s="13"/>
      <c r="X29" s="13"/>
      <c r="Y29" s="13"/>
      <c r="Z29" s="13"/>
    </row>
    <row r="30">
      <c r="A30" s="8">
        <v>43848.91627314815</v>
      </c>
      <c r="B30" s="9" t="str">
        <f>HYPERLINK("https://twitter.com/SNAP4ADHD","@SNAP4ADHD")</f>
        <v>@SNAP4ADHD</v>
      </c>
      <c r="C30" s="10" t="s">
        <v>168</v>
      </c>
      <c r="D30" s="10" t="s">
        <v>169</v>
      </c>
      <c r="E30" s="9" t="str">
        <f>HYPERLINK("https://twitter.com/SNAP4ADHD/status/1218729651608092672","1218729651608092672")</f>
        <v>1218729651608092672</v>
      </c>
      <c r="F30" s="13"/>
      <c r="G30" s="11" t="s">
        <v>170</v>
      </c>
      <c r="H30" s="13"/>
      <c r="I30" s="14">
        <v>0.0</v>
      </c>
      <c r="J30" s="14">
        <v>0.0</v>
      </c>
      <c r="K30" s="9" t="str">
        <f>HYPERLINK("https://www.socialjukebox.com","The Social Jukebox")</f>
        <v>The Social Jukebox</v>
      </c>
      <c r="L30" s="15">
        <v>67.0</v>
      </c>
      <c r="M30" s="15">
        <v>245.0</v>
      </c>
      <c r="N30" s="15">
        <v>2.0</v>
      </c>
      <c r="O30" s="16"/>
      <c r="P30" s="17">
        <v>42926.87278935185</v>
      </c>
      <c r="Q30" s="10" t="s">
        <v>171</v>
      </c>
      <c r="R30" s="10" t="s">
        <v>172</v>
      </c>
      <c r="S30" s="11" t="s">
        <v>173</v>
      </c>
      <c r="T30" s="13"/>
      <c r="U30" s="18" t="str">
        <f>HYPERLINK("https://pbs.twimg.com/profile_images/1177022434311983105/_D2VVVDL.jpg","View")</f>
        <v>View</v>
      </c>
      <c r="V30" s="13"/>
      <c r="W30" s="13"/>
      <c r="X30" s="13"/>
      <c r="Y30" s="13"/>
      <c r="Z30" s="13"/>
    </row>
    <row r="31">
      <c r="A31" s="8">
        <v>43848.915925925925</v>
      </c>
      <c r="B31" s="9" t="str">
        <f>HYPERLINK("https://twitter.com/kimberleytent","@kimberleytent")</f>
        <v>@kimberleytent</v>
      </c>
      <c r="C31" s="10" t="s">
        <v>174</v>
      </c>
      <c r="D31" s="10" t="s">
        <v>175</v>
      </c>
      <c r="E31" s="9" t="str">
        <f>HYPERLINK("https://twitter.com/kimberleytent/status/1218729525468516352","1218729525468516352")</f>
        <v>1218729525468516352</v>
      </c>
      <c r="F31" s="13"/>
      <c r="G31" s="11" t="s">
        <v>176</v>
      </c>
      <c r="H31" s="13"/>
      <c r="I31" s="14">
        <v>1.0</v>
      </c>
      <c r="J31" s="14">
        <v>3.0</v>
      </c>
      <c r="K31" s="9" t="str">
        <f t="shared" ref="K31:K32" si="9">HYPERLINK("http://twitter.com/download/iphone","Twitter for iPhone")</f>
        <v>Twitter for iPhone</v>
      </c>
      <c r="L31" s="15">
        <v>3728.0</v>
      </c>
      <c r="M31" s="15">
        <v>4985.0</v>
      </c>
      <c r="N31" s="15">
        <v>34.0</v>
      </c>
      <c r="O31" s="16"/>
      <c r="P31" s="17">
        <v>43417.68755787037</v>
      </c>
      <c r="Q31" s="10" t="s">
        <v>177</v>
      </c>
      <c r="R31" s="10" t="s">
        <v>178</v>
      </c>
      <c r="S31" s="11" t="s">
        <v>179</v>
      </c>
      <c r="T31" s="13"/>
      <c r="U31" s="18" t="str">
        <f>HYPERLINK("https://pbs.twimg.com/profile_images/1062463869770027008/GZSDL8L6.jpg","View")</f>
        <v>View</v>
      </c>
      <c r="V31" s="13"/>
      <c r="W31" s="13"/>
      <c r="X31" s="13"/>
      <c r="Y31" s="13"/>
      <c r="Z31" s="13"/>
    </row>
    <row r="32">
      <c r="A32" s="8">
        <v>43848.91575231482</v>
      </c>
      <c r="B32" s="9" t="str">
        <f>HYPERLINK("https://twitter.com/KPbewelldoc","@KPbewelldoc")</f>
        <v>@KPbewelldoc</v>
      </c>
      <c r="C32" s="10" t="s">
        <v>180</v>
      </c>
      <c r="D32" s="10" t="s">
        <v>181</v>
      </c>
      <c r="E32" s="9" t="str">
        <f>HYPERLINK("https://twitter.com/KPbewelldoc/status/1218729462914633729","1218729462914633729")</f>
        <v>1218729462914633729</v>
      </c>
      <c r="F32" s="13"/>
      <c r="G32" s="11" t="s">
        <v>182</v>
      </c>
      <c r="H32" s="13"/>
      <c r="I32" s="14">
        <v>0.0</v>
      </c>
      <c r="J32" s="14">
        <v>3.0</v>
      </c>
      <c r="K32" s="9" t="str">
        <f t="shared" si="9"/>
        <v>Twitter for iPhone</v>
      </c>
      <c r="L32" s="15">
        <v>32241.0</v>
      </c>
      <c r="M32" s="15">
        <v>32217.0</v>
      </c>
      <c r="N32" s="15">
        <v>529.0</v>
      </c>
      <c r="O32" s="16"/>
      <c r="P32" s="17">
        <v>41688.530335648145</v>
      </c>
      <c r="Q32" s="10" t="s">
        <v>128</v>
      </c>
      <c r="R32" s="10" t="s">
        <v>183</v>
      </c>
      <c r="S32" s="11" t="s">
        <v>184</v>
      </c>
      <c r="T32" s="13"/>
      <c r="U32" s="18" t="str">
        <f>HYPERLINK("https://pbs.twimg.com/profile_images/435853466582257664/fmUFFsG4.jpeg","View")</f>
        <v>View</v>
      </c>
      <c r="V32" s="13"/>
      <c r="W32" s="13"/>
      <c r="X32" s="13"/>
      <c r="Y32" s="13"/>
      <c r="Z32" s="13"/>
    </row>
    <row r="33">
      <c r="A33" s="8">
        <v>43848.91552083333</v>
      </c>
      <c r="B33" s="9" t="str">
        <f>HYPERLINK("https://twitter.com/tacticalpodcast","@tacticalpodcast")</f>
        <v>@tacticalpodcast</v>
      </c>
      <c r="C33" s="10" t="s">
        <v>185</v>
      </c>
      <c r="D33" s="10" t="s">
        <v>186</v>
      </c>
      <c r="E33" s="9" t="str">
        <f>HYPERLINK("https://twitter.com/tacticalpodcast/status/1218729378365964288","1218729378365964288")</f>
        <v>1218729378365964288</v>
      </c>
      <c r="F33" s="11" t="s">
        <v>187</v>
      </c>
      <c r="G33" s="12"/>
      <c r="H33" s="13"/>
      <c r="I33" s="14">
        <v>0.0</v>
      </c>
      <c r="J33" s="14">
        <v>0.0</v>
      </c>
      <c r="K33" s="9" t="str">
        <f>HYPERLINK("http://twitter.com/download/android","Twitter for Android")</f>
        <v>Twitter for Android</v>
      </c>
      <c r="L33" s="15">
        <v>23.0</v>
      </c>
      <c r="M33" s="15">
        <v>29.0</v>
      </c>
      <c r="N33" s="15">
        <v>0.0</v>
      </c>
      <c r="O33" s="16"/>
      <c r="P33" s="17">
        <v>43532.746516203704</v>
      </c>
      <c r="Q33" s="12"/>
      <c r="R33" s="10" t="s">
        <v>188</v>
      </c>
      <c r="S33" s="11" t="s">
        <v>189</v>
      </c>
      <c r="T33" s="13"/>
      <c r="U33" s="18" t="str">
        <f>HYPERLINK("https://pbs.twimg.com/profile_images/1189049887234646016/BG19Vdc-.jpg","View")</f>
        <v>View</v>
      </c>
      <c r="V33" s="13"/>
      <c r="W33" s="13"/>
      <c r="X33" s="13"/>
      <c r="Y33" s="13"/>
      <c r="Z33" s="13"/>
    </row>
    <row r="34">
      <c r="A34" s="8">
        <v>43848.91395833333</v>
      </c>
      <c r="B34" s="9" t="str">
        <f>HYPERLINK("https://twitter.com/RosalynPalmer","@RosalynPalmer")</f>
        <v>@RosalynPalmer</v>
      </c>
      <c r="C34" s="10" t="s">
        <v>190</v>
      </c>
      <c r="D34" s="10" t="s">
        <v>191</v>
      </c>
      <c r="E34" s="9" t="str">
        <f>HYPERLINK("https://twitter.com/RosalynPalmer/status/1218728811149385729","1218728811149385729")</f>
        <v>1218728811149385729</v>
      </c>
      <c r="F34" s="11" t="s">
        <v>192</v>
      </c>
      <c r="G34" s="12"/>
      <c r="H34" s="13"/>
      <c r="I34" s="14">
        <v>0.0</v>
      </c>
      <c r="J34" s="14">
        <v>0.0</v>
      </c>
      <c r="K34" s="9" t="str">
        <f>HYPERLINK("http://www.linkedin.com/","LinkedIn")</f>
        <v>LinkedIn</v>
      </c>
      <c r="L34" s="15">
        <v>3419.0</v>
      </c>
      <c r="M34" s="15">
        <v>4999.0</v>
      </c>
      <c r="N34" s="15">
        <v>271.0</v>
      </c>
      <c r="O34" s="16"/>
      <c r="P34" s="17">
        <v>39819.42988425926</v>
      </c>
      <c r="Q34" s="10" t="s">
        <v>193</v>
      </c>
      <c r="R34" s="10" t="s">
        <v>194</v>
      </c>
      <c r="S34" s="11" t="s">
        <v>195</v>
      </c>
      <c r="T34" s="13"/>
      <c r="U34" s="18" t="str">
        <f>HYPERLINK("https://pbs.twimg.com/profile_images/1164441472868986880/G3bxvoCq.jpg","View")</f>
        <v>View</v>
      </c>
      <c r="V34" s="13"/>
      <c r="W34" s="13"/>
      <c r="X34" s="13"/>
      <c r="Y34" s="13"/>
      <c r="Z34" s="13"/>
    </row>
    <row r="35">
      <c r="A35" s="8">
        <v>43848.9134375</v>
      </c>
      <c r="B35" s="9" t="str">
        <f t="shared" ref="B35:B36" si="10">HYPERLINK("https://twitter.com/sergiogcardiel","@sergiogcardiel")</f>
        <v>@sergiogcardiel</v>
      </c>
      <c r="C35" s="10" t="s">
        <v>196</v>
      </c>
      <c r="D35" s="10" t="s">
        <v>197</v>
      </c>
      <c r="E35" s="9" t="str">
        <f>HYPERLINK("https://twitter.com/sergiogcardiel/status/1218728625467482112","1218728625467482112")</f>
        <v>1218728625467482112</v>
      </c>
      <c r="F35" s="11" t="s">
        <v>198</v>
      </c>
      <c r="G35" s="12"/>
      <c r="H35" s="13"/>
      <c r="I35" s="14">
        <v>0.0</v>
      </c>
      <c r="J35" s="14">
        <v>0.0</v>
      </c>
      <c r="K35" s="9" t="str">
        <f t="shared" ref="K35:K36" si="11">HYPERLINK("http://twitter.com/download/iphone","Twitter for iPhone")</f>
        <v>Twitter for iPhone</v>
      </c>
      <c r="L35" s="15">
        <v>17.0</v>
      </c>
      <c r="M35" s="15">
        <v>291.0</v>
      </c>
      <c r="N35" s="15">
        <v>0.0</v>
      </c>
      <c r="O35" s="16"/>
      <c r="P35" s="17">
        <v>43114.795381944445</v>
      </c>
      <c r="Q35" s="10" t="s">
        <v>199</v>
      </c>
      <c r="R35" s="12"/>
      <c r="S35" s="12"/>
      <c r="T35" s="13"/>
      <c r="U35" s="18" t="str">
        <f t="shared" ref="U35:U36" si="12">HYPERLINK("https://pbs.twimg.com/profile_images/953082007348641793/9Xaw88tD.jpg","View")</f>
        <v>View</v>
      </c>
      <c r="V35" s="13"/>
      <c r="W35" s="13"/>
      <c r="X35" s="13"/>
      <c r="Y35" s="13"/>
      <c r="Z35" s="13"/>
    </row>
    <row r="36">
      <c r="A36" s="8">
        <v>43848.9131712963</v>
      </c>
      <c r="B36" s="9" t="str">
        <f t="shared" si="10"/>
        <v>@sergiogcardiel</v>
      </c>
      <c r="C36" s="10" t="s">
        <v>196</v>
      </c>
      <c r="D36" s="10" t="s">
        <v>200</v>
      </c>
      <c r="E36" s="9" t="str">
        <f>HYPERLINK("https://twitter.com/sergiogcardiel/status/1218728529250193409","1218728529250193409")</f>
        <v>1218728529250193409</v>
      </c>
      <c r="F36" s="11" t="s">
        <v>201</v>
      </c>
      <c r="G36" s="12"/>
      <c r="H36" s="13"/>
      <c r="I36" s="14">
        <v>0.0</v>
      </c>
      <c r="J36" s="14">
        <v>0.0</v>
      </c>
      <c r="K36" s="9" t="str">
        <f t="shared" si="11"/>
        <v>Twitter for iPhone</v>
      </c>
      <c r="L36" s="15">
        <v>17.0</v>
      </c>
      <c r="M36" s="15">
        <v>291.0</v>
      </c>
      <c r="N36" s="15">
        <v>0.0</v>
      </c>
      <c r="O36" s="16"/>
      <c r="P36" s="17">
        <v>43114.795381944445</v>
      </c>
      <c r="Q36" s="10" t="s">
        <v>199</v>
      </c>
      <c r="R36" s="12"/>
      <c r="S36" s="12"/>
      <c r="T36" s="13"/>
      <c r="U36" s="18" t="str">
        <f t="shared" si="12"/>
        <v>View</v>
      </c>
      <c r="V36" s="13"/>
      <c r="W36" s="13"/>
      <c r="X36" s="13"/>
      <c r="Y36" s="13"/>
      <c r="Z36" s="13"/>
    </row>
    <row r="37">
      <c r="A37" s="8">
        <v>43848.91222222222</v>
      </c>
      <c r="B37" s="9" t="str">
        <f>HYPERLINK("https://twitter.com/MySpectrumCC","@MySpectrumCC")</f>
        <v>@MySpectrumCC</v>
      </c>
      <c r="C37" s="10" t="s">
        <v>202</v>
      </c>
      <c r="D37" s="10" t="s">
        <v>203</v>
      </c>
      <c r="E37" s="9" t="str">
        <f>HYPERLINK("https://twitter.com/MySpectrumCC/status/1218728183488446464","1218728183488446464")</f>
        <v>1218728183488446464</v>
      </c>
      <c r="F37" s="13"/>
      <c r="G37" s="11" t="s">
        <v>204</v>
      </c>
      <c r="H37" s="13"/>
      <c r="I37" s="14">
        <v>0.0</v>
      </c>
      <c r="J37" s="14">
        <v>0.0</v>
      </c>
      <c r="K37" s="9" t="str">
        <f>HYPERLINK("https://about.twitter.com/products/tweetdeck","TweetDeck")</f>
        <v>TweetDeck</v>
      </c>
      <c r="L37" s="15">
        <v>36.0</v>
      </c>
      <c r="M37" s="15">
        <v>16.0</v>
      </c>
      <c r="N37" s="15">
        <v>2.0</v>
      </c>
      <c r="O37" s="16"/>
      <c r="P37" s="17">
        <v>43481.43865740741</v>
      </c>
      <c r="Q37" s="10" t="s">
        <v>205</v>
      </c>
      <c r="R37" s="10" t="s">
        <v>206</v>
      </c>
      <c r="S37" s="12"/>
      <c r="T37" s="13"/>
      <c r="U37" s="18" t="str">
        <f>HYPERLINK("https://pbs.twimg.com/profile_images/1085704516396335104/SEUb5eWa.jpg","View")</f>
        <v>View</v>
      </c>
      <c r="V37" s="13"/>
      <c r="W37" s="13"/>
      <c r="X37" s="13"/>
      <c r="Y37" s="13"/>
      <c r="Z37" s="13"/>
    </row>
    <row r="38">
      <c r="A38" s="8">
        <v>43848.91181712963</v>
      </c>
      <c r="B38" s="9" t="str">
        <f>HYPERLINK("https://twitter.com/standupourkids","@standupourkids")</f>
        <v>@standupourkids</v>
      </c>
      <c r="C38" s="10" t="s">
        <v>207</v>
      </c>
      <c r="D38" s="10" t="s">
        <v>208</v>
      </c>
      <c r="E38" s="9" t="str">
        <f>HYPERLINK("https://twitter.com/standupourkids/status/1218728035278475264","1218728035278475264")</f>
        <v>1218728035278475264</v>
      </c>
      <c r="F38" s="11" t="s">
        <v>209</v>
      </c>
      <c r="G38" s="11" t="s">
        <v>210</v>
      </c>
      <c r="H38" s="13"/>
      <c r="I38" s="14">
        <v>0.0</v>
      </c>
      <c r="J38" s="14">
        <v>0.0</v>
      </c>
      <c r="K38" s="9" t="str">
        <f t="shared" ref="K38:K39" si="13">HYPERLINK("http://twitter.com/download/iphone","Twitter for iPhone")</f>
        <v>Twitter for iPhone</v>
      </c>
      <c r="L38" s="15">
        <v>3293.0</v>
      </c>
      <c r="M38" s="15">
        <v>4985.0</v>
      </c>
      <c r="N38" s="15">
        <v>18.0</v>
      </c>
      <c r="O38" s="16"/>
      <c r="P38" s="17">
        <v>42739.05197916667</v>
      </c>
      <c r="Q38" s="10" t="s">
        <v>211</v>
      </c>
      <c r="R38" s="10" t="s">
        <v>212</v>
      </c>
      <c r="S38" s="11" t="s">
        <v>213</v>
      </c>
      <c r="T38" s="13"/>
      <c r="U38" s="18" t="str">
        <f>HYPERLINK("https://pbs.twimg.com/profile_images/866042356230799361/htOPh_Wh.jpg","View")</f>
        <v>View</v>
      </c>
      <c r="V38" s="13"/>
      <c r="W38" s="13"/>
      <c r="X38" s="13"/>
      <c r="Y38" s="13"/>
      <c r="Z38" s="13"/>
    </row>
    <row r="39">
      <c r="A39" s="8">
        <v>43848.910995370374</v>
      </c>
      <c r="B39" s="9" t="str">
        <f>HYPERLINK("https://twitter.com/derekalopez","@derekalopez")</f>
        <v>@derekalopez</v>
      </c>
      <c r="C39" s="10" t="s">
        <v>214</v>
      </c>
      <c r="D39" s="10" t="s">
        <v>215</v>
      </c>
      <c r="E39" s="9" t="str">
        <f>HYPERLINK("https://twitter.com/derekalopez/status/1218727737256370176","1218727737256370176")</f>
        <v>1218727737256370176</v>
      </c>
      <c r="F39" s="13"/>
      <c r="G39" s="11" t="s">
        <v>210</v>
      </c>
      <c r="H39" s="13"/>
      <c r="I39" s="14">
        <v>0.0</v>
      </c>
      <c r="J39" s="14">
        <v>0.0</v>
      </c>
      <c r="K39" s="9" t="str">
        <f t="shared" si="13"/>
        <v>Twitter for iPhone</v>
      </c>
      <c r="L39" s="15">
        <v>68.0</v>
      </c>
      <c r="M39" s="15">
        <v>147.0</v>
      </c>
      <c r="N39" s="15">
        <v>1.0</v>
      </c>
      <c r="O39" s="16"/>
      <c r="P39" s="17">
        <v>43687.96481481481</v>
      </c>
      <c r="Q39" s="12"/>
      <c r="R39" s="10" t="s">
        <v>216</v>
      </c>
      <c r="S39" s="11" t="s">
        <v>217</v>
      </c>
      <c r="T39" s="13"/>
      <c r="U39" s="18" t="str">
        <f>HYPERLINK("https://pbs.twimg.com/profile_images/1215508563847573504/h6BMYP3k.jpg","View")</f>
        <v>View</v>
      </c>
      <c r="V39" s="13"/>
      <c r="W39" s="13"/>
      <c r="X39" s="13"/>
      <c r="Y39" s="13"/>
      <c r="Z39" s="13"/>
    </row>
    <row r="40">
      <c r="A40" s="8">
        <v>43848.9109375</v>
      </c>
      <c r="B40" s="9" t="str">
        <f>HYPERLINK("https://twitter.com/health_monitor7","@health_monitor7")</f>
        <v>@health_monitor7</v>
      </c>
      <c r="C40" s="10" t="s">
        <v>218</v>
      </c>
      <c r="D40" s="10" t="s">
        <v>219</v>
      </c>
      <c r="E40" s="9" t="str">
        <f>HYPERLINK("https://twitter.com/health_monitor7/status/1218727719527223297","1218727719527223297")</f>
        <v>1218727719527223297</v>
      </c>
      <c r="F40" s="13"/>
      <c r="G40" s="11" t="s">
        <v>220</v>
      </c>
      <c r="H40" s="13"/>
      <c r="I40" s="14">
        <v>0.0</v>
      </c>
      <c r="J40" s="14">
        <v>0.0</v>
      </c>
      <c r="K40" s="9" t="str">
        <f>HYPERLINK("http://twitter.com/download/android","Twitter for Android")</f>
        <v>Twitter for Android</v>
      </c>
      <c r="L40" s="15">
        <v>21.0</v>
      </c>
      <c r="M40" s="15">
        <v>37.0</v>
      </c>
      <c r="N40" s="15">
        <v>0.0</v>
      </c>
      <c r="O40" s="16"/>
      <c r="P40" s="17">
        <v>43767.47483796296</v>
      </c>
      <c r="Q40" s="12"/>
      <c r="R40" s="10" t="s">
        <v>221</v>
      </c>
      <c r="S40" s="11" t="s">
        <v>222</v>
      </c>
      <c r="T40" s="13"/>
      <c r="U40" s="18" t="str">
        <f>HYPERLINK("https://pbs.twimg.com/profile_images/1218000466430156800/PMxt5qkT.png","View")</f>
        <v>View</v>
      </c>
      <c r="V40" s="13"/>
      <c r="W40" s="13"/>
      <c r="X40" s="13"/>
      <c r="Y40" s="13"/>
      <c r="Z40" s="13"/>
    </row>
    <row r="41">
      <c r="A41" s="8">
        <v>43848.91076388889</v>
      </c>
      <c r="B41" s="9" t="str">
        <f>HYPERLINK("https://twitter.com/ShamahWellness","@ShamahWellness")</f>
        <v>@ShamahWellness</v>
      </c>
      <c r="C41" s="10" t="s">
        <v>97</v>
      </c>
      <c r="D41" s="10" t="s">
        <v>223</v>
      </c>
      <c r="E41" s="9" t="str">
        <f>HYPERLINK("https://twitter.com/ShamahWellness/status/1218727655727497216","1218727655727497216")</f>
        <v>1218727655727497216</v>
      </c>
      <c r="F41" s="13"/>
      <c r="G41" s="11" t="s">
        <v>224</v>
      </c>
      <c r="H41" s="13"/>
      <c r="I41" s="14">
        <v>0.0</v>
      </c>
      <c r="J41" s="14">
        <v>0.0</v>
      </c>
      <c r="K41" s="9" t="str">
        <f>HYPERLINK("https://mobile.twitter.com","Twitter Web App")</f>
        <v>Twitter Web App</v>
      </c>
      <c r="L41" s="15">
        <v>0.0</v>
      </c>
      <c r="M41" s="15">
        <v>415.0</v>
      </c>
      <c r="N41" s="15">
        <v>0.0</v>
      </c>
      <c r="O41" s="16"/>
      <c r="P41" s="17">
        <v>43848.87982638889</v>
      </c>
      <c r="Q41" s="10" t="s">
        <v>51</v>
      </c>
      <c r="R41" s="10" t="s">
        <v>100</v>
      </c>
      <c r="S41" s="11" t="s">
        <v>101</v>
      </c>
      <c r="T41" s="13"/>
      <c r="U41" s="18" t="str">
        <f>HYPERLINK("https://pbs.twimg.com/profile_images/1218719919514116097/3VaRL6G3.jpg","View")</f>
        <v>View</v>
      </c>
      <c r="V41" s="13"/>
      <c r="W41" s="13"/>
      <c r="X41" s="13"/>
      <c r="Y41" s="13"/>
      <c r="Z41" s="13"/>
    </row>
    <row r="42">
      <c r="A42" s="8">
        <v>43848.909583333334</v>
      </c>
      <c r="B42" s="9" t="str">
        <f>HYPERLINK("https://twitter.com/christofw","@christofw")</f>
        <v>@christofw</v>
      </c>
      <c r="C42" s="10" t="s">
        <v>225</v>
      </c>
      <c r="D42" s="10" t="s">
        <v>226</v>
      </c>
      <c r="E42" s="9" t="str">
        <f>HYPERLINK("https://twitter.com/christofw/status/1218727226222366720","1218727226222366720")</f>
        <v>1218727226222366720</v>
      </c>
      <c r="F42" s="11" t="s">
        <v>227</v>
      </c>
      <c r="G42" s="12"/>
      <c r="H42" s="13"/>
      <c r="I42" s="14">
        <v>1.0</v>
      </c>
      <c r="J42" s="14">
        <v>1.0</v>
      </c>
      <c r="K42" s="9" t="str">
        <f>HYPERLINK("http://twitter.com/download/iphone","Twitter for iPhone")</f>
        <v>Twitter for iPhone</v>
      </c>
      <c r="L42" s="15">
        <v>927.0</v>
      </c>
      <c r="M42" s="15">
        <v>287.0</v>
      </c>
      <c r="N42" s="15">
        <v>59.0</v>
      </c>
      <c r="O42" s="16"/>
      <c r="P42" s="17">
        <v>39966.94447916667</v>
      </c>
      <c r="Q42" s="10" t="s">
        <v>228</v>
      </c>
      <c r="R42" s="10" t="s">
        <v>229</v>
      </c>
      <c r="S42" s="11" t="s">
        <v>230</v>
      </c>
      <c r="T42" s="13"/>
      <c r="U42" s="18" t="str">
        <f>HYPERLINK("https://pbs.twimg.com/profile_images/1795644491/331339_10150532374958505_528668504_9144247_1915639932_o.jpg","View")</f>
        <v>View</v>
      </c>
      <c r="V42" s="13"/>
      <c r="W42" s="13"/>
      <c r="X42" s="13"/>
      <c r="Y42" s="13"/>
      <c r="Z42" s="13"/>
    </row>
    <row r="43">
      <c r="A43" s="8">
        <v>43848.90847222222</v>
      </c>
      <c r="B43" s="9" t="str">
        <f>HYPERLINK("https://twitter.com/TBIHotline","@TBIHotline")</f>
        <v>@TBIHotline</v>
      </c>
      <c r="C43" s="11" t="s">
        <v>231</v>
      </c>
      <c r="D43" s="10" t="s">
        <v>232</v>
      </c>
      <c r="E43" s="9" t="str">
        <f>HYPERLINK("https://twitter.com/TBIHotline/status/1218726824328548352","1218726824328548352")</f>
        <v>1218726824328548352</v>
      </c>
      <c r="F43" s="10" t="s">
        <v>233</v>
      </c>
      <c r="G43" s="11" t="s">
        <v>234</v>
      </c>
      <c r="H43" s="13"/>
      <c r="I43" s="14">
        <v>0.0</v>
      </c>
      <c r="J43" s="14">
        <v>0.0</v>
      </c>
      <c r="K43" s="9" t="str">
        <f>HYPERLINK("http://twitter.com/download/android","Twitter for Android")</f>
        <v>Twitter for Android</v>
      </c>
      <c r="L43" s="15">
        <v>310.0</v>
      </c>
      <c r="M43" s="15">
        <v>1148.0</v>
      </c>
      <c r="N43" s="15">
        <v>0.0</v>
      </c>
      <c r="O43" s="16"/>
      <c r="P43" s="17">
        <v>43597.60612268519</v>
      </c>
      <c r="Q43" s="12"/>
      <c r="R43" s="10" t="s">
        <v>235</v>
      </c>
      <c r="S43" s="11" t="s">
        <v>236</v>
      </c>
      <c r="T43" s="13"/>
      <c r="U43" s="18" t="str">
        <f>HYPERLINK("https://pbs.twimg.com/profile_images/1208554684014874624/m0qHFgs8.jpg","View")</f>
        <v>View</v>
      </c>
      <c r="V43" s="13"/>
      <c r="W43" s="13"/>
      <c r="X43" s="13"/>
      <c r="Y43" s="13"/>
      <c r="Z43" s="13"/>
    </row>
    <row r="44">
      <c r="A44" s="8">
        <v>43848.90677083333</v>
      </c>
      <c r="B44" s="9" t="str">
        <f>HYPERLINK("https://twitter.com/muchenawashe_","@muchenawashe_")</f>
        <v>@muchenawashe_</v>
      </c>
      <c r="C44" s="10" t="s">
        <v>237</v>
      </c>
      <c r="D44" s="10" t="s">
        <v>238</v>
      </c>
      <c r="E44" s="9" t="str">
        <f>HYPERLINK("https://twitter.com/muchenawashe_/status/1218726207790952450","1218726207790952450")</f>
        <v>1218726207790952450</v>
      </c>
      <c r="F44" s="13"/>
      <c r="G44" s="12"/>
      <c r="H44" s="13"/>
      <c r="I44" s="14">
        <v>0.0</v>
      </c>
      <c r="J44" s="14">
        <v>0.0</v>
      </c>
      <c r="K44" s="9" t="str">
        <f>HYPERLINK("https://mobile.twitter.com","Twitter Web App")</f>
        <v>Twitter Web App</v>
      </c>
      <c r="L44" s="15">
        <v>893.0</v>
      </c>
      <c r="M44" s="15">
        <v>575.0</v>
      </c>
      <c r="N44" s="15">
        <v>1.0</v>
      </c>
      <c r="O44" s="16"/>
      <c r="P44" s="17">
        <v>41600.302881944444</v>
      </c>
      <c r="Q44" s="10" t="s">
        <v>239</v>
      </c>
      <c r="R44" s="10" t="s">
        <v>240</v>
      </c>
      <c r="S44" s="12"/>
      <c r="T44" s="13"/>
      <c r="U44" s="18" t="str">
        <f>HYPERLINK("https://pbs.twimg.com/profile_images/1216851159614402560/Ob_0gS7H.jpg","View")</f>
        <v>View</v>
      </c>
      <c r="V44" s="13"/>
      <c r="W44" s="13"/>
      <c r="X44" s="13"/>
      <c r="Y44" s="13"/>
      <c r="Z44" s="13"/>
    </row>
    <row r="45">
      <c r="A45" s="8">
        <v>43848.90557870371</v>
      </c>
      <c r="B45" s="9" t="str">
        <f>HYPERLINK("https://twitter.com/KarenGoslinRSW","@KarenGoslinRSW")</f>
        <v>@KarenGoslinRSW</v>
      </c>
      <c r="C45" s="10" t="s">
        <v>241</v>
      </c>
      <c r="D45" s="10" t="s">
        <v>242</v>
      </c>
      <c r="E45" s="9" t="str">
        <f>HYPERLINK("https://twitter.com/KarenGoslinRSW/status/1218725775228186625","1218725775228186625")</f>
        <v>1218725775228186625</v>
      </c>
      <c r="F45" s="11" t="s">
        <v>243</v>
      </c>
      <c r="G45" s="11" t="s">
        <v>244</v>
      </c>
      <c r="H45" s="13"/>
      <c r="I45" s="14">
        <v>0.0</v>
      </c>
      <c r="J45" s="14">
        <v>0.0</v>
      </c>
      <c r="K45" s="9" t="str">
        <f>HYPERLINK("https://buffer.com","Buffer")</f>
        <v>Buffer</v>
      </c>
      <c r="L45" s="15">
        <v>262.0</v>
      </c>
      <c r="M45" s="15">
        <v>67.0</v>
      </c>
      <c r="N45" s="15">
        <v>1.0</v>
      </c>
      <c r="O45" s="16"/>
      <c r="P45" s="17">
        <v>43598.565034722225</v>
      </c>
      <c r="Q45" s="10" t="s">
        <v>245</v>
      </c>
      <c r="R45" s="10" t="s">
        <v>246</v>
      </c>
      <c r="S45" s="11" t="s">
        <v>247</v>
      </c>
      <c r="T45" s="13"/>
      <c r="U45" s="18" t="str">
        <f>HYPERLINK("https://pbs.twimg.com/profile_images/1214259547994497026/3Cq4fR3a.jpg","View")</f>
        <v>View</v>
      </c>
      <c r="V45" s="13"/>
      <c r="W45" s="13"/>
      <c r="X45" s="13"/>
      <c r="Y45" s="13"/>
      <c r="Z45" s="13"/>
    </row>
    <row r="46">
      <c r="A46" s="8">
        <v>43848.90525462963</v>
      </c>
      <c r="B46" s="9" t="str">
        <f>HYPERLINK("https://twitter.com/_ItsMeCeleste_","@_ItsMeCeleste_")</f>
        <v>@_ItsMeCeleste_</v>
      </c>
      <c r="C46" s="10" t="s">
        <v>248</v>
      </c>
      <c r="D46" s="10" t="s">
        <v>249</v>
      </c>
      <c r="E46" s="9" t="str">
        <f>HYPERLINK("https://twitter.com/_ItsMeCeleste_/status/1218725660388098048","1218725660388098048")</f>
        <v>1218725660388098048</v>
      </c>
      <c r="F46" s="13"/>
      <c r="G46" s="11" t="s">
        <v>250</v>
      </c>
      <c r="H46" s="13"/>
      <c r="I46" s="14">
        <v>0.0</v>
      </c>
      <c r="J46" s="14">
        <v>1.0</v>
      </c>
      <c r="K46" s="9" t="str">
        <f>HYPERLINK("https://mobile.twitter.com","Twitter Web App")</f>
        <v>Twitter Web App</v>
      </c>
      <c r="L46" s="15">
        <v>5357.0</v>
      </c>
      <c r="M46" s="15">
        <v>1878.0</v>
      </c>
      <c r="N46" s="15">
        <v>120.0</v>
      </c>
      <c r="O46" s="16"/>
      <c r="P46" s="17">
        <v>41024.91715277778</v>
      </c>
      <c r="Q46" s="10" t="s">
        <v>251</v>
      </c>
      <c r="R46" s="10" t="s">
        <v>252</v>
      </c>
      <c r="S46" s="11" t="s">
        <v>253</v>
      </c>
      <c r="T46" s="13"/>
      <c r="U46" s="18" t="str">
        <f>HYPERLINK("https://pbs.twimg.com/profile_images/1211638102617444353/aM7bpM1Z.jpg","View")</f>
        <v>View</v>
      </c>
      <c r="V46" s="13"/>
      <c r="W46" s="13"/>
      <c r="X46" s="13"/>
      <c r="Y46" s="13"/>
      <c r="Z46" s="13"/>
    </row>
    <row r="47">
      <c r="A47" s="8">
        <v>43848.90394675926</v>
      </c>
      <c r="B47" s="9" t="str">
        <f>HYPERLINK("https://twitter.com/PinkSapphire6","@PinkSapphire6")</f>
        <v>@PinkSapphire6</v>
      </c>
      <c r="C47" s="10" t="s">
        <v>254</v>
      </c>
      <c r="D47" s="10" t="s">
        <v>255</v>
      </c>
      <c r="E47" s="9" t="str">
        <f>HYPERLINK("https://twitter.com/PinkSapphire6/status/1218725183793565701","1218725183793565701")</f>
        <v>1218725183793565701</v>
      </c>
      <c r="F47" s="13"/>
      <c r="G47" s="12"/>
      <c r="H47" s="13"/>
      <c r="I47" s="14">
        <v>0.0</v>
      </c>
      <c r="J47" s="14">
        <v>1.0</v>
      </c>
      <c r="K47" s="9" t="str">
        <f>HYPERLINK("http://twitter.com/download/android","Twitter for Android")</f>
        <v>Twitter for Android</v>
      </c>
      <c r="L47" s="15">
        <v>5101.0</v>
      </c>
      <c r="M47" s="15">
        <v>5598.0</v>
      </c>
      <c r="N47" s="15">
        <v>664.0</v>
      </c>
      <c r="O47" s="16"/>
      <c r="P47" s="17">
        <v>39822.980358796296</v>
      </c>
      <c r="Q47" s="10" t="s">
        <v>256</v>
      </c>
      <c r="R47" s="10" t="s">
        <v>257</v>
      </c>
      <c r="S47" s="11" t="s">
        <v>258</v>
      </c>
      <c r="T47" s="13"/>
      <c r="U47" s="18" t="str">
        <f>HYPERLINK("https://pbs.twimg.com/profile_images/1192906041761161224/pbyR_t4k.jpg","View")</f>
        <v>View</v>
      </c>
      <c r="V47" s="13"/>
      <c r="W47" s="13"/>
      <c r="X47" s="13"/>
      <c r="Y47" s="13"/>
      <c r="Z47" s="13"/>
    </row>
    <row r="48">
      <c r="A48" s="8">
        <v>43848.902453703704</v>
      </c>
      <c r="B48" s="9" t="str">
        <f>HYPERLINK("https://twitter.com/FursVenusin","@FursVenusin")</f>
        <v>@FursVenusin</v>
      </c>
      <c r="C48" s="10" t="s">
        <v>259</v>
      </c>
      <c r="D48" s="10" t="s">
        <v>260</v>
      </c>
      <c r="E48" s="9" t="str">
        <f>HYPERLINK("https://twitter.com/FursVenusin/status/1218724643672068096","1218724643672068096")</f>
        <v>1218724643672068096</v>
      </c>
      <c r="F48" s="13"/>
      <c r="G48" s="12"/>
      <c r="H48" s="13"/>
      <c r="I48" s="14">
        <v>0.0</v>
      </c>
      <c r="J48" s="14">
        <v>2.0</v>
      </c>
      <c r="K48" s="9" t="str">
        <f>HYPERLINK("http://twitter.com/download/iphone","Twitter for iPhone")</f>
        <v>Twitter for iPhone</v>
      </c>
      <c r="L48" s="15">
        <v>25.0</v>
      </c>
      <c r="M48" s="15">
        <v>197.0</v>
      </c>
      <c r="N48" s="15">
        <v>0.0</v>
      </c>
      <c r="O48" s="16"/>
      <c r="P48" s="17">
        <v>43705.4527662037</v>
      </c>
      <c r="Q48" s="10" t="s">
        <v>261</v>
      </c>
      <c r="R48" s="10" t="s">
        <v>262</v>
      </c>
      <c r="S48" s="12"/>
      <c r="T48" s="13"/>
      <c r="U48" s="18" t="str">
        <f>HYPERLINK("https://pbs.twimg.com/profile_images/1215429803425157120/cW6B6SQ-.jpg","View")</f>
        <v>View</v>
      </c>
      <c r="V48" s="13"/>
      <c r="W48" s="13"/>
      <c r="X48" s="13"/>
      <c r="Y48" s="13"/>
      <c r="Z48" s="13"/>
    </row>
    <row r="49">
      <c r="A49" s="8">
        <v>43848.9018287037</v>
      </c>
      <c r="B49" s="9" t="str">
        <f>HYPERLINK("https://twitter.com/HeyDiddleDiddle","@HeyDiddleDiddle")</f>
        <v>@HeyDiddleDiddle</v>
      </c>
      <c r="C49" s="10" t="s">
        <v>263</v>
      </c>
      <c r="D49" s="10" t="s">
        <v>264</v>
      </c>
      <c r="E49" s="9" t="str">
        <f>HYPERLINK("https://twitter.com/HeyDiddleDiddle/status/1218724415036444672","1218724415036444672")</f>
        <v>1218724415036444672</v>
      </c>
      <c r="F49" s="11" t="s">
        <v>265</v>
      </c>
      <c r="G49" s="12"/>
      <c r="H49" s="13"/>
      <c r="I49" s="14">
        <v>0.0</v>
      </c>
      <c r="J49" s="14">
        <v>0.0</v>
      </c>
      <c r="K49" s="9" t="str">
        <f>HYPERLINK("http://www.DynamicTweets.com","Dynamic Tweets")</f>
        <v>Dynamic Tweets</v>
      </c>
      <c r="L49" s="15">
        <v>5623.0</v>
      </c>
      <c r="M49" s="15">
        <v>4639.0</v>
      </c>
      <c r="N49" s="15">
        <v>372.0</v>
      </c>
      <c r="O49" s="16"/>
      <c r="P49" s="17">
        <v>39882.59599537037</v>
      </c>
      <c r="Q49" s="10" t="s">
        <v>266</v>
      </c>
      <c r="R49" s="10" t="s">
        <v>267</v>
      </c>
      <c r="S49" s="11" t="s">
        <v>265</v>
      </c>
      <c r="T49" s="13"/>
      <c r="U49" s="18" t="str">
        <f>HYPERLINK("https://pbs.twimg.com/profile_images/97791737/HDD_PosterAlmostThere.jpg","View")</f>
        <v>View</v>
      </c>
      <c r="V49" s="13"/>
      <c r="W49" s="13"/>
      <c r="X49" s="13"/>
      <c r="Y49" s="13"/>
      <c r="Z49" s="13"/>
    </row>
    <row r="50">
      <c r="A50" s="8">
        <v>43848.90141203704</v>
      </c>
      <c r="B50" s="9" t="str">
        <f>HYPERLINK("https://twitter.com/libero_mag","@libero_mag")</f>
        <v>@libero_mag</v>
      </c>
      <c r="C50" s="10" t="s">
        <v>268</v>
      </c>
      <c r="D50" s="10" t="s">
        <v>269</v>
      </c>
      <c r="E50" s="9" t="str">
        <f>HYPERLINK("https://twitter.com/libero_mag/status/1218724264146284548","1218724264146284548")</f>
        <v>1218724264146284548</v>
      </c>
      <c r="F50" s="11" t="s">
        <v>270</v>
      </c>
      <c r="G50" s="11" t="s">
        <v>271</v>
      </c>
      <c r="H50" s="13"/>
      <c r="I50" s="14">
        <v>0.0</v>
      </c>
      <c r="J50" s="14">
        <v>0.0</v>
      </c>
      <c r="K50" s="9" t="str">
        <f>HYPERLINK("https://buffer.com","Buffer")</f>
        <v>Buffer</v>
      </c>
      <c r="L50" s="15">
        <v>1467.0</v>
      </c>
      <c r="M50" s="15">
        <v>598.0</v>
      </c>
      <c r="N50" s="15">
        <v>74.0</v>
      </c>
      <c r="O50" s="16"/>
      <c r="P50" s="17">
        <v>40542.99030092593</v>
      </c>
      <c r="Q50" s="10" t="s">
        <v>272</v>
      </c>
      <c r="R50" s="10" t="s">
        <v>273</v>
      </c>
      <c r="S50" s="11" t="s">
        <v>274</v>
      </c>
      <c r="T50" s="13"/>
      <c r="U50" s="18" t="str">
        <f>HYPERLINK("https://pbs.twimg.com/profile_images/1204472628913688576/UHwEA5Mb.jpg","View")</f>
        <v>View</v>
      </c>
      <c r="V50" s="13"/>
      <c r="W50" s="13"/>
      <c r="X50" s="13"/>
      <c r="Y50" s="13"/>
      <c r="Z50" s="13"/>
    </row>
    <row r="51">
      <c r="A51" s="8">
        <v>43848.90010416666</v>
      </c>
      <c r="B51" s="9" t="str">
        <f>HYPERLINK("https://twitter.com/wes_wade","@wes_wade")</f>
        <v>@wes_wade</v>
      </c>
      <c r="C51" s="10" t="s">
        <v>275</v>
      </c>
      <c r="D51" s="10" t="s">
        <v>276</v>
      </c>
      <c r="E51" s="9" t="str">
        <f>HYPERLINK("https://twitter.com/wes_wade/status/1218723790827479041","1218723790827479041")</f>
        <v>1218723790827479041</v>
      </c>
      <c r="F51" s="13"/>
      <c r="G51" s="11" t="s">
        <v>277</v>
      </c>
      <c r="H51" s="13"/>
      <c r="I51" s="14">
        <v>0.0</v>
      </c>
      <c r="J51" s="14">
        <v>4.0</v>
      </c>
      <c r="K51" s="9" t="str">
        <f t="shared" ref="K51:K52" si="14">HYPERLINK("http://twitter.com/download/android","Twitter for Android")</f>
        <v>Twitter for Android</v>
      </c>
      <c r="L51" s="15">
        <v>1225.0</v>
      </c>
      <c r="M51" s="15">
        <v>1229.0</v>
      </c>
      <c r="N51" s="15">
        <v>42.0</v>
      </c>
      <c r="O51" s="16"/>
      <c r="P51" s="17">
        <v>41190.944872685184</v>
      </c>
      <c r="Q51" s="10" t="s">
        <v>278</v>
      </c>
      <c r="R51" s="10" t="s">
        <v>279</v>
      </c>
      <c r="S51" s="11" t="s">
        <v>280</v>
      </c>
      <c r="T51" s="13"/>
      <c r="U51" s="18" t="str">
        <f>HYPERLINK("https://pbs.twimg.com/profile_images/1172505383119679488/bE4AnxF0.jpg","View")</f>
        <v>View</v>
      </c>
      <c r="V51" s="13"/>
      <c r="W51" s="13"/>
      <c r="X51" s="13"/>
      <c r="Y51" s="13"/>
      <c r="Z51" s="13"/>
    </row>
    <row r="52">
      <c r="A52" s="8">
        <v>43848.89964120371</v>
      </c>
      <c r="B52" s="9" t="str">
        <f>HYPERLINK("https://twitter.com/FolkersonLori","@FolkersonLori")</f>
        <v>@FolkersonLori</v>
      </c>
      <c r="C52" s="10" t="s">
        <v>281</v>
      </c>
      <c r="D52" s="10" t="s">
        <v>282</v>
      </c>
      <c r="E52" s="9" t="str">
        <f>HYPERLINK("https://twitter.com/FolkersonLori/status/1218723622895923205","1218723622895923205")</f>
        <v>1218723622895923205</v>
      </c>
      <c r="F52" s="11" t="s">
        <v>283</v>
      </c>
      <c r="G52" s="11" t="s">
        <v>284</v>
      </c>
      <c r="H52" s="13"/>
      <c r="I52" s="14">
        <v>0.0</v>
      </c>
      <c r="J52" s="14">
        <v>0.0</v>
      </c>
      <c r="K52" s="9" t="str">
        <f t="shared" si="14"/>
        <v>Twitter for Android</v>
      </c>
      <c r="L52" s="15">
        <v>83.0</v>
      </c>
      <c r="M52" s="15">
        <v>273.0</v>
      </c>
      <c r="N52" s="15">
        <v>3.0</v>
      </c>
      <c r="O52" s="16"/>
      <c r="P52" s="17">
        <v>43517.68300925926</v>
      </c>
      <c r="Q52" s="10" t="s">
        <v>285</v>
      </c>
      <c r="R52" s="10" t="s">
        <v>286</v>
      </c>
      <c r="S52" s="11" t="s">
        <v>287</v>
      </c>
      <c r="T52" s="13"/>
      <c r="U52" s="18" t="str">
        <f>HYPERLINK("https://pbs.twimg.com/profile_images/1217134719923564546/aj3ieNSO.jpg","View")</f>
        <v>View</v>
      </c>
      <c r="V52" s="13"/>
      <c r="W52" s="13"/>
      <c r="X52" s="13"/>
      <c r="Y52" s="13"/>
      <c r="Z52" s="13"/>
    </row>
    <row r="53">
      <c r="A53" s="8">
        <v>43848.89916666667</v>
      </c>
      <c r="B53" s="9" t="str">
        <f>HYPERLINK("https://twitter.com/loselbs_notchad","@loselbs_notchad")</f>
        <v>@loselbs_notchad</v>
      </c>
      <c r="C53" s="10" t="s">
        <v>288</v>
      </c>
      <c r="D53" s="10" t="s">
        <v>289</v>
      </c>
      <c r="E53" s="9" t="str">
        <f>HYPERLINK("https://twitter.com/loselbs_notchad/status/1218723452707696640","1218723452707696640")</f>
        <v>1218723452707696640</v>
      </c>
      <c r="F53" s="13"/>
      <c r="G53" s="12"/>
      <c r="H53" s="13"/>
      <c r="I53" s="14">
        <v>0.0</v>
      </c>
      <c r="J53" s="14">
        <v>0.0</v>
      </c>
      <c r="K53" s="9" t="str">
        <f>HYPERLINK("http://twitter.com/download/iphone","Twitter for iPhone")</f>
        <v>Twitter for iPhone</v>
      </c>
      <c r="L53" s="15">
        <v>0.0</v>
      </c>
      <c r="M53" s="15">
        <v>13.0</v>
      </c>
      <c r="N53" s="15">
        <v>0.0</v>
      </c>
      <c r="O53" s="16"/>
      <c r="P53" s="17">
        <v>43843.95122685185</v>
      </c>
      <c r="Q53" s="10" t="s">
        <v>290</v>
      </c>
      <c r="R53" s="10" t="s">
        <v>291</v>
      </c>
      <c r="S53" s="12"/>
      <c r="T53" s="13"/>
      <c r="U53" s="21" t="s">
        <v>292</v>
      </c>
      <c r="V53" s="13"/>
      <c r="W53" s="13"/>
      <c r="X53" s="13"/>
      <c r="Y53" s="13"/>
      <c r="Z53" s="13"/>
    </row>
    <row r="54">
      <c r="A54" s="8">
        <v>43848.89738425926</v>
      </c>
      <c r="B54" s="9" t="str">
        <f>HYPERLINK("https://twitter.com/HeyDiddleDiddle","@HeyDiddleDiddle")</f>
        <v>@HeyDiddleDiddle</v>
      </c>
      <c r="C54" s="10" t="s">
        <v>263</v>
      </c>
      <c r="D54" s="10" t="s">
        <v>293</v>
      </c>
      <c r="E54" s="9" t="str">
        <f>HYPERLINK("https://twitter.com/HeyDiddleDiddle/status/1218722805845561345","1218722805845561345")</f>
        <v>1218722805845561345</v>
      </c>
      <c r="F54" s="11" t="s">
        <v>294</v>
      </c>
      <c r="G54" s="12"/>
      <c r="H54" s="13"/>
      <c r="I54" s="14">
        <v>0.0</v>
      </c>
      <c r="J54" s="14">
        <v>0.0</v>
      </c>
      <c r="K54" s="9" t="str">
        <f>HYPERLINK("http://www.DynamicTweets.com","Dynamic Tweets")</f>
        <v>Dynamic Tweets</v>
      </c>
      <c r="L54" s="15">
        <v>5623.0</v>
      </c>
      <c r="M54" s="15">
        <v>4639.0</v>
      </c>
      <c r="N54" s="15">
        <v>372.0</v>
      </c>
      <c r="O54" s="16"/>
      <c r="P54" s="17">
        <v>39882.59599537037</v>
      </c>
      <c r="Q54" s="10" t="s">
        <v>266</v>
      </c>
      <c r="R54" s="10" t="s">
        <v>267</v>
      </c>
      <c r="S54" s="11" t="s">
        <v>265</v>
      </c>
      <c r="T54" s="13"/>
      <c r="U54" s="18" t="str">
        <f>HYPERLINK("https://pbs.twimg.com/profile_images/97791737/HDD_PosterAlmostThere.jpg","View")</f>
        <v>View</v>
      </c>
      <c r="V54" s="13"/>
      <c r="W54" s="13"/>
      <c r="X54" s="13"/>
      <c r="Y54" s="13"/>
      <c r="Z54" s="13"/>
    </row>
    <row r="55">
      <c r="A55" s="8">
        <v>43848.897314814814</v>
      </c>
      <c r="B55" s="9" t="str">
        <f>HYPERLINK("https://twitter.com/TheDevinaKaur","@TheDevinaKaur")</f>
        <v>@TheDevinaKaur</v>
      </c>
      <c r="C55" s="10" t="s">
        <v>295</v>
      </c>
      <c r="D55" s="10" t="s">
        <v>296</v>
      </c>
      <c r="E55" s="9" t="str">
        <f>HYPERLINK("https://twitter.com/TheDevinaKaur/status/1218722782919434241","1218722782919434241")</f>
        <v>1218722782919434241</v>
      </c>
      <c r="F55" s="11" t="s">
        <v>297</v>
      </c>
      <c r="G55" s="11" t="s">
        <v>298</v>
      </c>
      <c r="H55" s="13"/>
      <c r="I55" s="14">
        <v>3.0</v>
      </c>
      <c r="J55" s="14">
        <v>2.0</v>
      </c>
      <c r="K55" s="9" t="str">
        <f>HYPERLINK("https://postfity.com","Postfity.com")</f>
        <v>Postfity.com</v>
      </c>
      <c r="L55" s="15">
        <v>7405.0</v>
      </c>
      <c r="M55" s="15">
        <v>3869.0</v>
      </c>
      <c r="N55" s="15">
        <v>37.0</v>
      </c>
      <c r="O55" s="16"/>
      <c r="P55" s="17">
        <v>42815.69490740741</v>
      </c>
      <c r="Q55" s="10" t="s">
        <v>177</v>
      </c>
      <c r="R55" s="10" t="s">
        <v>299</v>
      </c>
      <c r="S55" s="11" t="s">
        <v>297</v>
      </c>
      <c r="T55" s="13"/>
      <c r="U55" s="18" t="str">
        <f>HYPERLINK("https://pbs.twimg.com/profile_images/1147663141389656064/dg9XFyFN.jpg","View")</f>
        <v>View</v>
      </c>
      <c r="V55" s="13"/>
      <c r="W55" s="13"/>
      <c r="X55" s="13"/>
      <c r="Y55" s="13"/>
      <c r="Z55" s="13"/>
    </row>
    <row r="56">
      <c r="A56" s="8">
        <v>43848.89711805555</v>
      </c>
      <c r="B56" s="9" t="str">
        <f>HYPERLINK("https://twitter.com/CarveMyPath","@CarveMyPath")</f>
        <v>@CarveMyPath</v>
      </c>
      <c r="C56" s="10" t="s">
        <v>300</v>
      </c>
      <c r="D56" s="10" t="s">
        <v>301</v>
      </c>
      <c r="E56" s="9" t="str">
        <f>HYPERLINK("https://twitter.com/CarveMyPath/status/1218722710165032960","1218722710165032960")</f>
        <v>1218722710165032960</v>
      </c>
      <c r="F56" s="13"/>
      <c r="G56" s="12"/>
      <c r="H56" s="13"/>
      <c r="I56" s="14">
        <v>0.0</v>
      </c>
      <c r="J56" s="14">
        <v>0.0</v>
      </c>
      <c r="K56" s="9" t="str">
        <f>HYPERLINK("http://twitter.com/download/iphone","Twitter for iPhone")</f>
        <v>Twitter for iPhone</v>
      </c>
      <c r="L56" s="15">
        <v>21.0</v>
      </c>
      <c r="M56" s="15">
        <v>315.0</v>
      </c>
      <c r="N56" s="15">
        <v>0.0</v>
      </c>
      <c r="O56" s="16"/>
      <c r="P56" s="17">
        <v>43832.75545138889</v>
      </c>
      <c r="Q56" s="10" t="s">
        <v>302</v>
      </c>
      <c r="R56" s="10" t="s">
        <v>303</v>
      </c>
      <c r="S56" s="11" t="s">
        <v>304</v>
      </c>
      <c r="T56" s="13"/>
      <c r="U56" s="18" t="str">
        <f>HYPERLINK("https://pbs.twimg.com/profile_images/1212888239952015360/F9JtEvqQ.jpg","View")</f>
        <v>View</v>
      </c>
      <c r="V56" s="13"/>
      <c r="W56" s="13"/>
      <c r="X56" s="13"/>
      <c r="Y56" s="13"/>
      <c r="Z56" s="13"/>
    </row>
    <row r="57">
      <c r="A57" s="8">
        <v>43848.89693287037</v>
      </c>
      <c r="B57" s="9" t="str">
        <f>HYPERLINK("https://twitter.com/JenBell84","@JenBell84")</f>
        <v>@JenBell84</v>
      </c>
      <c r="C57" s="10" t="s">
        <v>305</v>
      </c>
      <c r="D57" s="10" t="s">
        <v>306</v>
      </c>
      <c r="E57" s="9" t="str">
        <f>HYPERLINK("https://twitter.com/JenBell84/status/1218722641718251520","1218722641718251520")</f>
        <v>1218722641718251520</v>
      </c>
      <c r="F57" s="11" t="s">
        <v>307</v>
      </c>
      <c r="G57" s="12"/>
      <c r="H57" s="13"/>
      <c r="I57" s="14">
        <v>0.0</v>
      </c>
      <c r="J57" s="14">
        <v>0.0</v>
      </c>
      <c r="K57" s="9" t="str">
        <f>HYPERLINK("https://mobile.twitter.com","Twitter Web App")</f>
        <v>Twitter Web App</v>
      </c>
      <c r="L57" s="15">
        <v>807.0</v>
      </c>
      <c r="M57" s="15">
        <v>1834.0</v>
      </c>
      <c r="N57" s="15">
        <v>5.0</v>
      </c>
      <c r="O57" s="16"/>
      <c r="P57" s="17">
        <v>41114.66155092593</v>
      </c>
      <c r="Q57" s="10" t="s">
        <v>308</v>
      </c>
      <c r="R57" s="10" t="s">
        <v>309</v>
      </c>
      <c r="S57" s="11" t="s">
        <v>310</v>
      </c>
      <c r="T57" s="13"/>
      <c r="U57" s="18" t="str">
        <f>HYPERLINK("https://pbs.twimg.com/profile_images/1163993268335632384/CPVikjwv.jpg","View")</f>
        <v>View</v>
      </c>
      <c r="V57" s="13"/>
      <c r="W57" s="13"/>
      <c r="X57" s="13"/>
      <c r="Y57" s="13"/>
      <c r="Z57" s="13"/>
    </row>
    <row r="58">
      <c r="A58" s="8">
        <v>43848.89650462963</v>
      </c>
      <c r="B58" s="9" t="str">
        <f>HYPERLINK("https://twitter.com/sagar_kateri91","@sagar_kateri91")</f>
        <v>@sagar_kateri91</v>
      </c>
      <c r="C58" s="10" t="s">
        <v>311</v>
      </c>
      <c r="D58" s="10" t="s">
        <v>312</v>
      </c>
      <c r="E58" s="9" t="str">
        <f>HYPERLINK("https://twitter.com/sagar_kateri91/status/1218722486294106116","1218722486294106116")</f>
        <v>1218722486294106116</v>
      </c>
      <c r="F58" s="13"/>
      <c r="G58" s="11" t="s">
        <v>313</v>
      </c>
      <c r="H58" s="13"/>
      <c r="I58" s="14">
        <v>0.0</v>
      </c>
      <c r="J58" s="14">
        <v>1.0</v>
      </c>
      <c r="K58" s="9" t="str">
        <f t="shared" ref="K58:K59" si="15">HYPERLINK("http://twitter.com/download/android","Twitter for Android")</f>
        <v>Twitter for Android</v>
      </c>
      <c r="L58" s="15">
        <v>31.0</v>
      </c>
      <c r="M58" s="15">
        <v>197.0</v>
      </c>
      <c r="N58" s="15">
        <v>0.0</v>
      </c>
      <c r="O58" s="16"/>
      <c r="P58" s="17">
        <v>43130.095046296294</v>
      </c>
      <c r="Q58" s="12"/>
      <c r="R58" s="10" t="s">
        <v>314</v>
      </c>
      <c r="S58" s="12"/>
      <c r="T58" s="13"/>
      <c r="U58" s="18" t="str">
        <f>HYPERLINK("https://pbs.twimg.com/profile_images/958239710811271168/L5WlDOqw.jpg","View")</f>
        <v>View</v>
      </c>
      <c r="V58" s="13"/>
      <c r="W58" s="13"/>
      <c r="X58" s="13"/>
      <c r="Y58" s="13"/>
      <c r="Z58" s="13"/>
    </row>
    <row r="59">
      <c r="A59" s="8">
        <v>43848.89648148148</v>
      </c>
      <c r="B59" s="9" t="str">
        <f>HYPERLINK("https://twitter.com/RDernoga","@RDernoga")</f>
        <v>@RDernoga</v>
      </c>
      <c r="C59" s="10" t="s">
        <v>315</v>
      </c>
      <c r="D59" s="10" t="s">
        <v>316</v>
      </c>
      <c r="E59" s="9" t="str">
        <f>HYPERLINK("https://twitter.com/RDernoga/status/1218722480480645120","1218722480480645120")</f>
        <v>1218722480480645120</v>
      </c>
      <c r="F59" s="13"/>
      <c r="G59" s="12"/>
      <c r="H59" s="13"/>
      <c r="I59" s="14">
        <v>0.0</v>
      </c>
      <c r="J59" s="14">
        <v>0.0</v>
      </c>
      <c r="K59" s="9" t="str">
        <f t="shared" si="15"/>
        <v>Twitter for Android</v>
      </c>
      <c r="L59" s="15">
        <v>27.0</v>
      </c>
      <c r="M59" s="15">
        <v>31.0</v>
      </c>
      <c r="N59" s="15">
        <v>0.0</v>
      </c>
      <c r="O59" s="16"/>
      <c r="P59" s="17">
        <v>43067.85508101852</v>
      </c>
      <c r="Q59" s="12"/>
      <c r="R59" s="10" t="s">
        <v>317</v>
      </c>
      <c r="S59" s="12"/>
      <c r="T59" s="13"/>
      <c r="U59" s="18" t="str">
        <f>HYPERLINK("https://pbs.twimg.com/profile_images/1183954554347499520/TLTMuZVw.jpg","View")</f>
        <v>View</v>
      </c>
      <c r="V59" s="13"/>
      <c r="W59" s="13"/>
      <c r="X59" s="13"/>
      <c r="Y59" s="13"/>
      <c r="Z59" s="13"/>
    </row>
    <row r="60">
      <c r="A60" s="8">
        <v>43848.89586805555</v>
      </c>
      <c r="B60" s="9" t="str">
        <f>HYPERLINK("https://twitter.com/SarahGeringer","@SarahGeringer")</f>
        <v>@SarahGeringer</v>
      </c>
      <c r="C60" s="10" t="s">
        <v>318</v>
      </c>
      <c r="D60" s="10" t="s">
        <v>319</v>
      </c>
      <c r="E60" s="9" t="str">
        <f>HYPERLINK("https://twitter.com/SarahGeringer/status/1218722256274194433","1218722256274194433")</f>
        <v>1218722256274194433</v>
      </c>
      <c r="F60" s="11" t="s">
        <v>320</v>
      </c>
      <c r="G60" s="11" t="s">
        <v>321</v>
      </c>
      <c r="H60" s="13"/>
      <c r="I60" s="14">
        <v>1.0</v>
      </c>
      <c r="J60" s="14">
        <v>1.0</v>
      </c>
      <c r="K60" s="9" t="str">
        <f>HYPERLINK("https://buffer.com","Buffer")</f>
        <v>Buffer</v>
      </c>
      <c r="L60" s="15">
        <v>7320.0</v>
      </c>
      <c r="M60" s="15">
        <v>5487.0</v>
      </c>
      <c r="N60" s="15">
        <v>93.0</v>
      </c>
      <c r="O60" s="16"/>
      <c r="P60" s="17">
        <v>42586.35487268519</v>
      </c>
      <c r="Q60" s="10" t="s">
        <v>322</v>
      </c>
      <c r="R60" s="10" t="s">
        <v>323</v>
      </c>
      <c r="S60" s="11" t="s">
        <v>324</v>
      </c>
      <c r="T60" s="13"/>
      <c r="U60" s="18" t="str">
        <f>HYPERLINK("https://pbs.twimg.com/profile_images/791210623694622720/DB4JNCTo.jpg","View")</f>
        <v>View</v>
      </c>
      <c r="V60" s="13"/>
      <c r="W60" s="13"/>
      <c r="X60" s="13"/>
      <c r="Y60" s="13"/>
      <c r="Z60" s="13"/>
    </row>
    <row r="61">
      <c r="A61" s="8">
        <v>43848.89585648148</v>
      </c>
      <c r="B61" s="9" t="str">
        <f>HYPERLINK("https://twitter.com/wysabuddy","@wysabuddy")</f>
        <v>@wysabuddy</v>
      </c>
      <c r="C61" s="10" t="s">
        <v>325</v>
      </c>
      <c r="D61" s="10" t="s">
        <v>326</v>
      </c>
      <c r="E61" s="9" t="str">
        <f>HYPERLINK("https://twitter.com/wysabuddy/status/1218722254172971008","1218722254172971008")</f>
        <v>1218722254172971008</v>
      </c>
      <c r="F61" s="11" t="s">
        <v>327</v>
      </c>
      <c r="G61" s="11" t="s">
        <v>328</v>
      </c>
      <c r="H61" s="13"/>
      <c r="I61" s="14">
        <v>1.0</v>
      </c>
      <c r="J61" s="14">
        <v>0.0</v>
      </c>
      <c r="K61" s="9" t="str">
        <f>HYPERLINK("https://sproutsocial.com","Sprout Social")</f>
        <v>Sprout Social</v>
      </c>
      <c r="L61" s="15">
        <v>3945.0</v>
      </c>
      <c r="M61" s="15">
        <v>981.0</v>
      </c>
      <c r="N61" s="15">
        <v>163.0</v>
      </c>
      <c r="O61" s="16"/>
      <c r="P61" s="17">
        <v>41735.31763888889</v>
      </c>
      <c r="Q61" s="10" t="s">
        <v>329</v>
      </c>
      <c r="R61" s="10" t="s">
        <v>330</v>
      </c>
      <c r="S61" s="11" t="s">
        <v>327</v>
      </c>
      <c r="T61" s="13"/>
      <c r="U61" s="18" t="str">
        <f>HYPERLINK("https://pbs.twimg.com/profile_images/986922852900159488/b-suTNS6.jpg","View")</f>
        <v>View</v>
      </c>
      <c r="V61" s="13"/>
      <c r="W61" s="13"/>
      <c r="X61" s="13"/>
      <c r="Y61" s="13"/>
      <c r="Z61" s="13"/>
    </row>
    <row r="62">
      <c r="A62" s="8">
        <v>43848.89466435185</v>
      </c>
      <c r="B62" s="9" t="str">
        <f>HYPERLINK("https://twitter.com/RDernoga","@RDernoga")</f>
        <v>@RDernoga</v>
      </c>
      <c r="C62" s="10" t="s">
        <v>315</v>
      </c>
      <c r="D62" s="10" t="s">
        <v>331</v>
      </c>
      <c r="E62" s="9" t="str">
        <f>HYPERLINK("https://twitter.com/RDernoga/status/1218721818954960901","1218721818954960901")</f>
        <v>1218721818954960901</v>
      </c>
      <c r="F62" s="13"/>
      <c r="G62" s="12"/>
      <c r="H62" s="13"/>
      <c r="I62" s="14">
        <v>0.0</v>
      </c>
      <c r="J62" s="14">
        <v>0.0</v>
      </c>
      <c r="K62" s="9" t="str">
        <f>HYPERLINK("http://twitter.com/download/android","Twitter for Android")</f>
        <v>Twitter for Android</v>
      </c>
      <c r="L62" s="15">
        <v>27.0</v>
      </c>
      <c r="M62" s="15">
        <v>31.0</v>
      </c>
      <c r="N62" s="15">
        <v>0.0</v>
      </c>
      <c r="O62" s="16"/>
      <c r="P62" s="17">
        <v>43067.85508101852</v>
      </c>
      <c r="Q62" s="12"/>
      <c r="R62" s="10" t="s">
        <v>317</v>
      </c>
      <c r="S62" s="12"/>
      <c r="T62" s="13"/>
      <c r="U62" s="18" t="str">
        <f>HYPERLINK("https://pbs.twimg.com/profile_images/1183954554347499520/TLTMuZVw.jpg","View")</f>
        <v>View</v>
      </c>
      <c r="V62" s="13"/>
      <c r="W62" s="13"/>
      <c r="X62" s="13"/>
      <c r="Y62" s="13"/>
      <c r="Z62" s="13"/>
    </row>
    <row r="63">
      <c r="A63" s="8">
        <v>43848.89465277777</v>
      </c>
      <c r="B63" s="9" t="str">
        <f>HYPERLINK("https://twitter.com/Mmeisacote","@Mmeisacote")</f>
        <v>@Mmeisacote</v>
      </c>
      <c r="C63" s="10" t="s">
        <v>332</v>
      </c>
      <c r="D63" s="10" t="s">
        <v>333</v>
      </c>
      <c r="E63" s="9" t="str">
        <f>HYPERLINK("https://twitter.com/Mmeisacote/status/1218721817331781637","1218721817331781637")</f>
        <v>1218721817331781637</v>
      </c>
      <c r="F63" s="11" t="s">
        <v>334</v>
      </c>
      <c r="G63" s="12"/>
      <c r="H63" s="13"/>
      <c r="I63" s="14">
        <v>0.0</v>
      </c>
      <c r="J63" s="14">
        <v>0.0</v>
      </c>
      <c r="K63" s="9" t="str">
        <f>HYPERLINK("http://twitter.com/download/iphone","Twitter for iPhone")</f>
        <v>Twitter for iPhone</v>
      </c>
      <c r="L63" s="15">
        <v>1548.0</v>
      </c>
      <c r="M63" s="15">
        <v>2087.0</v>
      </c>
      <c r="N63" s="15">
        <v>162.0</v>
      </c>
      <c r="O63" s="16"/>
      <c r="P63" s="17">
        <v>42091.04837962963</v>
      </c>
      <c r="Q63" s="10" t="s">
        <v>335</v>
      </c>
      <c r="R63" s="10" t="s">
        <v>336</v>
      </c>
      <c r="S63" s="12"/>
      <c r="T63" s="13"/>
      <c r="U63" s="18" t="str">
        <f>HYPERLINK("https://pbs.twimg.com/profile_images/581685105141264384/_eI3PnnJ.jpg","View")</f>
        <v>View</v>
      </c>
      <c r="V63" s="13"/>
      <c r="W63" s="13"/>
      <c r="X63" s="13"/>
      <c r="Y63" s="13"/>
      <c r="Z63" s="13"/>
    </row>
    <row r="64">
      <c r="A64" s="8">
        <v>43848.89398148148</v>
      </c>
      <c r="B64" s="9" t="str">
        <f>HYPERLINK("https://twitter.com/nickengerer","@nickengerer")</f>
        <v>@nickengerer</v>
      </c>
      <c r="C64" s="10" t="s">
        <v>337</v>
      </c>
      <c r="D64" s="10" t="s">
        <v>338</v>
      </c>
      <c r="E64" s="9" t="str">
        <f>HYPERLINK("https://twitter.com/nickengerer/status/1218721572451602432","1218721572451602432")</f>
        <v>1218721572451602432</v>
      </c>
      <c r="F64" s="13"/>
      <c r="G64" s="12"/>
      <c r="H64" s="13"/>
      <c r="I64" s="14">
        <v>0.0</v>
      </c>
      <c r="J64" s="14">
        <v>0.0</v>
      </c>
      <c r="K64" s="9" t="str">
        <f>HYPERLINK("http://twitter.com/#!/download/ipad","Twitter for iPad")</f>
        <v>Twitter for iPad</v>
      </c>
      <c r="L64" s="15">
        <v>1181.0</v>
      </c>
      <c r="M64" s="15">
        <v>969.0</v>
      </c>
      <c r="N64" s="15">
        <v>99.0</v>
      </c>
      <c r="O64" s="16"/>
      <c r="P64" s="17">
        <v>41067.02836805556</v>
      </c>
      <c r="Q64" s="10" t="s">
        <v>339</v>
      </c>
      <c r="R64" s="10" t="s">
        <v>340</v>
      </c>
      <c r="S64" s="11" t="s">
        <v>341</v>
      </c>
      <c r="T64" s="13"/>
      <c r="U64" s="18" t="str">
        <f>HYPERLINK("https://pbs.twimg.com/profile_images/1177424315546890240/e5IsBpgc.jpg","View")</f>
        <v>View</v>
      </c>
      <c r="V64" s="13"/>
      <c r="W64" s="13"/>
      <c r="X64" s="13"/>
      <c r="Y64" s="13"/>
      <c r="Z64" s="13"/>
    </row>
    <row r="65">
      <c r="A65" s="8">
        <v>43848.89383101852</v>
      </c>
      <c r="B65" s="9" t="str">
        <f>HYPERLINK("https://twitter.com/HedgyT","@HedgyT")</f>
        <v>@HedgyT</v>
      </c>
      <c r="C65" s="10" t="s">
        <v>342</v>
      </c>
      <c r="D65" s="10" t="s">
        <v>343</v>
      </c>
      <c r="E65" s="9" t="str">
        <f>HYPERLINK("https://twitter.com/HedgyT/status/1218721517082742784","1218721517082742784")</f>
        <v>1218721517082742784</v>
      </c>
      <c r="F65" s="13"/>
      <c r="G65" s="11" t="s">
        <v>344</v>
      </c>
      <c r="H65" s="13"/>
      <c r="I65" s="14">
        <v>0.0</v>
      </c>
      <c r="J65" s="14">
        <v>1.0</v>
      </c>
      <c r="K65" s="9" t="str">
        <f t="shared" ref="K65:K66" si="16">HYPERLINK("http://twitter.com/download/android","Twitter for Android")</f>
        <v>Twitter for Android</v>
      </c>
      <c r="L65" s="15">
        <v>82.0</v>
      </c>
      <c r="M65" s="15">
        <v>101.0</v>
      </c>
      <c r="N65" s="15">
        <v>0.0</v>
      </c>
      <c r="O65" s="16"/>
      <c r="P65" s="17">
        <v>43702.73546296296</v>
      </c>
      <c r="Q65" s="10" t="s">
        <v>24</v>
      </c>
      <c r="R65" s="10" t="s">
        <v>345</v>
      </c>
      <c r="S65" s="12"/>
      <c r="T65" s="13"/>
      <c r="U65" s="18" t="str">
        <f>HYPERLINK("https://pbs.twimg.com/profile_images/1165740978084491265/Vn_WhFoI.jpg","View")</f>
        <v>View</v>
      </c>
      <c r="V65" s="13"/>
      <c r="W65" s="13"/>
      <c r="X65" s="13"/>
      <c r="Y65" s="13"/>
      <c r="Z65" s="13"/>
    </row>
    <row r="66">
      <c r="A66" s="8">
        <v>43848.89268518519</v>
      </c>
      <c r="B66" s="9" t="str">
        <f>HYPERLINK("https://twitter.com/PsycamorePsych","@PsycamorePsych")</f>
        <v>@PsycamorePsych</v>
      </c>
      <c r="C66" s="10" t="s">
        <v>346</v>
      </c>
      <c r="D66" s="10" t="s">
        <v>347</v>
      </c>
      <c r="E66" s="9" t="str">
        <f>HYPERLINK("https://twitter.com/PsycamorePsych/status/1218721103922761730","1218721103922761730")</f>
        <v>1218721103922761730</v>
      </c>
      <c r="F66" s="13"/>
      <c r="G66" s="11" t="s">
        <v>348</v>
      </c>
      <c r="H66" s="13"/>
      <c r="I66" s="14">
        <v>0.0</v>
      </c>
      <c r="J66" s="14">
        <v>0.0</v>
      </c>
      <c r="K66" s="9" t="str">
        <f t="shared" si="16"/>
        <v>Twitter for Android</v>
      </c>
      <c r="L66" s="15">
        <v>17.0</v>
      </c>
      <c r="M66" s="15">
        <v>66.0</v>
      </c>
      <c r="N66" s="15">
        <v>0.0</v>
      </c>
      <c r="O66" s="16"/>
      <c r="P66" s="17">
        <v>42767.43880787037</v>
      </c>
      <c r="Q66" s="10" t="s">
        <v>349</v>
      </c>
      <c r="R66" s="10" t="s">
        <v>350</v>
      </c>
      <c r="S66" s="11" t="s">
        <v>351</v>
      </c>
      <c r="T66" s="13"/>
      <c r="U66" s="18" t="str">
        <f>HYPERLINK("https://pbs.twimg.com/profile_images/1192440213500547072/I8tGZAPB.jpg","View")</f>
        <v>View</v>
      </c>
      <c r="V66" s="13"/>
      <c r="W66" s="13"/>
      <c r="X66" s="13"/>
      <c r="Y66" s="13"/>
      <c r="Z66" s="13"/>
    </row>
    <row r="67">
      <c r="A67" s="8">
        <v>43848.892280092594</v>
      </c>
      <c r="B67" s="9" t="str">
        <f>HYPERLINK("https://twitter.com/prathyushspeaks","@prathyushspeaks")</f>
        <v>@prathyushspeaks</v>
      </c>
      <c r="C67" s="10" t="s">
        <v>352</v>
      </c>
      <c r="D67" s="10" t="s">
        <v>353</v>
      </c>
      <c r="E67" s="9" t="str">
        <f>HYPERLINK("https://twitter.com/prathyushspeaks/status/1218720956803244033","1218720956803244033")</f>
        <v>1218720956803244033</v>
      </c>
      <c r="F67" s="13"/>
      <c r="G67" s="12"/>
      <c r="H67" s="13"/>
      <c r="I67" s="14">
        <v>0.0</v>
      </c>
      <c r="J67" s="14">
        <v>0.0</v>
      </c>
      <c r="K67" s="9" t="str">
        <f>HYPERLINK("http://twitter.com/download/iphone","Twitter for iPhone")</f>
        <v>Twitter for iPhone</v>
      </c>
      <c r="L67" s="15">
        <v>1352.0</v>
      </c>
      <c r="M67" s="15">
        <v>485.0</v>
      </c>
      <c r="N67" s="15">
        <v>3.0</v>
      </c>
      <c r="O67" s="16"/>
      <c r="P67" s="17">
        <v>42934.48609953704</v>
      </c>
      <c r="Q67" s="10" t="s">
        <v>354</v>
      </c>
      <c r="R67" s="10" t="s">
        <v>355</v>
      </c>
      <c r="S67" s="11" t="s">
        <v>356</v>
      </c>
      <c r="T67" s="13"/>
      <c r="U67" s="18" t="str">
        <f>HYPERLINK("https://pbs.twimg.com/profile_images/1190826114144444417/g1HusoaX.jpg","View")</f>
        <v>View</v>
      </c>
      <c r="V67" s="13"/>
      <c r="W67" s="13"/>
      <c r="X67" s="13"/>
      <c r="Y67" s="13"/>
      <c r="Z67" s="13"/>
    </row>
    <row r="68">
      <c r="A68" s="8">
        <v>43848.89150462963</v>
      </c>
      <c r="B68" s="9" t="str">
        <f>HYPERLINK("https://twitter.com/ObtainingBliss","@ObtainingBliss")</f>
        <v>@ObtainingBliss</v>
      </c>
      <c r="C68" s="10" t="s">
        <v>357</v>
      </c>
      <c r="D68" s="10" t="s">
        <v>358</v>
      </c>
      <c r="E68" s="9" t="str">
        <f>HYPERLINK("https://twitter.com/ObtainingBliss/status/1218720675374030851","1218720675374030851")</f>
        <v>1218720675374030851</v>
      </c>
      <c r="F68" s="11" t="s">
        <v>359</v>
      </c>
      <c r="G68" s="12"/>
      <c r="H68" s="13"/>
      <c r="I68" s="14">
        <v>0.0</v>
      </c>
      <c r="J68" s="14">
        <v>0.0</v>
      </c>
      <c r="K68" s="9" t="str">
        <f>HYPERLINK("http://instagram.com","Instagram")</f>
        <v>Instagram</v>
      </c>
      <c r="L68" s="15">
        <v>10120.0</v>
      </c>
      <c r="M68" s="15">
        <v>10569.0</v>
      </c>
      <c r="N68" s="15">
        <v>57.0</v>
      </c>
      <c r="O68" s="16"/>
      <c r="P68" s="17">
        <v>42794.716631944444</v>
      </c>
      <c r="Q68" s="10" t="s">
        <v>360</v>
      </c>
      <c r="R68" s="10" t="s">
        <v>361</v>
      </c>
      <c r="S68" s="11" t="s">
        <v>362</v>
      </c>
      <c r="T68" s="13"/>
      <c r="U68" s="18" t="str">
        <f>HYPERLINK("https://pbs.twimg.com/profile_images/1050144118427406336/rRuUcchk.jpg","View")</f>
        <v>View</v>
      </c>
      <c r="V68" s="13"/>
      <c r="W68" s="13"/>
      <c r="X68" s="13"/>
      <c r="Y68" s="13"/>
      <c r="Z68" s="13"/>
    </row>
    <row r="69">
      <c r="A69" s="8">
        <v>43848.891284722224</v>
      </c>
      <c r="B69" s="9" t="str">
        <f>HYPERLINK("https://twitter.com/Peacelovetif","@Peacelovetif")</f>
        <v>@Peacelovetif</v>
      </c>
      <c r="C69" s="10" t="s">
        <v>363</v>
      </c>
      <c r="D69" s="10" t="s">
        <v>364</v>
      </c>
      <c r="E69" s="9" t="str">
        <f>HYPERLINK("https://twitter.com/Peacelovetif/status/1218720596839800832","1218720596839800832")</f>
        <v>1218720596839800832</v>
      </c>
      <c r="F69" s="13"/>
      <c r="G69" s="12"/>
      <c r="H69" s="13"/>
      <c r="I69" s="14">
        <v>0.0</v>
      </c>
      <c r="J69" s="14">
        <v>0.0</v>
      </c>
      <c r="K69" s="9" t="str">
        <f>HYPERLINK("https://mobile.twitter.com","Twitter Web App")</f>
        <v>Twitter Web App</v>
      </c>
      <c r="L69" s="15">
        <v>953.0</v>
      </c>
      <c r="M69" s="15">
        <v>854.0</v>
      </c>
      <c r="N69" s="15">
        <v>5.0</v>
      </c>
      <c r="O69" s="16"/>
      <c r="P69" s="17">
        <v>39929.51813657407</v>
      </c>
      <c r="Q69" s="12"/>
      <c r="R69" s="10" t="s">
        <v>365</v>
      </c>
      <c r="S69" s="13"/>
      <c r="T69" s="13"/>
      <c r="U69" s="18" t="str">
        <f>HYPERLINK("https://pbs.twimg.com/profile_images/1169077636259356672/mS4GXtT8.jpg","View")</f>
        <v>View</v>
      </c>
      <c r="V69" s="13"/>
      <c r="W69" s="13"/>
      <c r="X69" s="13"/>
      <c r="Y69" s="13"/>
      <c r="Z69" s="13"/>
    </row>
    <row r="70">
      <c r="A70" s="8">
        <v>43848.88957175926</v>
      </c>
      <c r="B70" s="9" t="str">
        <f>HYPERLINK("https://twitter.com/EMSofVirginia","@EMSofVirginia")</f>
        <v>@EMSofVirginia</v>
      </c>
      <c r="C70" s="10" t="s">
        <v>366</v>
      </c>
      <c r="D70" s="10" t="s">
        <v>367</v>
      </c>
      <c r="E70" s="9" t="str">
        <f>HYPERLINK("https://twitter.com/EMSofVirginia/status/1218719973348122625","1218719973348122625")</f>
        <v>1218719973348122625</v>
      </c>
      <c r="F70" s="13"/>
      <c r="G70" s="11" t="s">
        <v>368</v>
      </c>
      <c r="H70" s="13"/>
      <c r="I70" s="14">
        <v>0.0</v>
      </c>
      <c r="J70" s="14">
        <v>0.0</v>
      </c>
      <c r="K70" s="9" t="str">
        <f>HYPERLINK("https://about.twitter.com/products/tweetdeck","TweetDeck")</f>
        <v>TweetDeck</v>
      </c>
      <c r="L70" s="15">
        <v>135.0</v>
      </c>
      <c r="M70" s="15">
        <v>84.0</v>
      </c>
      <c r="N70" s="15">
        <v>8.0</v>
      </c>
      <c r="O70" s="16"/>
      <c r="P70" s="17">
        <v>41766.48532407408</v>
      </c>
      <c r="Q70" s="10" t="s">
        <v>369</v>
      </c>
      <c r="R70" s="10" t="s">
        <v>370</v>
      </c>
      <c r="S70" s="11" t="s">
        <v>371</v>
      </c>
      <c r="T70" s="13"/>
      <c r="U70" s="18" t="str">
        <f>HYPERLINK("https://pbs.twimg.com/profile_images/982392643907997696/-YSqvMRW.jpg","View")</f>
        <v>View</v>
      </c>
      <c r="V70" s="13"/>
      <c r="W70" s="13"/>
      <c r="X70" s="13"/>
      <c r="Y70" s="13"/>
      <c r="Z70" s="13"/>
    </row>
    <row r="71">
      <c r="A71" s="8">
        <v>43848.88866898148</v>
      </c>
      <c r="B71" s="9" t="str">
        <f>HYPERLINK("https://twitter.com/guzmannutrition","@guzmannutrition")</f>
        <v>@guzmannutrition</v>
      </c>
      <c r="C71" s="10" t="s">
        <v>372</v>
      </c>
      <c r="D71" s="10" t="s">
        <v>373</v>
      </c>
      <c r="E71" s="9" t="str">
        <f>HYPERLINK("https://twitter.com/guzmannutrition/status/1218719646561591296","1218719646561591296")</f>
        <v>1218719646561591296</v>
      </c>
      <c r="F71" s="11" t="s">
        <v>374</v>
      </c>
      <c r="G71" s="12"/>
      <c r="H71" s="13"/>
      <c r="I71" s="14">
        <v>0.0</v>
      </c>
      <c r="J71" s="14">
        <v>0.0</v>
      </c>
      <c r="K71" s="9" t="str">
        <f>HYPERLINK("https://mobile.twitter.com","Twitter Web App")</f>
        <v>Twitter Web App</v>
      </c>
      <c r="L71" s="15">
        <v>4524.0</v>
      </c>
      <c r="M71" s="15">
        <v>1245.0</v>
      </c>
      <c r="N71" s="15">
        <v>94.0</v>
      </c>
      <c r="O71" s="16"/>
      <c r="P71" s="17">
        <v>40632.093935185185</v>
      </c>
      <c r="Q71" s="10" t="s">
        <v>375</v>
      </c>
      <c r="R71" s="10" t="s">
        <v>376</v>
      </c>
      <c r="S71" s="11" t="s">
        <v>377</v>
      </c>
      <c r="T71" s="13"/>
      <c r="U71" s="18" t="str">
        <f>HYPERLINK("https://pbs.twimg.com/profile_images/1212117736102518784/IwGZM3S3.jpg","View")</f>
        <v>View</v>
      </c>
      <c r="V71" s="13"/>
      <c r="W71" s="13"/>
      <c r="X71" s="13"/>
      <c r="Y71" s="13"/>
      <c r="Z71" s="13"/>
    </row>
    <row r="72">
      <c r="A72" s="8">
        <v>43848.88547453703</v>
      </c>
      <c r="B72" s="9" t="str">
        <f>HYPERLINK("https://twitter.com/ThePaintedBrain","@ThePaintedBrain")</f>
        <v>@ThePaintedBrain</v>
      </c>
      <c r="C72" s="10" t="s">
        <v>378</v>
      </c>
      <c r="D72" s="10" t="s">
        <v>379</v>
      </c>
      <c r="E72" s="9" t="str">
        <f>HYPERLINK("https://twitter.com/ThePaintedBrain/status/1218718489411756032","1218718489411756032")</f>
        <v>1218718489411756032</v>
      </c>
      <c r="F72" s="11" t="s">
        <v>380</v>
      </c>
      <c r="G72" s="11" t="s">
        <v>381</v>
      </c>
      <c r="H72" s="13"/>
      <c r="I72" s="14">
        <v>1.0</v>
      </c>
      <c r="J72" s="14">
        <v>2.0</v>
      </c>
      <c r="K72" s="9" t="str">
        <f>HYPERLINK("https://www.hootsuite.com","Hootsuite Inc.")</f>
        <v>Hootsuite Inc.</v>
      </c>
      <c r="L72" s="15">
        <v>29723.0</v>
      </c>
      <c r="M72" s="15">
        <v>13694.0</v>
      </c>
      <c r="N72" s="15">
        <v>390.0</v>
      </c>
      <c r="O72" s="16"/>
      <c r="P72" s="17">
        <v>41464.989016203705</v>
      </c>
      <c r="Q72" s="10" t="s">
        <v>382</v>
      </c>
      <c r="R72" s="10" t="s">
        <v>383</v>
      </c>
      <c r="S72" s="11" t="s">
        <v>384</v>
      </c>
      <c r="T72" s="13"/>
      <c r="U72" s="18" t="str">
        <f>HYPERLINK("https://pbs.twimg.com/profile_images/978901732158857216/ME-a_ZI2.jpg","View")</f>
        <v>View</v>
      </c>
      <c r="V72" s="13"/>
      <c r="W72" s="13"/>
      <c r="X72" s="13"/>
      <c r="Y72" s="13"/>
      <c r="Z72" s="13"/>
    </row>
    <row r="73">
      <c r="A73" s="8">
        <v>43848.885358796295</v>
      </c>
      <c r="B73" s="9" t="str">
        <f>HYPERLINK("https://twitter.com/drpokea","@drpokea")</f>
        <v>@drpokea</v>
      </c>
      <c r="C73" s="10" t="s">
        <v>385</v>
      </c>
      <c r="D73" s="10" t="s">
        <v>386</v>
      </c>
      <c r="E73" s="9" t="str">
        <f>HYPERLINK("https://twitter.com/drpokea/status/1218718447179386880","1218718447179386880")</f>
        <v>1218718447179386880</v>
      </c>
      <c r="F73" s="11" t="s">
        <v>387</v>
      </c>
      <c r="G73" s="12"/>
      <c r="H73" s="13"/>
      <c r="I73" s="14">
        <v>1.0</v>
      </c>
      <c r="J73" s="14">
        <v>0.0</v>
      </c>
      <c r="K73" s="9" t="str">
        <f>HYPERLINK("https://apps.twitter.com","TwitterHelper4John")</f>
        <v>TwitterHelper4John</v>
      </c>
      <c r="L73" s="15">
        <v>10050.0</v>
      </c>
      <c r="M73" s="15">
        <v>3846.0</v>
      </c>
      <c r="N73" s="15">
        <v>409.0</v>
      </c>
      <c r="O73" s="16"/>
      <c r="P73" s="17">
        <v>41994.369722222225</v>
      </c>
      <c r="Q73" s="10" t="s">
        <v>388</v>
      </c>
      <c r="R73" s="10" t="s">
        <v>389</v>
      </c>
      <c r="S73" s="11" t="s">
        <v>390</v>
      </c>
      <c r="T73" s="13"/>
      <c r="U73" s="18" t="str">
        <f>HYPERLINK("https://pbs.twimg.com/profile_images/546664706165841921/SP4ZJXOO.jpeg","View")</f>
        <v>View</v>
      </c>
      <c r="V73" s="13"/>
      <c r="W73" s="13"/>
      <c r="X73" s="13"/>
      <c r="Y73" s="13"/>
      <c r="Z73" s="13"/>
    </row>
    <row r="74">
      <c r="A74" s="8">
        <v>43848.88511574074</v>
      </c>
      <c r="B74" s="9" t="str">
        <f>HYPERLINK("https://twitter.com/HarnessMag","@HarnessMag")</f>
        <v>@HarnessMag</v>
      </c>
      <c r="C74" s="10" t="s">
        <v>391</v>
      </c>
      <c r="D74" s="10" t="s">
        <v>392</v>
      </c>
      <c r="E74" s="9" t="str">
        <f>HYPERLINK("https://twitter.com/HarnessMag/status/1218718358582984706","1218718358582984706")</f>
        <v>1218718358582984706</v>
      </c>
      <c r="F74" s="11" t="s">
        <v>393</v>
      </c>
      <c r="G74" s="12"/>
      <c r="H74" s="13"/>
      <c r="I74" s="14">
        <v>1.0</v>
      </c>
      <c r="J74" s="14">
        <v>0.0</v>
      </c>
      <c r="K74" s="9" t="str">
        <f>HYPERLINK("https://mobile.twitter.com","Twitter Web App")</f>
        <v>Twitter Web App</v>
      </c>
      <c r="L74" s="15">
        <v>954.0</v>
      </c>
      <c r="M74" s="15">
        <v>2132.0</v>
      </c>
      <c r="N74" s="15">
        <v>12.0</v>
      </c>
      <c r="O74" s="16"/>
      <c r="P74" s="17">
        <v>42611.40864583333</v>
      </c>
      <c r="Q74" s="10" t="s">
        <v>394</v>
      </c>
      <c r="R74" s="10" t="s">
        <v>395</v>
      </c>
      <c r="S74" s="11" t="s">
        <v>396</v>
      </c>
      <c r="T74" s="13"/>
      <c r="U74" s="18" t="str">
        <f>HYPERLINK("https://pbs.twimg.com/profile_images/1196984170137968647/TytkdtMz.jpg","View")</f>
        <v>View</v>
      </c>
      <c r="V74" s="13"/>
      <c r="W74" s="13"/>
      <c r="X74" s="13"/>
      <c r="Y74" s="13"/>
      <c r="Z74" s="13"/>
    </row>
    <row r="75">
      <c r="A75" s="8">
        <v>43848.88466435185</v>
      </c>
      <c r="B75" s="9" t="str">
        <f>HYPERLINK("https://twitter.com/LimboAnonymous","@LimboAnonymous")</f>
        <v>@LimboAnonymous</v>
      </c>
      <c r="C75" s="10" t="s">
        <v>397</v>
      </c>
      <c r="D75" s="10" t="s">
        <v>398</v>
      </c>
      <c r="E75" s="9" t="str">
        <f>HYPERLINK("https://twitter.com/LimboAnonymous/status/1218718196783624194","1218718196783624194")</f>
        <v>1218718196783624194</v>
      </c>
      <c r="F75" s="13"/>
      <c r="G75" s="12"/>
      <c r="H75" s="13"/>
      <c r="I75" s="14">
        <v>1.0</v>
      </c>
      <c r="J75" s="14">
        <v>0.0</v>
      </c>
      <c r="K75" s="9" t="str">
        <f>HYPERLINK("http://twitter.com/download/android","Twitter for Android")</f>
        <v>Twitter for Android</v>
      </c>
      <c r="L75" s="15">
        <v>0.0</v>
      </c>
      <c r="M75" s="15">
        <v>60.0</v>
      </c>
      <c r="N75" s="15">
        <v>0.0</v>
      </c>
      <c r="O75" s="16"/>
      <c r="P75" s="17">
        <v>43720.96135416666</v>
      </c>
      <c r="Q75" s="12"/>
      <c r="R75" s="10" t="s">
        <v>399</v>
      </c>
      <c r="S75" s="13"/>
      <c r="T75" s="13"/>
      <c r="U75" s="18" t="str">
        <f>HYPERLINK("https://pbs.twimg.com/profile_images/1195112764534140931/ZOj9VBl5.jpg","View")</f>
        <v>View</v>
      </c>
      <c r="V75" s="13"/>
      <c r="W75" s="13"/>
      <c r="X75" s="13"/>
      <c r="Y75" s="13"/>
      <c r="Z75" s="13"/>
    </row>
    <row r="76">
      <c r="A76" s="8">
        <v>43848.88416666667</v>
      </c>
      <c r="B76" s="9" t="str">
        <f>HYPERLINK("https://twitter.com/LatestNewsAU","@LatestNewsAU")</f>
        <v>@LatestNewsAU</v>
      </c>
      <c r="C76" s="11" t="s">
        <v>400</v>
      </c>
      <c r="D76" s="10" t="s">
        <v>401</v>
      </c>
      <c r="E76" s="9" t="str">
        <f>HYPERLINK("https://twitter.com/LatestNewsAU/status/1218718016080232448","1218718016080232448")</f>
        <v>1218718016080232448</v>
      </c>
      <c r="F76" s="11" t="s">
        <v>402</v>
      </c>
      <c r="G76" s="11" t="s">
        <v>403</v>
      </c>
      <c r="H76" s="13"/>
      <c r="I76" s="14">
        <v>4.0</v>
      </c>
      <c r="J76" s="14">
        <v>1.0</v>
      </c>
      <c r="K76" s="9" t="str">
        <f>HYPERLINK("https://mobile.twitter.com","Twitter Web App")</f>
        <v>Twitter Web App</v>
      </c>
      <c r="L76" s="15">
        <v>3750.0</v>
      </c>
      <c r="M76" s="15">
        <v>3141.0</v>
      </c>
      <c r="N76" s="15">
        <v>122.0</v>
      </c>
      <c r="O76" s="16"/>
      <c r="P76" s="17">
        <v>42050.339097222226</v>
      </c>
      <c r="Q76" s="10" t="s">
        <v>404</v>
      </c>
      <c r="R76" s="10" t="s">
        <v>405</v>
      </c>
      <c r="S76" s="11" t="s">
        <v>406</v>
      </c>
      <c r="T76" s="13"/>
      <c r="U76" s="18" t="str">
        <f>HYPERLINK("https://pbs.twimg.com/profile_images/1132520198672592898/84JxYnvT.png","View")</f>
        <v>View</v>
      </c>
      <c r="V76" s="13"/>
      <c r="W76" s="13"/>
      <c r="X76" s="13"/>
      <c r="Y76" s="13"/>
      <c r="Z76" s="13"/>
    </row>
    <row r="77">
      <c r="A77" s="8">
        <v>43848.88386574074</v>
      </c>
      <c r="B77" s="9" t="str">
        <f>HYPERLINK("https://twitter.com/MHiggins1467","@MHiggins1467")</f>
        <v>@MHiggins1467</v>
      </c>
      <c r="C77" s="10" t="s">
        <v>407</v>
      </c>
      <c r="D77" s="10" t="s">
        <v>408</v>
      </c>
      <c r="E77" s="9" t="str">
        <f>HYPERLINK("https://twitter.com/MHiggins1467/status/1218717908320366598","1218717908320366598")</f>
        <v>1218717908320366598</v>
      </c>
      <c r="F77" s="11" t="s">
        <v>409</v>
      </c>
      <c r="G77" s="11" t="s">
        <v>410</v>
      </c>
      <c r="H77" s="13"/>
      <c r="I77" s="14">
        <v>1.0</v>
      </c>
      <c r="J77" s="14">
        <v>0.0</v>
      </c>
      <c r="K77" s="9" t="str">
        <f>HYPERLINK("http://www.mailchimp.com","Mailchimp")</f>
        <v>Mailchimp</v>
      </c>
      <c r="L77" s="15">
        <v>207.0</v>
      </c>
      <c r="M77" s="15">
        <v>106.0</v>
      </c>
      <c r="N77" s="15">
        <v>0.0</v>
      </c>
      <c r="O77" s="16"/>
      <c r="P77" s="17">
        <v>41107.51736111111</v>
      </c>
      <c r="Q77" s="10" t="s">
        <v>411</v>
      </c>
      <c r="R77" s="10" t="s">
        <v>412</v>
      </c>
      <c r="S77" s="11" t="s">
        <v>413</v>
      </c>
      <c r="T77" s="13"/>
      <c r="U77" s="18" t="str">
        <f>HYPERLINK("https://pbs.twimg.com/profile_images/2418425506/or0gcrkazgtz4svcso9p.jpeg","View")</f>
        <v>View</v>
      </c>
      <c r="V77" s="13"/>
      <c r="W77" s="13"/>
      <c r="X77" s="13"/>
      <c r="Y77" s="13"/>
      <c r="Z77" s="13"/>
    </row>
    <row r="78">
      <c r="A78" s="8">
        <v>43848.8809375</v>
      </c>
      <c r="B78" s="9" t="str">
        <f>HYPERLINK("https://twitter.com/FrancescoDSergi","@FrancescoDSergi")</f>
        <v>@FrancescoDSergi</v>
      </c>
      <c r="C78" s="10" t="s">
        <v>414</v>
      </c>
      <c r="D78" s="10" t="s">
        <v>415</v>
      </c>
      <c r="E78" s="9" t="str">
        <f>HYPERLINK("https://twitter.com/FrancescoDSergi/status/1218716845986893825","1218716845986893825")</f>
        <v>1218716845986893825</v>
      </c>
      <c r="F78" s="13"/>
      <c r="G78" s="12"/>
      <c r="H78" s="13"/>
      <c r="I78" s="14">
        <v>0.0</v>
      </c>
      <c r="J78" s="14">
        <v>0.0</v>
      </c>
      <c r="K78" s="9" t="str">
        <f>HYPERLINK("http://twitter.com/download/iphone","Twitter for iPhone")</f>
        <v>Twitter for iPhone</v>
      </c>
      <c r="L78" s="15">
        <v>86.0</v>
      </c>
      <c r="M78" s="15">
        <v>116.0</v>
      </c>
      <c r="N78" s="15">
        <v>0.0</v>
      </c>
      <c r="O78" s="16"/>
      <c r="P78" s="17">
        <v>43531.76685185185</v>
      </c>
      <c r="Q78" s="10" t="s">
        <v>228</v>
      </c>
      <c r="R78" s="10" t="s">
        <v>416</v>
      </c>
      <c r="S78" s="13"/>
      <c r="T78" s="13"/>
      <c r="U78" s="18" t="str">
        <f>HYPERLINK("https://pbs.twimg.com/profile_images/1108071911790014465/nN_CWQoQ.png","View")</f>
        <v>View</v>
      </c>
      <c r="V78" s="13"/>
      <c r="W78" s="13"/>
      <c r="X78" s="13"/>
      <c r="Y78" s="13"/>
      <c r="Z78" s="13"/>
    </row>
    <row r="79">
      <c r="A79" s="8">
        <v>43848.878807870366</v>
      </c>
      <c r="B79" s="9" t="str">
        <f>HYPERLINK("https://twitter.com/NaylorMatthew","@NaylorMatthew")</f>
        <v>@NaylorMatthew</v>
      </c>
      <c r="C79" s="10" t="s">
        <v>417</v>
      </c>
      <c r="D79" s="10" t="s">
        <v>418</v>
      </c>
      <c r="E79" s="9" t="str">
        <f>HYPERLINK("https://twitter.com/NaylorMatthew/status/1218716073765326848","1218716073765326848")</f>
        <v>1218716073765326848</v>
      </c>
      <c r="F79" s="13"/>
      <c r="G79" s="12"/>
      <c r="H79" s="13"/>
      <c r="I79" s="14">
        <v>0.0</v>
      </c>
      <c r="J79" s="14">
        <v>0.0</v>
      </c>
      <c r="K79" s="9" t="str">
        <f>HYPERLINK("https://mobile.twitter.com","Twitter Web App")</f>
        <v>Twitter Web App</v>
      </c>
      <c r="L79" s="15">
        <v>203.0</v>
      </c>
      <c r="M79" s="15">
        <v>522.0</v>
      </c>
      <c r="N79" s="15">
        <v>5.0</v>
      </c>
      <c r="O79" s="16"/>
      <c r="P79" s="17">
        <v>39931.13826388889</v>
      </c>
      <c r="Q79" s="10" t="s">
        <v>419</v>
      </c>
      <c r="R79" s="10" t="s">
        <v>420</v>
      </c>
      <c r="S79" s="13"/>
      <c r="T79" s="13"/>
      <c r="U79" s="18" t="str">
        <f>HYPERLINK("https://pbs.twimg.com/profile_images/1166789018203435008/NRZUI5Yp.jpg","View")</f>
        <v>View</v>
      </c>
      <c r="V79" s="13"/>
      <c r="W79" s="13"/>
      <c r="X79" s="13"/>
      <c r="Y79" s="13"/>
      <c r="Z79" s="13"/>
    </row>
    <row r="80">
      <c r="A80" s="8">
        <v>43848.87851851852</v>
      </c>
      <c r="B80" s="9" t="str">
        <f>HYPERLINK("https://twitter.com/BeWellGSU","@BeWellGSU")</f>
        <v>@BeWellGSU</v>
      </c>
      <c r="C80" s="10" t="s">
        <v>421</v>
      </c>
      <c r="D80" s="10" t="s">
        <v>422</v>
      </c>
      <c r="E80" s="9" t="str">
        <f>HYPERLINK("https://twitter.com/BeWellGSU/status/1218715969146802176","1218715969146802176")</f>
        <v>1218715969146802176</v>
      </c>
      <c r="F80" s="11" t="s">
        <v>423</v>
      </c>
      <c r="G80" s="11" t="s">
        <v>424</v>
      </c>
      <c r="H80" s="13"/>
      <c r="I80" s="14">
        <v>0.0</v>
      </c>
      <c r="J80" s="14">
        <v>0.0</v>
      </c>
      <c r="K80" s="9" t="str">
        <f>HYPERLINK("https://www.hootsuite.com","Hootsuite Inc.")</f>
        <v>Hootsuite Inc.</v>
      </c>
      <c r="L80" s="15">
        <v>441.0</v>
      </c>
      <c r="M80" s="15">
        <v>650.0</v>
      </c>
      <c r="N80" s="15">
        <v>2.0</v>
      </c>
      <c r="O80" s="16"/>
      <c r="P80" s="17">
        <v>41540.578252314815</v>
      </c>
      <c r="Q80" s="10" t="s">
        <v>425</v>
      </c>
      <c r="R80" s="10" t="s">
        <v>426</v>
      </c>
      <c r="S80" s="11" t="s">
        <v>427</v>
      </c>
      <c r="T80" s="13"/>
      <c r="U80" s="18" t="str">
        <f>HYPERLINK("https://pbs.twimg.com/profile_images/1171076379938447360/mG8eMeDh.jpg","View")</f>
        <v>View</v>
      </c>
      <c r="V80" s="13"/>
      <c r="W80" s="13"/>
      <c r="X80" s="13"/>
      <c r="Y80" s="13"/>
      <c r="Z80" s="13"/>
    </row>
    <row r="81">
      <c r="A81" s="8">
        <v>43848.87842592593</v>
      </c>
      <c r="B81" s="9" t="str">
        <f>HYPERLINK("https://twitter.com/teenaswager","@teenaswager")</f>
        <v>@teenaswager</v>
      </c>
      <c r="C81" s="10" t="s">
        <v>428</v>
      </c>
      <c r="D81" s="10" t="s">
        <v>429</v>
      </c>
      <c r="E81" s="9" t="str">
        <f>HYPERLINK("https://twitter.com/teenaswager/status/1218715935436992514","1218715935436992514")</f>
        <v>1218715935436992514</v>
      </c>
      <c r="F81" s="11" t="s">
        <v>430</v>
      </c>
      <c r="G81" s="12"/>
      <c r="H81" s="13"/>
      <c r="I81" s="14">
        <v>1.0</v>
      </c>
      <c r="J81" s="14">
        <v>1.0</v>
      </c>
      <c r="K81" s="9" t="str">
        <f t="shared" ref="K81:K82" si="17">HYPERLINK("http://twitter.com/download/iphone","Twitter for iPhone")</f>
        <v>Twitter for iPhone</v>
      </c>
      <c r="L81" s="15">
        <v>3334.0</v>
      </c>
      <c r="M81" s="15">
        <v>1929.0</v>
      </c>
      <c r="N81" s="15">
        <v>274.0</v>
      </c>
      <c r="O81" s="16"/>
      <c r="P81" s="17">
        <v>39897.460694444446</v>
      </c>
      <c r="Q81" s="12"/>
      <c r="R81" s="10" t="s">
        <v>431</v>
      </c>
      <c r="S81" s="13"/>
      <c r="T81" s="13"/>
      <c r="U81" s="18" t="str">
        <f>HYPERLINK("https://pbs.twimg.com/profile_images/1053715128351256576/8WwfoFpl.jpg","View")</f>
        <v>View</v>
      </c>
      <c r="V81" s="13"/>
      <c r="W81" s="13"/>
      <c r="X81" s="13"/>
      <c r="Y81" s="13"/>
      <c r="Z81" s="13"/>
    </row>
    <row r="82">
      <c r="A82" s="8">
        <v>43848.87792824074</v>
      </c>
      <c r="B82" s="9" t="str">
        <f>HYPERLINK("https://twitter.com/DrFlorinSandu","@DrFlorinSandu")</f>
        <v>@DrFlorinSandu</v>
      </c>
      <c r="C82" s="10" t="s">
        <v>432</v>
      </c>
      <c r="D82" s="10" t="s">
        <v>433</v>
      </c>
      <c r="E82" s="9" t="str">
        <f>HYPERLINK("https://twitter.com/DrFlorinSandu/status/1218715756290039809","1218715756290039809")</f>
        <v>1218715756290039809</v>
      </c>
      <c r="F82" s="10" t="s">
        <v>434</v>
      </c>
      <c r="G82" s="11" t="s">
        <v>435</v>
      </c>
      <c r="H82" s="13"/>
      <c r="I82" s="14">
        <v>2.0</v>
      </c>
      <c r="J82" s="14">
        <v>2.0</v>
      </c>
      <c r="K82" s="9" t="str">
        <f t="shared" si="17"/>
        <v>Twitter for iPhone</v>
      </c>
      <c r="L82" s="15">
        <v>1037.0</v>
      </c>
      <c r="M82" s="15">
        <v>467.0</v>
      </c>
      <c r="N82" s="15">
        <v>1.0</v>
      </c>
      <c r="O82" s="16"/>
      <c r="P82" s="17">
        <v>41103.25300925926</v>
      </c>
      <c r="Q82" s="12"/>
      <c r="R82" s="10" t="s">
        <v>436</v>
      </c>
      <c r="S82" s="11" t="s">
        <v>437</v>
      </c>
      <c r="T82" s="13"/>
      <c r="U82" s="18" t="str">
        <f>HYPERLINK("https://pbs.twimg.com/profile_images/1153795168375492609/3vKs4P9X.jpg","View")</f>
        <v>View</v>
      </c>
      <c r="V82" s="13"/>
      <c r="W82" s="13"/>
      <c r="X82" s="13"/>
      <c r="Y82" s="13"/>
      <c r="Z82" s="13"/>
    </row>
    <row r="83">
      <c r="A83" s="8">
        <v>43848.87675925926</v>
      </c>
      <c r="B83" s="9" t="str">
        <f>HYPERLINK("https://twitter.com/dark_angelik","@dark_angelik")</f>
        <v>@dark_angelik</v>
      </c>
      <c r="C83" s="10" t="s">
        <v>438</v>
      </c>
      <c r="D83" s="10" t="s">
        <v>439</v>
      </c>
      <c r="E83" s="9" t="str">
        <f>HYPERLINK("https://twitter.com/dark_angelik/status/1218715332736692225","1218715332736692225")</f>
        <v>1218715332736692225</v>
      </c>
      <c r="F83" s="13"/>
      <c r="G83" s="12"/>
      <c r="H83" s="13"/>
      <c r="I83" s="14">
        <v>0.0</v>
      </c>
      <c r="J83" s="14">
        <v>0.0</v>
      </c>
      <c r="K83" s="9" t="str">
        <f>HYPERLINK("https://mobile.twitter.com","Twitter Web App")</f>
        <v>Twitter Web App</v>
      </c>
      <c r="L83" s="15">
        <v>497.0</v>
      </c>
      <c r="M83" s="15">
        <v>2156.0</v>
      </c>
      <c r="N83" s="15">
        <v>99.0</v>
      </c>
      <c r="O83" s="16"/>
      <c r="P83" s="17">
        <v>40199.86681712963</v>
      </c>
      <c r="Q83" s="10" t="s">
        <v>440</v>
      </c>
      <c r="R83" s="10" t="s">
        <v>441</v>
      </c>
      <c r="S83" s="11" t="s">
        <v>442</v>
      </c>
      <c r="T83" s="13"/>
      <c r="U83" s="18" t="str">
        <f>HYPERLINK("https://pbs.twimg.com/profile_images/1076655884116348929/aozH59OP.jpg","View")</f>
        <v>View</v>
      </c>
      <c r="V83" s="13"/>
      <c r="W83" s="13"/>
      <c r="X83" s="13"/>
      <c r="Y83" s="13"/>
      <c r="Z83" s="13"/>
    </row>
    <row r="84">
      <c r="A84" s="8">
        <v>43848.876180555555</v>
      </c>
      <c r="B84" s="9" t="str">
        <f>HYPERLINK("https://twitter.com/BigSte_VIKING","@BigSte_VIKING")</f>
        <v>@BigSte_VIKING</v>
      </c>
      <c r="C84" s="10" t="s">
        <v>443</v>
      </c>
      <c r="D84" s="10" t="s">
        <v>444</v>
      </c>
      <c r="E84" s="9" t="str">
        <f>HYPERLINK("https://twitter.com/BigSte_VIKING/status/1218715122648190976","1218715122648190976")</f>
        <v>1218715122648190976</v>
      </c>
      <c r="F84" s="13"/>
      <c r="G84" s="11" t="s">
        <v>445</v>
      </c>
      <c r="H84" s="13"/>
      <c r="I84" s="14">
        <v>0.0</v>
      </c>
      <c r="J84" s="14">
        <v>0.0</v>
      </c>
      <c r="K84" s="9" t="str">
        <f>HYPERLINK("http://twitter.com/download/android","Twitter for Android")</f>
        <v>Twitter for Android</v>
      </c>
      <c r="L84" s="15">
        <v>107.0</v>
      </c>
      <c r="M84" s="15">
        <v>489.0</v>
      </c>
      <c r="N84" s="15">
        <v>3.0</v>
      </c>
      <c r="O84" s="16"/>
      <c r="P84" s="17">
        <v>43005.603472222225</v>
      </c>
      <c r="Q84" s="10" t="s">
        <v>446</v>
      </c>
      <c r="R84" s="10" t="s">
        <v>447</v>
      </c>
      <c r="S84" s="13"/>
      <c r="T84" s="13"/>
      <c r="U84" s="18" t="str">
        <f>HYPERLINK("https://pbs.twimg.com/profile_images/1218656065778323458/npBXyS-W.jpg","View")</f>
        <v>View</v>
      </c>
      <c r="V84" s="13"/>
      <c r="W84" s="13"/>
      <c r="X84" s="13"/>
      <c r="Y84" s="13"/>
      <c r="Z84" s="13"/>
    </row>
    <row r="85">
      <c r="A85" s="8">
        <v>43848.87503472222</v>
      </c>
      <c r="B85" s="9" t="str">
        <f>HYPERLINK("https://twitter.com/effgov","@effgov")</f>
        <v>@effgov</v>
      </c>
      <c r="C85" s="10" t="s">
        <v>448</v>
      </c>
      <c r="D85" s="10" t="s">
        <v>449</v>
      </c>
      <c r="E85" s="9" t="str">
        <f>HYPERLINK("https://twitter.com/effgov/status/1218714705902129153","1218714705902129153")</f>
        <v>1218714705902129153</v>
      </c>
      <c r="F85" s="11" t="s">
        <v>450</v>
      </c>
      <c r="G85" s="11" t="s">
        <v>451</v>
      </c>
      <c r="H85" s="13"/>
      <c r="I85" s="14">
        <v>0.0</v>
      </c>
      <c r="J85" s="14">
        <v>0.0</v>
      </c>
      <c r="K85" s="9" t="str">
        <f>HYPERLINK("https://buffer.com","Buffer")</f>
        <v>Buffer</v>
      </c>
      <c r="L85" s="15">
        <v>1265.0</v>
      </c>
      <c r="M85" s="15">
        <v>1953.0</v>
      </c>
      <c r="N85" s="15">
        <v>107.0</v>
      </c>
      <c r="O85" s="16"/>
      <c r="P85" s="17">
        <v>40604.7183912037</v>
      </c>
      <c r="Q85" s="10" t="s">
        <v>228</v>
      </c>
      <c r="R85" s="10" t="s">
        <v>452</v>
      </c>
      <c r="S85" s="11" t="s">
        <v>453</v>
      </c>
      <c r="T85" s="13"/>
      <c r="U85" s="18" t="str">
        <f>HYPERLINK("https://pbs.twimg.com/profile_images/456140217737437184/agv4h1Zl.png","View")</f>
        <v>View</v>
      </c>
      <c r="V85" s="13"/>
      <c r="W85" s="13"/>
      <c r="X85" s="13"/>
      <c r="Y85" s="13"/>
      <c r="Z85" s="13"/>
    </row>
    <row r="86">
      <c r="A86" s="8">
        <v>43848.875</v>
      </c>
      <c r="B86" s="9" t="str">
        <f>HYPERLINK("https://twitter.com/MadewithLove99","@MadewithLove99")</f>
        <v>@MadewithLove99</v>
      </c>
      <c r="C86" s="10" t="s">
        <v>454</v>
      </c>
      <c r="D86" s="10" t="s">
        <v>455</v>
      </c>
      <c r="E86" s="9" t="str">
        <f>HYPERLINK("https://twitter.com/MadewithLove99/status/1218714694405382145","1218714694405382145")</f>
        <v>1218714694405382145</v>
      </c>
      <c r="F86" s="11" t="s">
        <v>456</v>
      </c>
      <c r="G86" s="12"/>
      <c r="H86" s="13"/>
      <c r="I86" s="14">
        <v>0.0</v>
      </c>
      <c r="J86" s="14">
        <v>0.0</v>
      </c>
      <c r="K86" s="9" t="str">
        <f>HYPERLINK("https://about.twitter.com/products/tweetdeck","TweetDeck")</f>
        <v>TweetDeck</v>
      </c>
      <c r="L86" s="15">
        <v>2216.0</v>
      </c>
      <c r="M86" s="15">
        <v>3125.0</v>
      </c>
      <c r="N86" s="15">
        <v>19.0</v>
      </c>
      <c r="O86" s="16"/>
      <c r="P86" s="17">
        <v>43234.74501157408</v>
      </c>
      <c r="Q86" s="12"/>
      <c r="R86" s="10" t="s">
        <v>457</v>
      </c>
      <c r="S86" s="11" t="s">
        <v>458</v>
      </c>
      <c r="T86" s="13"/>
      <c r="U86" s="18" t="str">
        <f>HYPERLINK("https://pbs.twimg.com/profile_images/1009820114169073664/a5v9twaS.jpg","View")</f>
        <v>View</v>
      </c>
      <c r="V86" s="13"/>
      <c r="W86" s="13"/>
      <c r="X86" s="13"/>
      <c r="Y86" s="13"/>
      <c r="Z86" s="13"/>
    </row>
    <row r="87">
      <c r="A87" s="8">
        <v>43848.87479166666</v>
      </c>
      <c r="B87" s="9" t="str">
        <f>HYPERLINK("https://twitter.com/BrowneLawOffice","@BrowneLawOffice")</f>
        <v>@BrowneLawOffice</v>
      </c>
      <c r="C87" s="10" t="s">
        <v>459</v>
      </c>
      <c r="D87" s="10" t="s">
        <v>460</v>
      </c>
      <c r="E87" s="9" t="str">
        <f>HYPERLINK("https://twitter.com/BrowneLawOffice/status/1218714618723557378","1218714618723557378")</f>
        <v>1218714618723557378</v>
      </c>
      <c r="F87" s="10" t="s">
        <v>461</v>
      </c>
      <c r="G87" s="11" t="s">
        <v>462</v>
      </c>
      <c r="H87" s="13"/>
      <c r="I87" s="14">
        <v>0.0</v>
      </c>
      <c r="J87" s="14">
        <v>0.0</v>
      </c>
      <c r="K87" s="9" t="str">
        <f t="shared" ref="K87:K89" si="18">HYPERLINK("http://twitter.com/download/iphone","Twitter for iPhone")</f>
        <v>Twitter for iPhone</v>
      </c>
      <c r="L87" s="15">
        <v>1649.0</v>
      </c>
      <c r="M87" s="15">
        <v>440.0</v>
      </c>
      <c r="N87" s="15">
        <v>53.0</v>
      </c>
      <c r="O87" s="16"/>
      <c r="P87" s="17">
        <v>40548.421701388885</v>
      </c>
      <c r="Q87" s="10" t="s">
        <v>463</v>
      </c>
      <c r="R87" s="10" t="s">
        <v>464</v>
      </c>
      <c r="S87" s="11" t="s">
        <v>465</v>
      </c>
      <c r="T87" s="13"/>
      <c r="U87" s="18" t="str">
        <f>HYPERLINK("https://pbs.twimg.com/profile_images/1147504397997498368/zWI82WIS.jpg","View")</f>
        <v>View</v>
      </c>
      <c r="V87" s="13"/>
      <c r="W87" s="13"/>
      <c r="X87" s="13"/>
      <c r="Y87" s="13"/>
      <c r="Z87" s="13"/>
    </row>
    <row r="88">
      <c r="A88" s="8">
        <v>43848.87442129629</v>
      </c>
      <c r="B88" s="9" t="str">
        <f>HYPERLINK("https://twitter.com/teenaswager","@teenaswager")</f>
        <v>@teenaswager</v>
      </c>
      <c r="C88" s="10" t="s">
        <v>428</v>
      </c>
      <c r="D88" s="10" t="s">
        <v>466</v>
      </c>
      <c r="E88" s="9" t="str">
        <f>HYPERLINK("https://twitter.com/teenaswager/status/1218714486460182533","1218714486460182533")</f>
        <v>1218714486460182533</v>
      </c>
      <c r="F88" s="11" t="s">
        <v>467</v>
      </c>
      <c r="G88" s="11" t="s">
        <v>468</v>
      </c>
      <c r="H88" s="13"/>
      <c r="I88" s="14">
        <v>0.0</v>
      </c>
      <c r="J88" s="14">
        <v>0.0</v>
      </c>
      <c r="K88" s="9" t="str">
        <f t="shared" si="18"/>
        <v>Twitter for iPhone</v>
      </c>
      <c r="L88" s="15">
        <v>3334.0</v>
      </c>
      <c r="M88" s="15">
        <v>1929.0</v>
      </c>
      <c r="N88" s="15">
        <v>274.0</v>
      </c>
      <c r="O88" s="16"/>
      <c r="P88" s="17">
        <v>39897.460694444446</v>
      </c>
      <c r="Q88" s="12"/>
      <c r="R88" s="10" t="s">
        <v>431</v>
      </c>
      <c r="S88" s="13"/>
      <c r="T88" s="13"/>
      <c r="U88" s="18" t="str">
        <f>HYPERLINK("https://pbs.twimg.com/profile_images/1053715128351256576/8WwfoFpl.jpg","View")</f>
        <v>View</v>
      </c>
      <c r="V88" s="13"/>
      <c r="W88" s="13"/>
      <c r="X88" s="13"/>
      <c r="Y88" s="13"/>
      <c r="Z88" s="13"/>
    </row>
    <row r="89">
      <c r="A89" s="8">
        <v>43848.87439814815</v>
      </c>
      <c r="B89" s="9" t="str">
        <f>HYPERLINK("https://twitter.com/OtterlyHopeful","@OtterlyHopeful")</f>
        <v>@OtterlyHopeful</v>
      </c>
      <c r="C89" s="10" t="s">
        <v>469</v>
      </c>
      <c r="D89" s="10" t="s">
        <v>470</v>
      </c>
      <c r="E89" s="9" t="str">
        <f>HYPERLINK("https://twitter.com/OtterlyHopeful/status/1218714474984755201","1218714474984755201")</f>
        <v>1218714474984755201</v>
      </c>
      <c r="F89" s="13"/>
      <c r="G89" s="12"/>
      <c r="H89" s="13"/>
      <c r="I89" s="14">
        <v>4.0</v>
      </c>
      <c r="J89" s="14">
        <v>8.0</v>
      </c>
      <c r="K89" s="9" t="str">
        <f t="shared" si="18"/>
        <v>Twitter for iPhone</v>
      </c>
      <c r="L89" s="15">
        <v>1522.0</v>
      </c>
      <c r="M89" s="15">
        <v>1421.0</v>
      </c>
      <c r="N89" s="15">
        <v>5.0</v>
      </c>
      <c r="O89" s="16"/>
      <c r="P89" s="17">
        <v>43725.57329861111</v>
      </c>
      <c r="Q89" s="12"/>
      <c r="R89" s="10" t="s">
        <v>471</v>
      </c>
      <c r="S89" s="13"/>
      <c r="T89" s="13"/>
      <c r="U89" s="18" t="str">
        <f>HYPERLINK("https://pbs.twimg.com/profile_images/1174409122982387713/9vZrWp4C.jpg","View")</f>
        <v>View</v>
      </c>
      <c r="V89" s="13"/>
      <c r="W89" s="13"/>
      <c r="X89" s="13"/>
      <c r="Y89" s="13"/>
      <c r="Z89" s="13"/>
    </row>
    <row r="90">
      <c r="A90" s="8">
        <v>43848.872662037036</v>
      </c>
      <c r="B90" s="9" t="str">
        <f>HYPERLINK("https://twitter.com/ShawnParker2013","@ShawnParker2013")</f>
        <v>@ShawnParker2013</v>
      </c>
      <c r="C90" s="10" t="s">
        <v>472</v>
      </c>
      <c r="D90" s="10" t="s">
        <v>473</v>
      </c>
      <c r="E90" s="9" t="str">
        <f>HYPERLINK("https://twitter.com/ShawnParker2013/status/1218713848770809856","1218713848770809856")</f>
        <v>1218713848770809856</v>
      </c>
      <c r="F90" s="11" t="s">
        <v>387</v>
      </c>
      <c r="G90" s="12"/>
      <c r="H90" s="13"/>
      <c r="I90" s="14">
        <v>0.0</v>
      </c>
      <c r="J90" s="14">
        <v>1.0</v>
      </c>
      <c r="K90" s="9" t="str">
        <f>HYPERLINK("http://plus.google.com/116032873101429204265","Zolushka4Sean")</f>
        <v>Zolushka4Sean</v>
      </c>
      <c r="L90" s="15">
        <v>8584.0</v>
      </c>
      <c r="M90" s="15">
        <v>3773.0</v>
      </c>
      <c r="N90" s="15">
        <v>423.0</v>
      </c>
      <c r="O90" s="16"/>
      <c r="P90" s="17">
        <v>41334.926898148144</v>
      </c>
      <c r="Q90" s="10" t="s">
        <v>474</v>
      </c>
      <c r="R90" s="10" t="s">
        <v>475</v>
      </c>
      <c r="S90" s="11" t="s">
        <v>476</v>
      </c>
      <c r="T90" s="13"/>
      <c r="U90" s="18" t="str">
        <f>HYPERLINK("https://pbs.twimg.com/profile_images/378800000506530098/83c03de093473f92e6c4dae97abff100.jpeg","View")</f>
        <v>View</v>
      </c>
      <c r="V90" s="13"/>
      <c r="W90" s="13"/>
      <c r="X90" s="13"/>
      <c r="Y90" s="13"/>
      <c r="Z90" s="13"/>
    </row>
    <row r="91">
      <c r="A91" s="8">
        <v>43848.871932870374</v>
      </c>
      <c r="B91" s="9" t="str">
        <f>HYPERLINK("https://twitter.com/WizardWayKris","@WizardWayKris")</f>
        <v>@WizardWayKris</v>
      </c>
      <c r="C91" s="10" t="s">
        <v>477</v>
      </c>
      <c r="D91" s="10" t="s">
        <v>478</v>
      </c>
      <c r="E91" s="9" t="str">
        <f>HYPERLINK("https://twitter.com/WizardWayKris/status/1218713584177426433","1218713584177426433")</f>
        <v>1218713584177426433</v>
      </c>
      <c r="F91" s="11" t="s">
        <v>479</v>
      </c>
      <c r="G91" s="12"/>
      <c r="H91" s="13"/>
      <c r="I91" s="14">
        <v>2.0</v>
      </c>
      <c r="J91" s="14">
        <v>3.0</v>
      </c>
      <c r="K91" s="9" t="str">
        <f t="shared" ref="K91:K92" si="19">HYPERLINK("http://twitter.com/download/android","Twitter for Android")</f>
        <v>Twitter for Android</v>
      </c>
      <c r="L91" s="15">
        <v>518.0</v>
      </c>
      <c r="M91" s="15">
        <v>71.0</v>
      </c>
      <c r="N91" s="15">
        <v>8.0</v>
      </c>
      <c r="O91" s="16"/>
      <c r="P91" s="17">
        <v>43061.02074074074</v>
      </c>
      <c r="Q91" s="10" t="s">
        <v>480</v>
      </c>
      <c r="R91" s="10" t="s">
        <v>481</v>
      </c>
      <c r="S91" s="11" t="s">
        <v>482</v>
      </c>
      <c r="T91" s="13"/>
      <c r="U91" s="18" t="str">
        <f>HYPERLINK("https://pbs.twimg.com/profile_images/1187984236973903879/TmOBMkD2.jpg","View")</f>
        <v>View</v>
      </c>
      <c r="V91" s="13"/>
      <c r="W91" s="13"/>
      <c r="X91" s="13"/>
      <c r="Y91" s="13"/>
      <c r="Z91" s="13"/>
    </row>
    <row r="92">
      <c r="A92" s="8">
        <v>43848.87174768519</v>
      </c>
      <c r="B92" s="9" t="str">
        <f>HYPERLINK("https://twitter.com/BobRoon12515016","@BobRoon12515016")</f>
        <v>@BobRoon12515016</v>
      </c>
      <c r="C92" s="10" t="s">
        <v>483</v>
      </c>
      <c r="D92" s="10" t="s">
        <v>484</v>
      </c>
      <c r="E92" s="9" t="str">
        <f>HYPERLINK("https://twitter.com/BobRoon12515016/status/1218713514749001728","1218713514749001728")</f>
        <v>1218713514749001728</v>
      </c>
      <c r="F92" s="10" t="s">
        <v>485</v>
      </c>
      <c r="G92" s="12"/>
      <c r="H92" s="13"/>
      <c r="I92" s="14">
        <v>2.0</v>
      </c>
      <c r="J92" s="14">
        <v>1.0</v>
      </c>
      <c r="K92" s="9" t="str">
        <f t="shared" si="19"/>
        <v>Twitter for Android</v>
      </c>
      <c r="L92" s="15">
        <v>2262.0</v>
      </c>
      <c r="M92" s="15">
        <v>5001.0</v>
      </c>
      <c r="N92" s="15">
        <v>2.0</v>
      </c>
      <c r="O92" s="16"/>
      <c r="P92" s="17">
        <v>43716.772465277776</v>
      </c>
      <c r="Q92" s="10" t="s">
        <v>486</v>
      </c>
      <c r="R92" s="10" t="s">
        <v>487</v>
      </c>
      <c r="S92" s="13"/>
      <c r="T92" s="13"/>
      <c r="U92" s="18" t="str">
        <f>HYPERLINK("https://pbs.twimg.com/profile_images/1217513287807488000/b_LWBCJj.jpg","View")</f>
        <v>View</v>
      </c>
      <c r="V92" s="13"/>
      <c r="W92" s="13"/>
      <c r="X92" s="13"/>
      <c r="Y92" s="13"/>
      <c r="Z92" s="13"/>
    </row>
    <row r="93">
      <c r="A93" s="8">
        <v>43848.87152777778</v>
      </c>
      <c r="B93" s="9" t="str">
        <f>HYPERLINK("https://twitter.com/SkypeTherapist","@SkypeTherapist")</f>
        <v>@SkypeTherapist</v>
      </c>
      <c r="C93" s="10" t="s">
        <v>39</v>
      </c>
      <c r="D93" s="10" t="s">
        <v>488</v>
      </c>
      <c r="E93" s="9" t="str">
        <f>HYPERLINK("https://twitter.com/SkypeTherapist/status/1218713437137776648","1218713437137776648")</f>
        <v>1218713437137776648</v>
      </c>
      <c r="F93" s="11" t="s">
        <v>43</v>
      </c>
      <c r="G93" s="12"/>
      <c r="H93" s="13"/>
      <c r="I93" s="14">
        <v>0.0</v>
      </c>
      <c r="J93" s="14">
        <v>0.0</v>
      </c>
      <c r="K93" s="9" t="str">
        <f>HYPERLINK("https://buffer.com","Buffer")</f>
        <v>Buffer</v>
      </c>
      <c r="L93" s="15">
        <v>31074.0</v>
      </c>
      <c r="M93" s="15">
        <v>29180.0</v>
      </c>
      <c r="N93" s="15">
        <v>397.0</v>
      </c>
      <c r="O93" s="16"/>
      <c r="P93" s="17">
        <v>40131.457777777774</v>
      </c>
      <c r="Q93" s="10" t="s">
        <v>46</v>
      </c>
      <c r="R93" s="10" t="s">
        <v>47</v>
      </c>
      <c r="S93" s="11" t="s">
        <v>43</v>
      </c>
      <c r="T93" s="13"/>
      <c r="U93" s="18" t="str">
        <f>HYPERLINK("https://pbs.twimg.com/profile_images/1093911234120798208/G4lphODU.jpg","View")</f>
        <v>View</v>
      </c>
      <c r="V93" s="13"/>
      <c r="W93" s="13"/>
      <c r="X93" s="13"/>
      <c r="Y93" s="13"/>
      <c r="Z93" s="13"/>
    </row>
    <row r="94">
      <c r="A94" s="8">
        <v>43848.86818287037</v>
      </c>
      <c r="B94" s="9" t="str">
        <f>HYPERLINK("https://twitter.com/jared_levenson","@jared_levenson")</f>
        <v>@jared_levenson</v>
      </c>
      <c r="C94" s="10" t="s">
        <v>489</v>
      </c>
      <c r="D94" s="10" t="s">
        <v>490</v>
      </c>
      <c r="E94" s="9" t="str">
        <f>HYPERLINK("https://twitter.com/jared_levenson/status/1218712226267377670","1218712226267377670")</f>
        <v>1218712226267377670</v>
      </c>
      <c r="F94" s="11" t="s">
        <v>491</v>
      </c>
      <c r="G94" s="11" t="s">
        <v>492</v>
      </c>
      <c r="H94" s="13"/>
      <c r="I94" s="14">
        <v>1.0</v>
      </c>
      <c r="J94" s="14">
        <v>0.0</v>
      </c>
      <c r="K94" s="9" t="str">
        <f>HYPERLINK("https://zapier.com/","Zapier.com")</f>
        <v>Zapier.com</v>
      </c>
      <c r="L94" s="15">
        <v>477.0</v>
      </c>
      <c r="M94" s="15">
        <v>877.0</v>
      </c>
      <c r="N94" s="15">
        <v>0.0</v>
      </c>
      <c r="O94" s="16"/>
      <c r="P94" s="17">
        <v>41108.46530092593</v>
      </c>
      <c r="Q94" s="10" t="s">
        <v>493</v>
      </c>
      <c r="R94" s="10" t="s">
        <v>494</v>
      </c>
      <c r="S94" s="11" t="s">
        <v>495</v>
      </c>
      <c r="T94" s="13"/>
      <c r="U94" s="18" t="str">
        <f>HYPERLINK("https://pbs.twimg.com/profile_images/1153693207957364736/_Dtm-6O6.jpg","View")</f>
        <v>View</v>
      </c>
      <c r="V94" s="13"/>
      <c r="W94" s="13"/>
      <c r="X94" s="13"/>
      <c r="Y94" s="13"/>
      <c r="Z94" s="13"/>
    </row>
    <row r="95">
      <c r="A95" s="8">
        <v>43848.8680787037</v>
      </c>
      <c r="B95" s="9" t="str">
        <f>HYPERLINK("https://twitter.com/NirmalyaSaha001","@NirmalyaSaha001")</f>
        <v>@NirmalyaSaha001</v>
      </c>
      <c r="C95" s="10" t="s">
        <v>496</v>
      </c>
      <c r="D95" s="10" t="s">
        <v>497</v>
      </c>
      <c r="E95" s="9" t="str">
        <f>HYPERLINK("https://twitter.com/NirmalyaSaha001/status/1218712185108680704","1218712185108680704")</f>
        <v>1218712185108680704</v>
      </c>
      <c r="F95" s="11" t="s">
        <v>498</v>
      </c>
      <c r="G95" s="12"/>
      <c r="H95" s="13"/>
      <c r="I95" s="14">
        <v>1.0</v>
      </c>
      <c r="J95" s="14">
        <v>0.0</v>
      </c>
      <c r="K95" s="9" t="str">
        <f>HYPERLINK("http://instagram.com","Instagram")</f>
        <v>Instagram</v>
      </c>
      <c r="L95" s="15">
        <v>74.0</v>
      </c>
      <c r="M95" s="15">
        <v>241.0</v>
      </c>
      <c r="N95" s="15">
        <v>0.0</v>
      </c>
      <c r="O95" s="16"/>
      <c r="P95" s="17">
        <v>40955.08096064815</v>
      </c>
      <c r="Q95" s="10" t="s">
        <v>499</v>
      </c>
      <c r="R95" s="10" t="s">
        <v>500</v>
      </c>
      <c r="S95" s="11" t="s">
        <v>501</v>
      </c>
      <c r="T95" s="13"/>
      <c r="U95" s="18" t="str">
        <f>HYPERLINK("https://pbs.twimg.com/profile_images/1151408001414311941/GaM5mwp6.jpg","View")</f>
        <v>View</v>
      </c>
      <c r="V95" s="13"/>
      <c r="W95" s="13"/>
      <c r="X95" s="13"/>
      <c r="Y95" s="13"/>
      <c r="Z95" s="13"/>
    </row>
    <row r="96">
      <c r="A96" s="8">
        <v>43848.86658564815</v>
      </c>
      <c r="B96" s="9" t="str">
        <f>HYPERLINK("https://twitter.com/tmj_WA_psych","@tmj_WA_psych")</f>
        <v>@tmj_WA_psych</v>
      </c>
      <c r="C96" s="10" t="s">
        <v>502</v>
      </c>
      <c r="D96" s="10" t="s">
        <v>503</v>
      </c>
      <c r="E96" s="9" t="str">
        <f>HYPERLINK("https://twitter.com/tmj_WA_psych/status/1218711644034883584","1218711644034883584")</f>
        <v>1218711644034883584</v>
      </c>
      <c r="F96" s="11" t="s">
        <v>504</v>
      </c>
      <c r="G96" s="12"/>
      <c r="H96" s="9" t="str">
        <f>HYPERLINK("https://ctrlq.org/maps/address/#47.4942738,-122.2081419","Map")</f>
        <v>Map</v>
      </c>
      <c r="I96" s="14">
        <v>0.0</v>
      </c>
      <c r="J96" s="14">
        <v>0.0</v>
      </c>
      <c r="K96" s="9" t="str">
        <f>HYPERLINK("https://www.careerarc.com","CareerArc 2.0")</f>
        <v>CareerArc 2.0</v>
      </c>
      <c r="L96" s="15">
        <v>100.0</v>
      </c>
      <c r="M96" s="15">
        <v>79.0</v>
      </c>
      <c r="N96" s="15">
        <v>9.0</v>
      </c>
      <c r="O96" s="16"/>
      <c r="P96" s="17">
        <v>40630.909733796296</v>
      </c>
      <c r="Q96" s="10" t="s">
        <v>505</v>
      </c>
      <c r="R96" s="10" t="s">
        <v>506</v>
      </c>
      <c r="S96" s="11" t="s">
        <v>507</v>
      </c>
      <c r="T96" s="13"/>
      <c r="U96" s="18" t="str">
        <f>HYPERLINK("https://pbs.twimg.com/profile_images/715031203821273088/U0hIR2RD.jpg","View")</f>
        <v>View</v>
      </c>
      <c r="V96" s="13"/>
      <c r="W96" s="13"/>
      <c r="X96" s="13"/>
      <c r="Y96" s="13"/>
      <c r="Z96" s="13"/>
    </row>
    <row r="97">
      <c r="A97" s="8">
        <v>43848.86559027778</v>
      </c>
      <c r="B97" s="9" t="str">
        <f>HYPERLINK("https://twitter.com/AllanRogers10","@AllanRogers10")</f>
        <v>@AllanRogers10</v>
      </c>
      <c r="C97" s="10" t="s">
        <v>508</v>
      </c>
      <c r="D97" s="10" t="s">
        <v>509</v>
      </c>
      <c r="E97" s="9" t="str">
        <f>HYPERLINK("https://twitter.com/AllanRogers10/status/1218711283538759683","1218711283538759683")</f>
        <v>1218711283538759683</v>
      </c>
      <c r="F97" s="11" t="s">
        <v>77</v>
      </c>
      <c r="G97" s="12"/>
      <c r="H97" s="13"/>
      <c r="I97" s="14">
        <v>1.0</v>
      </c>
      <c r="J97" s="14">
        <v>0.0</v>
      </c>
      <c r="K97" s="9" t="str">
        <f>HYPERLINK("http://twitter.com","Twitty4Allan")</f>
        <v>Twitty4Allan</v>
      </c>
      <c r="L97" s="15">
        <v>8775.0</v>
      </c>
      <c r="M97" s="15">
        <v>3894.0</v>
      </c>
      <c r="N97" s="15">
        <v>190.0</v>
      </c>
      <c r="O97" s="16"/>
      <c r="P97" s="17">
        <v>41611.290659722225</v>
      </c>
      <c r="Q97" s="10" t="s">
        <v>73</v>
      </c>
      <c r="R97" s="10" t="s">
        <v>510</v>
      </c>
      <c r="S97" s="11" t="s">
        <v>511</v>
      </c>
      <c r="T97" s="13"/>
      <c r="U97" s="18" t="str">
        <f>HYPERLINK("https://pbs.twimg.com/profile_images/378800000824156439/97c448bf86f24c9c381e2cdc310a4912.jpeg","View")</f>
        <v>View</v>
      </c>
      <c r="V97" s="13"/>
      <c r="W97" s="13"/>
      <c r="X97" s="13"/>
      <c r="Y97" s="13"/>
      <c r="Z97" s="13"/>
    </row>
    <row r="98">
      <c r="A98" s="8">
        <v>43848.864652777775</v>
      </c>
      <c r="B98" s="9" t="str">
        <f>HYPERLINK("https://twitter.com/Alicia82263719","@Alicia82263719")</f>
        <v>@Alicia82263719</v>
      </c>
      <c r="C98" s="10" t="s">
        <v>512</v>
      </c>
      <c r="D98" s="10" t="s">
        <v>513</v>
      </c>
      <c r="E98" s="9" t="str">
        <f>HYPERLINK("https://twitter.com/Alicia82263719/status/1218710946308337664","1218710946308337664")</f>
        <v>1218710946308337664</v>
      </c>
      <c r="F98" s="13"/>
      <c r="G98" s="11" t="s">
        <v>514</v>
      </c>
      <c r="H98" s="13"/>
      <c r="I98" s="14">
        <v>0.0</v>
      </c>
      <c r="J98" s="14">
        <v>1.0</v>
      </c>
      <c r="K98" s="9" t="str">
        <f>HYPERLINK("http://twitter.com/download/android","Twitter for Android")</f>
        <v>Twitter for Android</v>
      </c>
      <c r="L98" s="15">
        <v>1507.0</v>
      </c>
      <c r="M98" s="15">
        <v>1686.0</v>
      </c>
      <c r="N98" s="15">
        <v>11.0</v>
      </c>
      <c r="O98" s="16"/>
      <c r="P98" s="17">
        <v>43443.1968287037</v>
      </c>
      <c r="Q98" s="10" t="s">
        <v>515</v>
      </c>
      <c r="R98" s="10" t="s">
        <v>516</v>
      </c>
      <c r="S98" s="11" t="s">
        <v>517</v>
      </c>
      <c r="T98" s="13"/>
      <c r="U98" s="18" t="str">
        <f>HYPERLINK("https://pbs.twimg.com/profile_images/1213444799791030280/v-aoMFem.jpg","View")</f>
        <v>View</v>
      </c>
      <c r="V98" s="13"/>
      <c r="W98" s="13"/>
      <c r="X98" s="13"/>
      <c r="Y98" s="13"/>
      <c r="Z98" s="13"/>
    </row>
    <row r="99">
      <c r="A99" s="8">
        <v>43848.86462962963</v>
      </c>
      <c r="B99" s="9" t="str">
        <f>HYPERLINK("https://twitter.com/RachelintheOC","@RachelintheOC")</f>
        <v>@RachelintheOC</v>
      </c>
      <c r="C99" s="10" t="s">
        <v>518</v>
      </c>
      <c r="D99" s="10" t="s">
        <v>519</v>
      </c>
      <c r="E99" s="9" t="str">
        <f>HYPERLINK("https://twitter.com/RachelintheOC/status/1218710935856128000","1218710935856128000")</f>
        <v>1218710935856128000</v>
      </c>
      <c r="F99" s="11" t="s">
        <v>520</v>
      </c>
      <c r="G99" s="11" t="s">
        <v>521</v>
      </c>
      <c r="H99" s="13"/>
      <c r="I99" s="14">
        <v>5.0</v>
      </c>
      <c r="J99" s="14">
        <v>6.0</v>
      </c>
      <c r="K99" s="9" t="str">
        <f>HYPERLINK("https://www.hootsuite.com","Hootsuite Inc.")</f>
        <v>Hootsuite Inc.</v>
      </c>
      <c r="L99" s="15">
        <v>112773.0</v>
      </c>
      <c r="M99" s="15">
        <v>24617.0</v>
      </c>
      <c r="N99" s="15">
        <v>3434.0</v>
      </c>
      <c r="O99" s="21" t="s">
        <v>522</v>
      </c>
      <c r="P99" s="17">
        <v>39881.65377314815</v>
      </c>
      <c r="Q99" s="10" t="s">
        <v>523</v>
      </c>
      <c r="R99" s="10" t="s">
        <v>524</v>
      </c>
      <c r="S99" s="11" t="s">
        <v>525</v>
      </c>
      <c r="T99" s="13"/>
      <c r="U99" s="18" t="str">
        <f>HYPERLINK("https://pbs.twimg.com/profile_images/1214299608098070529/wwDAyjH7.jpg","View")</f>
        <v>View</v>
      </c>
      <c r="V99" s="13"/>
      <c r="W99" s="13"/>
      <c r="X99" s="13"/>
      <c r="Y99" s="13"/>
      <c r="Z99" s="13"/>
    </row>
    <row r="100">
      <c r="A100" s="8">
        <v>43848.86425925926</v>
      </c>
      <c r="B100" s="9" t="str">
        <f>HYPERLINK("https://twitter.com/IdealLifeExp","@IdealLifeExp")</f>
        <v>@IdealLifeExp</v>
      </c>
      <c r="C100" s="10" t="s">
        <v>526</v>
      </c>
      <c r="D100" s="10" t="s">
        <v>527</v>
      </c>
      <c r="E100" s="9" t="str">
        <f>HYPERLINK("https://twitter.com/IdealLifeExp/status/1218710802175164416","1218710802175164416")</f>
        <v>1218710802175164416</v>
      </c>
      <c r="F100" s="10" t="s">
        <v>528</v>
      </c>
      <c r="G100" s="12"/>
      <c r="H100" s="13"/>
      <c r="I100" s="14">
        <v>0.0</v>
      </c>
      <c r="J100" s="14">
        <v>1.0</v>
      </c>
      <c r="K100" s="9" t="str">
        <f>HYPERLINK("http://www.linkedin.com/","LinkedIn")</f>
        <v>LinkedIn</v>
      </c>
      <c r="L100" s="15">
        <v>17.0</v>
      </c>
      <c r="M100" s="15">
        <v>111.0</v>
      </c>
      <c r="N100" s="15">
        <v>0.0</v>
      </c>
      <c r="O100" s="16"/>
      <c r="P100" s="17">
        <v>42096.71600694444</v>
      </c>
      <c r="Q100" s="10" t="s">
        <v>529</v>
      </c>
      <c r="R100" s="10" t="s">
        <v>530</v>
      </c>
      <c r="S100" s="11" t="s">
        <v>531</v>
      </c>
      <c r="T100" s="13"/>
      <c r="U100" s="18" t="str">
        <f>HYPERLINK("https://pbs.twimg.com/profile_images/913878422291587072/LrV79FgK.jpg","View")</f>
        <v>View</v>
      </c>
      <c r="V100" s="13"/>
      <c r="W100" s="13"/>
      <c r="X100" s="13"/>
      <c r="Y100" s="13"/>
      <c r="Z100" s="13"/>
    </row>
    <row r="101">
      <c r="A101" s="8">
        <v>43848.86395833333</v>
      </c>
      <c r="B101" s="9" t="str">
        <f>HYPERLINK("https://twitter.com/igor_os777","@igor_os777")</f>
        <v>@igor_os777</v>
      </c>
      <c r="C101" s="10" t="s">
        <v>532</v>
      </c>
      <c r="D101" s="10" t="s">
        <v>533</v>
      </c>
      <c r="E101" s="9" t="str">
        <f>HYPERLINK("https://twitter.com/igor_os777/status/1218710692594733056","1218710692594733056")</f>
        <v>1218710692594733056</v>
      </c>
      <c r="F101" s="11" t="s">
        <v>534</v>
      </c>
      <c r="G101" s="11" t="s">
        <v>535</v>
      </c>
      <c r="H101" s="13"/>
      <c r="I101" s="14">
        <v>0.0</v>
      </c>
      <c r="J101" s="14">
        <v>0.0</v>
      </c>
      <c r="K101" s="9" t="str">
        <f>HYPERLINK("https://dlvrit.com/","dlvr.it")</f>
        <v>dlvr.it</v>
      </c>
      <c r="L101" s="15">
        <v>4736.0</v>
      </c>
      <c r="M101" s="15">
        <v>2979.0</v>
      </c>
      <c r="N101" s="15">
        <v>66.0</v>
      </c>
      <c r="O101" s="16"/>
      <c r="P101" s="17">
        <v>43101.8846875</v>
      </c>
      <c r="Q101" s="10" t="s">
        <v>536</v>
      </c>
      <c r="R101" s="10" t="s">
        <v>537</v>
      </c>
      <c r="S101" s="11" t="s">
        <v>538</v>
      </c>
      <c r="T101" s="13"/>
      <c r="U101" s="18" t="str">
        <f>HYPERLINK("https://pbs.twimg.com/profile_images/1056800087073083393/e-ZSepTy.jpg","View")</f>
        <v>View</v>
      </c>
      <c r="V101" s="13"/>
      <c r="W101" s="13"/>
      <c r="X101" s="13"/>
      <c r="Y101" s="13"/>
      <c r="Z101" s="13"/>
    </row>
    <row r="102">
      <c r="A102" s="8">
        <v>43848.86376157407</v>
      </c>
      <c r="B102" s="9" t="str">
        <f>HYPERLINK("https://twitter.com/italentsg","@italentsg")</f>
        <v>@italentsg</v>
      </c>
      <c r="C102" s="10" t="s">
        <v>539</v>
      </c>
      <c r="D102" s="10" t="s">
        <v>540</v>
      </c>
      <c r="E102" s="9" t="str">
        <f>HYPERLINK("https://twitter.com/italentsg/status/1218710621799288832","1218710621799288832")</f>
        <v>1218710621799288832</v>
      </c>
      <c r="F102" s="11" t="s">
        <v>541</v>
      </c>
      <c r="G102" s="12"/>
      <c r="H102" s="13"/>
      <c r="I102" s="14">
        <v>0.0</v>
      </c>
      <c r="J102" s="14">
        <v>0.0</v>
      </c>
      <c r="K102" s="9" t="str">
        <f>HYPERLINK("http://www.linkedin.com/","LinkedIn")</f>
        <v>LinkedIn</v>
      </c>
      <c r="L102" s="15">
        <v>462.0</v>
      </c>
      <c r="M102" s="15">
        <v>684.0</v>
      </c>
      <c r="N102" s="15">
        <v>8.0</v>
      </c>
      <c r="O102" s="16"/>
      <c r="P102" s="17">
        <v>42752.054560185185</v>
      </c>
      <c r="Q102" s="10" t="s">
        <v>542</v>
      </c>
      <c r="R102" s="10" t="s">
        <v>543</v>
      </c>
      <c r="S102" s="11" t="s">
        <v>544</v>
      </c>
      <c r="T102" s="13"/>
      <c r="U102" s="18" t="str">
        <f>HYPERLINK("https://pbs.twimg.com/profile_images/906060154029924352/TJMFvrRl.jpg","View")</f>
        <v>View</v>
      </c>
      <c r="V102" s="13"/>
      <c r="W102" s="13"/>
      <c r="X102" s="13"/>
      <c r="Y102" s="13"/>
      <c r="Z102" s="13"/>
    </row>
    <row r="103">
      <c r="A103" s="8">
        <v>43848.86135416667</v>
      </c>
      <c r="B103" s="9" t="str">
        <f>HYPERLINK("https://twitter.com/viviluna11111","@viviluna11111")</f>
        <v>@viviluna11111</v>
      </c>
      <c r="C103" s="10" t="s">
        <v>545</v>
      </c>
      <c r="D103" s="10" t="s">
        <v>546</v>
      </c>
      <c r="E103" s="9" t="str">
        <f>HYPERLINK("https://twitter.com/viviluna11111/status/1218709748931010561","1218709748931010561")</f>
        <v>1218709748931010561</v>
      </c>
      <c r="F103" s="13"/>
      <c r="G103" s="11" t="s">
        <v>547</v>
      </c>
      <c r="H103" s="13"/>
      <c r="I103" s="14">
        <v>1.0</v>
      </c>
      <c r="J103" s="14">
        <v>0.0</v>
      </c>
      <c r="K103" s="9" t="str">
        <f t="shared" ref="K103:K104" si="20">HYPERLINK("http://twitter.com/download/iphone","Twitter for iPhone")</f>
        <v>Twitter for iPhone</v>
      </c>
      <c r="L103" s="15">
        <v>4.0</v>
      </c>
      <c r="M103" s="15">
        <v>10.0</v>
      </c>
      <c r="N103" s="15">
        <v>0.0</v>
      </c>
      <c r="O103" s="16"/>
      <c r="P103" s="17">
        <v>43795.724814814814</v>
      </c>
      <c r="Q103" s="12"/>
      <c r="R103" s="10" t="s">
        <v>548</v>
      </c>
      <c r="S103" s="11" t="s">
        <v>549</v>
      </c>
      <c r="T103" s="13"/>
      <c r="U103" s="18" t="str">
        <f>HYPERLINK("https://pbs.twimg.com/profile_images/1199455871140605952/QJeiieo8.jpg","View")</f>
        <v>View</v>
      </c>
      <c r="V103" s="13"/>
      <c r="W103" s="13"/>
      <c r="X103" s="13"/>
      <c r="Y103" s="13"/>
      <c r="Z103" s="13"/>
    </row>
    <row r="104">
      <c r="A104" s="8">
        <v>43848.8611574074</v>
      </c>
      <c r="B104" s="9" t="str">
        <f>HYPERLINK("https://twitter.com/UCLASemelFriend","@UCLASemelFriend")</f>
        <v>@UCLASemelFriend</v>
      </c>
      <c r="C104" s="10" t="s">
        <v>550</v>
      </c>
      <c r="D104" s="10" t="s">
        <v>551</v>
      </c>
      <c r="E104" s="9" t="str">
        <f>HYPERLINK("https://twitter.com/UCLASemelFriend/status/1218709679439663105","1218709679439663105")</f>
        <v>1218709679439663105</v>
      </c>
      <c r="F104" s="11" t="s">
        <v>552</v>
      </c>
      <c r="G104" s="12"/>
      <c r="H104" s="13"/>
      <c r="I104" s="14">
        <v>0.0</v>
      </c>
      <c r="J104" s="14">
        <v>0.0</v>
      </c>
      <c r="K104" s="9" t="str">
        <f t="shared" si="20"/>
        <v>Twitter for iPhone</v>
      </c>
      <c r="L104" s="15">
        <v>55639.0</v>
      </c>
      <c r="M104" s="15">
        <v>47361.0</v>
      </c>
      <c r="N104" s="15">
        <v>1191.0</v>
      </c>
      <c r="O104" s="16"/>
      <c r="P104" s="17">
        <v>40794.60476851852</v>
      </c>
      <c r="Q104" s="10" t="s">
        <v>553</v>
      </c>
      <c r="R104" s="10" t="s">
        <v>554</v>
      </c>
      <c r="S104" s="11" t="s">
        <v>555</v>
      </c>
      <c r="T104" s="13"/>
      <c r="U104" s="18" t="str">
        <f>HYPERLINK("https://pbs.twimg.com/profile_images/475512003461525504/h8ja3DXH.jpeg","View")</f>
        <v>View</v>
      </c>
      <c r="V104" s="13"/>
      <c r="W104" s="13"/>
      <c r="X104" s="13"/>
      <c r="Y104" s="13"/>
      <c r="Z104" s="13"/>
    </row>
    <row r="105">
      <c r="A105" s="8">
        <v>43848.8611574074</v>
      </c>
      <c r="B105" s="9" t="str">
        <f>HYPERLINK("https://twitter.com/redtaperesidue","@redtaperesidue")</f>
        <v>@redtaperesidue</v>
      </c>
      <c r="C105" s="10" t="s">
        <v>556</v>
      </c>
      <c r="D105" s="10" t="s">
        <v>557</v>
      </c>
      <c r="E105" s="9" t="str">
        <f>HYPERLINK("https://twitter.com/redtaperesidue/status/1218709678936461313","1218709678936461313")</f>
        <v>1218709678936461313</v>
      </c>
      <c r="F105" s="11" t="s">
        <v>558</v>
      </c>
      <c r="G105" s="12"/>
      <c r="H105" s="13"/>
      <c r="I105" s="14">
        <v>1.0</v>
      </c>
      <c r="J105" s="14">
        <v>3.0</v>
      </c>
      <c r="K105" s="9" t="str">
        <f>HYPERLINK("https://mobile.twitter.com","Twitter Web App")</f>
        <v>Twitter Web App</v>
      </c>
      <c r="L105" s="15">
        <v>7517.0</v>
      </c>
      <c r="M105" s="15">
        <v>7037.0</v>
      </c>
      <c r="N105" s="15">
        <v>93.0</v>
      </c>
      <c r="O105" s="16"/>
      <c r="P105" s="17">
        <v>42293.1644212963</v>
      </c>
      <c r="Q105" s="10" t="s">
        <v>559</v>
      </c>
      <c r="R105" s="10" t="s">
        <v>560</v>
      </c>
      <c r="S105" s="11" t="s">
        <v>561</v>
      </c>
      <c r="T105" s="13"/>
      <c r="U105" s="18" t="str">
        <f>HYPERLINK("https://pbs.twimg.com/profile_images/1217098227532685317/of_Hyr7M.jpg","View")</f>
        <v>View</v>
      </c>
      <c r="V105" s="13"/>
      <c r="W105" s="13"/>
      <c r="X105" s="13"/>
      <c r="Y105" s="13"/>
      <c r="Z105" s="13"/>
    </row>
    <row r="106">
      <c r="A106" s="8">
        <v>43848.86033564815</v>
      </c>
      <c r="B106" s="9" t="str">
        <f>HYPERLINK("https://twitter.com/bluebottlehorse","@bluebottlehorse")</f>
        <v>@bluebottlehorse</v>
      </c>
      <c r="C106" s="10" t="s">
        <v>562</v>
      </c>
      <c r="D106" s="10" t="s">
        <v>563</v>
      </c>
      <c r="E106" s="9" t="str">
        <f>HYPERLINK("https://twitter.com/bluebottlehorse/status/1218709381501472768","1218709381501472768")</f>
        <v>1218709381501472768</v>
      </c>
      <c r="F106" s="13"/>
      <c r="G106" s="12"/>
      <c r="H106" s="13"/>
      <c r="I106" s="14">
        <v>0.0</v>
      </c>
      <c r="J106" s="14">
        <v>0.0</v>
      </c>
      <c r="K106" s="9" t="str">
        <f>HYPERLINK("http://twitter.com/download/iphone","Twitter for iPhone")</f>
        <v>Twitter for iPhone</v>
      </c>
      <c r="L106" s="15">
        <v>1.0</v>
      </c>
      <c r="M106" s="15">
        <v>2.0</v>
      </c>
      <c r="N106" s="15">
        <v>0.0</v>
      </c>
      <c r="O106" s="16"/>
      <c r="P106" s="17">
        <v>43449.84751157407</v>
      </c>
      <c r="Q106" s="12"/>
      <c r="R106" s="10" t="s">
        <v>564</v>
      </c>
      <c r="S106" s="13"/>
      <c r="T106" s="13"/>
      <c r="U106" s="18" t="str">
        <f>HYPERLINK("https://pbs.twimg.com/profile_images/1074114273574416384/wOZqT57f.jpg","View")</f>
        <v>View</v>
      </c>
      <c r="V106" s="13"/>
      <c r="W106" s="13"/>
      <c r="X106" s="13"/>
      <c r="Y106" s="13"/>
      <c r="Z106" s="13"/>
    </row>
    <row r="107">
      <c r="A107" s="8">
        <v>43848.85978009259</v>
      </c>
      <c r="B107" s="9" t="str">
        <f>HYPERLINK("https://twitter.com/SteveHainesCMHN","@SteveHainesCMHN")</f>
        <v>@SteveHainesCMHN</v>
      </c>
      <c r="C107" s="10" t="s">
        <v>565</v>
      </c>
      <c r="D107" s="10" t="s">
        <v>566</v>
      </c>
      <c r="E107" s="9" t="str">
        <f>HYPERLINK("https://twitter.com/SteveHainesCMHN/status/1218709177159184384","1218709177159184384")</f>
        <v>1218709177159184384</v>
      </c>
      <c r="F107" s="11" t="s">
        <v>567</v>
      </c>
      <c r="G107" s="12"/>
      <c r="H107" s="13"/>
      <c r="I107" s="14">
        <v>0.0</v>
      </c>
      <c r="J107" s="14">
        <v>1.0</v>
      </c>
      <c r="K107" s="9" t="str">
        <f>HYPERLINK("https://mobile.twitter.com","Twitter Web App")</f>
        <v>Twitter Web App</v>
      </c>
      <c r="L107" s="15">
        <v>208.0</v>
      </c>
      <c r="M107" s="15">
        <v>270.0</v>
      </c>
      <c r="N107" s="15">
        <v>1.0</v>
      </c>
      <c r="O107" s="16"/>
      <c r="P107" s="17">
        <v>43694.83170138889</v>
      </c>
      <c r="Q107" s="10" t="s">
        <v>568</v>
      </c>
      <c r="R107" s="10" t="s">
        <v>569</v>
      </c>
      <c r="S107" s="13"/>
      <c r="T107" s="13"/>
      <c r="U107" s="18" t="str">
        <f>HYPERLINK("https://pbs.twimg.com/profile_images/1162879731479396353/_yB1Z9fY.jpg","View")</f>
        <v>View</v>
      </c>
      <c r="V107" s="13"/>
      <c r="W107" s="13"/>
      <c r="X107" s="13"/>
      <c r="Y107" s="13"/>
      <c r="Z107" s="13"/>
    </row>
    <row r="108">
      <c r="A108" s="8">
        <v>43848.859664351854</v>
      </c>
      <c r="B108" s="9" t="str">
        <f>HYPERLINK("https://twitter.com/JoeAccardi","@JoeAccardi")</f>
        <v>@JoeAccardi</v>
      </c>
      <c r="C108" s="10" t="s">
        <v>570</v>
      </c>
      <c r="D108" s="10" t="s">
        <v>571</v>
      </c>
      <c r="E108" s="9" t="str">
        <f>HYPERLINK("https://twitter.com/JoeAccardi/status/1218709138022305792","1218709138022305792")</f>
        <v>1218709138022305792</v>
      </c>
      <c r="F108" s="11" t="s">
        <v>572</v>
      </c>
      <c r="G108" s="12"/>
      <c r="H108" s="13"/>
      <c r="I108" s="14">
        <v>0.0</v>
      </c>
      <c r="J108" s="14">
        <v>0.0</v>
      </c>
      <c r="K108" s="9" t="str">
        <f>HYPERLINK("http://apps.twitter.com","Tweet4Joe")</f>
        <v>Tweet4Joe</v>
      </c>
      <c r="L108" s="15">
        <v>7454.0</v>
      </c>
      <c r="M108" s="15">
        <v>3963.0</v>
      </c>
      <c r="N108" s="15">
        <v>180.0</v>
      </c>
      <c r="O108" s="16"/>
      <c r="P108" s="17">
        <v>41954.40488425926</v>
      </c>
      <c r="Q108" s="10" t="s">
        <v>73</v>
      </c>
      <c r="R108" s="10" t="s">
        <v>573</v>
      </c>
      <c r="S108" s="11" t="s">
        <v>574</v>
      </c>
      <c r="T108" s="13"/>
      <c r="U108" s="18" t="str">
        <f>HYPERLINK("https://pbs.twimg.com/profile_images/532181977642721280/iVWYxAYE.jpeg","View")</f>
        <v>View</v>
      </c>
      <c r="V108" s="13"/>
      <c r="W108" s="13"/>
      <c r="X108" s="13"/>
      <c r="Y108" s="13"/>
      <c r="Z108" s="13"/>
    </row>
    <row r="109">
      <c r="A109" s="8">
        <v>43848.85927083333</v>
      </c>
      <c r="B109" s="9" t="str">
        <f>HYPERLINK("https://twitter.com/health_monitor7","@health_monitor7")</f>
        <v>@health_monitor7</v>
      </c>
      <c r="C109" s="10" t="s">
        <v>218</v>
      </c>
      <c r="D109" s="10" t="s">
        <v>575</v>
      </c>
      <c r="E109" s="9" t="str">
        <f>HYPERLINK("https://twitter.com/health_monitor7/status/1218708995810168832","1218708995810168832")</f>
        <v>1218708995810168832</v>
      </c>
      <c r="F109" s="13"/>
      <c r="G109" s="12"/>
      <c r="H109" s="13"/>
      <c r="I109" s="14">
        <v>0.0</v>
      </c>
      <c r="J109" s="14">
        <v>0.0</v>
      </c>
      <c r="K109" s="9" t="str">
        <f>HYPERLINK("http://twitter.com/download/android","Twitter for Android")</f>
        <v>Twitter for Android</v>
      </c>
      <c r="L109" s="15">
        <v>21.0</v>
      </c>
      <c r="M109" s="15">
        <v>37.0</v>
      </c>
      <c r="N109" s="15">
        <v>0.0</v>
      </c>
      <c r="O109" s="16"/>
      <c r="P109" s="17">
        <v>43767.47483796296</v>
      </c>
      <c r="Q109" s="12"/>
      <c r="R109" s="10" t="s">
        <v>221</v>
      </c>
      <c r="S109" s="11" t="s">
        <v>222</v>
      </c>
      <c r="T109" s="13"/>
      <c r="U109" s="18" t="str">
        <f>HYPERLINK("https://pbs.twimg.com/profile_images/1218000466430156800/PMxt5qkT.png","View")</f>
        <v>View</v>
      </c>
      <c r="V109" s="13"/>
      <c r="W109" s="13"/>
      <c r="X109" s="13"/>
      <c r="Y109" s="13"/>
      <c r="Z109" s="13"/>
    </row>
    <row r="110">
      <c r="A110" s="8">
        <v>43848.85728009259</v>
      </c>
      <c r="B110" s="9" t="str">
        <f>HYPERLINK("https://twitter.com/BloodMoonLilin","@BloodMoonLilin")</f>
        <v>@BloodMoonLilin</v>
      </c>
      <c r="C110" s="10" t="s">
        <v>576</v>
      </c>
      <c r="D110" s="10" t="s">
        <v>577</v>
      </c>
      <c r="E110" s="9" t="str">
        <f>HYPERLINK("https://twitter.com/BloodMoonLilin/status/1218708272229732357","1218708272229732357")</f>
        <v>1218708272229732357</v>
      </c>
      <c r="F110" s="11" t="s">
        <v>578</v>
      </c>
      <c r="G110" s="12"/>
      <c r="H110" s="13"/>
      <c r="I110" s="14">
        <v>0.0</v>
      </c>
      <c r="J110" s="14">
        <v>2.0</v>
      </c>
      <c r="K110" s="9" t="str">
        <f>HYPERLINK("https://mobile.twitter.com","Twitter Web App")</f>
        <v>Twitter Web App</v>
      </c>
      <c r="L110" s="15">
        <v>85.0</v>
      </c>
      <c r="M110" s="15">
        <v>88.0</v>
      </c>
      <c r="N110" s="15">
        <v>0.0</v>
      </c>
      <c r="O110" s="16"/>
      <c r="P110" s="17">
        <v>40176.488599537035</v>
      </c>
      <c r="Q110" s="10" t="s">
        <v>579</v>
      </c>
      <c r="R110" s="10" t="s">
        <v>580</v>
      </c>
      <c r="S110" s="11" t="s">
        <v>581</v>
      </c>
      <c r="T110" s="13"/>
      <c r="U110" s="18" t="str">
        <f>HYPERLINK("https://pbs.twimg.com/profile_images/598820706/CopyofBlood_Stained_Words_by_AndyAS.jpg","View")</f>
        <v>View</v>
      </c>
      <c r="V110" s="13"/>
      <c r="W110" s="13"/>
      <c r="X110" s="13"/>
      <c r="Y110" s="13"/>
      <c r="Z110" s="13"/>
    </row>
    <row r="111">
      <c r="A111" s="8">
        <v>43848.85695601851</v>
      </c>
      <c r="B111" s="9" t="str">
        <f>HYPERLINK("https://twitter.com/clearviewwomens","@clearviewwomens")</f>
        <v>@clearviewwomens</v>
      </c>
      <c r="C111" s="10" t="s">
        <v>582</v>
      </c>
      <c r="D111" s="10" t="s">
        <v>583</v>
      </c>
      <c r="E111" s="9" t="str">
        <f>HYPERLINK("https://twitter.com/clearviewwomens/status/1218708154512560130","1218708154512560130")</f>
        <v>1218708154512560130</v>
      </c>
      <c r="F111" s="11" t="s">
        <v>584</v>
      </c>
      <c r="G111" s="12"/>
      <c r="H111" s="13"/>
      <c r="I111" s="14">
        <v>0.0</v>
      </c>
      <c r="J111" s="14">
        <v>0.0</v>
      </c>
      <c r="K111" s="9" t="str">
        <f>HYPERLINK("https://sproutsocial.com","Sprout Social")</f>
        <v>Sprout Social</v>
      </c>
      <c r="L111" s="15">
        <v>1943.0</v>
      </c>
      <c r="M111" s="15">
        <v>484.0</v>
      </c>
      <c r="N111" s="15">
        <v>34.0</v>
      </c>
      <c r="O111" s="16"/>
      <c r="P111" s="17">
        <v>40316.5829050926</v>
      </c>
      <c r="Q111" s="10" t="s">
        <v>585</v>
      </c>
      <c r="R111" s="10" t="s">
        <v>586</v>
      </c>
      <c r="S111" s="11" t="s">
        <v>587</v>
      </c>
      <c r="T111" s="13"/>
      <c r="U111" s="18" t="str">
        <f>HYPERLINK("https://pbs.twimg.com/profile_images/992457634858008577/6F7Mz0oK.jpg","View")</f>
        <v>View</v>
      </c>
      <c r="V111" s="13"/>
      <c r="W111" s="13"/>
      <c r="X111" s="13"/>
      <c r="Y111" s="13"/>
      <c r="Z111" s="13"/>
    </row>
    <row r="112">
      <c r="A112" s="8">
        <v>43848.85644675926</v>
      </c>
      <c r="B112" s="9" t="str">
        <f>HYPERLINK("https://twitter.com/BeardedEric29","@BeardedEric29")</f>
        <v>@BeardedEric29</v>
      </c>
      <c r="C112" s="10" t="s">
        <v>588</v>
      </c>
      <c r="D112" s="10" t="s">
        <v>589</v>
      </c>
      <c r="E112" s="9" t="str">
        <f>HYPERLINK("https://twitter.com/BeardedEric29/status/1218707971997421568","1218707971997421568")</f>
        <v>1218707971997421568</v>
      </c>
      <c r="F112" s="13"/>
      <c r="G112" s="12"/>
      <c r="H112" s="13"/>
      <c r="I112" s="14">
        <v>0.0</v>
      </c>
      <c r="J112" s="14">
        <v>0.0</v>
      </c>
      <c r="K112" s="9" t="str">
        <f>HYPERLINK("http://twitter.com/download/android","Twitter for Android")</f>
        <v>Twitter for Android</v>
      </c>
      <c r="L112" s="15">
        <v>594.0</v>
      </c>
      <c r="M112" s="15">
        <v>1744.0</v>
      </c>
      <c r="N112" s="15">
        <v>2.0</v>
      </c>
      <c r="O112" s="16"/>
      <c r="P112" s="17">
        <v>41491.303449074076</v>
      </c>
      <c r="Q112" s="10" t="s">
        <v>590</v>
      </c>
      <c r="R112" s="10" t="s">
        <v>591</v>
      </c>
      <c r="S112" s="13"/>
      <c r="T112" s="13"/>
      <c r="U112" s="18" t="str">
        <f>HYPERLINK("https://pbs.twimg.com/profile_images/1210664836583043072/xbxPAR2x.jpg","View")</f>
        <v>View</v>
      </c>
      <c r="V112" s="13"/>
      <c r="W112" s="13"/>
      <c r="X112" s="13"/>
      <c r="Y112" s="13"/>
      <c r="Z112" s="13"/>
    </row>
    <row r="113">
      <c r="A113" s="8">
        <v>43848.85481481481</v>
      </c>
      <c r="B113" s="9" t="str">
        <f>HYPERLINK("https://twitter.com/JayHollingshed","@JayHollingshed")</f>
        <v>@JayHollingshed</v>
      </c>
      <c r="C113" s="10" t="s">
        <v>592</v>
      </c>
      <c r="D113" s="10" t="s">
        <v>593</v>
      </c>
      <c r="E113" s="9" t="str">
        <f>HYPERLINK("https://twitter.com/JayHollingshed/status/1218707380529258496","1218707380529258496")</f>
        <v>1218707380529258496</v>
      </c>
      <c r="F113" s="13"/>
      <c r="G113" s="11" t="s">
        <v>594</v>
      </c>
      <c r="H113" s="13"/>
      <c r="I113" s="14">
        <v>0.0</v>
      </c>
      <c r="J113" s="14">
        <v>0.0</v>
      </c>
      <c r="K113" s="9" t="str">
        <f>HYPERLINK("http://twitter.com/download/iphone","Twitter for iPhone")</f>
        <v>Twitter for iPhone</v>
      </c>
      <c r="L113" s="15">
        <v>900.0</v>
      </c>
      <c r="M113" s="15">
        <v>1448.0</v>
      </c>
      <c r="N113" s="15">
        <v>47.0</v>
      </c>
      <c r="O113" s="16"/>
      <c r="P113" s="17">
        <v>42066.47707175926</v>
      </c>
      <c r="Q113" s="10" t="s">
        <v>595</v>
      </c>
      <c r="R113" s="10" t="s">
        <v>596</v>
      </c>
      <c r="S113" s="11" t="s">
        <v>597</v>
      </c>
      <c r="T113" s="13"/>
      <c r="U113" s="18" t="str">
        <f>HYPERLINK("https://pbs.twimg.com/profile_images/1145534655560585216/-J1bWgqf.jpg","View")</f>
        <v>View</v>
      </c>
      <c r="V113" s="13"/>
      <c r="W113" s="13"/>
      <c r="X113" s="13"/>
      <c r="Y113" s="13"/>
      <c r="Z113" s="13"/>
    </row>
    <row r="114">
      <c r="A114" s="8">
        <v>43848.85418981481</v>
      </c>
      <c r="B114" s="9" t="str">
        <f>HYPERLINK("https://twitter.com/wysabuddy","@wysabuddy")</f>
        <v>@wysabuddy</v>
      </c>
      <c r="C114" s="10" t="s">
        <v>325</v>
      </c>
      <c r="D114" s="10" t="s">
        <v>598</v>
      </c>
      <c r="E114" s="9" t="str">
        <f>HYPERLINK("https://twitter.com/wysabuddy/status/1218707154796011520","1218707154796011520")</f>
        <v>1218707154796011520</v>
      </c>
      <c r="F114" s="11" t="s">
        <v>327</v>
      </c>
      <c r="G114" s="11" t="s">
        <v>599</v>
      </c>
      <c r="H114" s="13"/>
      <c r="I114" s="14">
        <v>1.0</v>
      </c>
      <c r="J114" s="14">
        <v>0.0</v>
      </c>
      <c r="K114" s="9" t="str">
        <f>HYPERLINK("https://sproutsocial.com","Sprout Social")</f>
        <v>Sprout Social</v>
      </c>
      <c r="L114" s="15">
        <v>3945.0</v>
      </c>
      <c r="M114" s="15">
        <v>981.0</v>
      </c>
      <c r="N114" s="15">
        <v>163.0</v>
      </c>
      <c r="O114" s="16"/>
      <c r="P114" s="17">
        <v>41735.31763888889</v>
      </c>
      <c r="Q114" s="10" t="s">
        <v>329</v>
      </c>
      <c r="R114" s="10" t="s">
        <v>330</v>
      </c>
      <c r="S114" s="11" t="s">
        <v>327</v>
      </c>
      <c r="T114" s="13"/>
      <c r="U114" s="18" t="str">
        <f>HYPERLINK("https://pbs.twimg.com/profile_images/986922852900159488/b-suTNS6.jpg","View")</f>
        <v>View</v>
      </c>
      <c r="V114" s="13"/>
      <c r="W114" s="13"/>
      <c r="X114" s="13"/>
      <c r="Y114" s="13"/>
      <c r="Z114" s="13"/>
    </row>
    <row r="115">
      <c r="A115" s="8">
        <v>43848.85296296296</v>
      </c>
      <c r="B115" s="9" t="str">
        <f>HYPERLINK("https://twitter.com/AnnaArmadillo","@AnnaArmadillo")</f>
        <v>@AnnaArmadillo</v>
      </c>
      <c r="C115" s="10" t="s">
        <v>600</v>
      </c>
      <c r="D115" s="10" t="s">
        <v>601</v>
      </c>
      <c r="E115" s="9" t="str">
        <f>HYPERLINK("https://twitter.com/AnnaArmadillo/status/1218706707888648194","1218706707888648194")</f>
        <v>1218706707888648194</v>
      </c>
      <c r="F115" s="11" t="s">
        <v>602</v>
      </c>
      <c r="G115" s="12"/>
      <c r="H115" s="13"/>
      <c r="I115" s="14">
        <v>1.0</v>
      </c>
      <c r="J115" s="14">
        <v>3.0</v>
      </c>
      <c r="K115" s="9" t="str">
        <f>HYPERLINK("https://mobile.twitter.com","Twitter Web App")</f>
        <v>Twitter Web App</v>
      </c>
      <c r="L115" s="15">
        <v>1834.0</v>
      </c>
      <c r="M115" s="15">
        <v>4907.0</v>
      </c>
      <c r="N115" s="15">
        <v>8.0</v>
      </c>
      <c r="O115" s="16"/>
      <c r="P115" s="17">
        <v>42927.15138888889</v>
      </c>
      <c r="Q115" s="10" t="s">
        <v>603</v>
      </c>
      <c r="R115" s="10" t="s">
        <v>604</v>
      </c>
      <c r="S115" s="11" t="s">
        <v>605</v>
      </c>
      <c r="T115" s="13"/>
      <c r="U115" s="18" t="str">
        <f>HYPERLINK("https://pbs.twimg.com/profile_images/1160590662028419081/_OeOK6NT.jpg","View")</f>
        <v>View</v>
      </c>
      <c r="V115" s="13"/>
      <c r="W115" s="13"/>
      <c r="X115" s="13"/>
      <c r="Y115" s="13"/>
      <c r="Z115" s="13"/>
    </row>
    <row r="116">
      <c r="A116" s="8">
        <v>43848.85223379629</v>
      </c>
      <c r="B116" s="9" t="str">
        <f>HYPERLINK("https://twitter.com/maddy_ai","@maddy_ai")</f>
        <v>@maddy_ai</v>
      </c>
      <c r="C116" s="10" t="s">
        <v>606</v>
      </c>
      <c r="D116" s="22" t="s">
        <v>607</v>
      </c>
      <c r="E116" s="9" t="str">
        <f>HYPERLINK("https://twitter.com/maddy_ai/status/1218706444339634176","1218706444339634176")</f>
        <v>1218706444339634176</v>
      </c>
      <c r="F116" s="11" t="s">
        <v>608</v>
      </c>
      <c r="G116" s="12"/>
      <c r="H116" s="13"/>
      <c r="I116" s="14">
        <v>0.0</v>
      </c>
      <c r="J116" s="14">
        <v>0.0</v>
      </c>
      <c r="K116" s="9" t="str">
        <f>HYPERLINK("http://twitter.com","Twitter Web Client")</f>
        <v>Twitter Web Client</v>
      </c>
      <c r="L116" s="15">
        <v>64.0</v>
      </c>
      <c r="M116" s="15">
        <v>24.0</v>
      </c>
      <c r="N116" s="15">
        <v>2.0</v>
      </c>
      <c r="O116" s="16"/>
      <c r="P116" s="17">
        <v>39988.822916666664</v>
      </c>
      <c r="Q116" s="12"/>
      <c r="R116" s="10" t="s">
        <v>609</v>
      </c>
      <c r="S116" s="11" t="s">
        <v>610</v>
      </c>
      <c r="T116" s="13"/>
      <c r="U116" s="18" t="str">
        <f>HYPERLINK("https://pbs.twimg.com/profile_images/836772435747876864/PXkGv613.jpg","View")</f>
        <v>View</v>
      </c>
      <c r="V116" s="13"/>
      <c r="W116" s="13"/>
      <c r="X116" s="13"/>
      <c r="Y116" s="13"/>
      <c r="Z116" s="13"/>
    </row>
    <row r="117">
      <c r="A117" s="8">
        <v>43848.851377314815</v>
      </c>
      <c r="B117" s="9" t="str">
        <f>HYPERLINK("https://twitter.com/melissaracing","@melissaracing")</f>
        <v>@melissaracing</v>
      </c>
      <c r="C117" s="10" t="s">
        <v>611</v>
      </c>
      <c r="D117" s="10" t="s">
        <v>612</v>
      </c>
      <c r="E117" s="9" t="str">
        <f>HYPERLINK("https://twitter.com/melissaracing/status/1218706135768686592","1218706135768686592")</f>
        <v>1218706135768686592</v>
      </c>
      <c r="F117" s="11" t="s">
        <v>613</v>
      </c>
      <c r="G117" s="12"/>
      <c r="H117" s="13"/>
      <c r="I117" s="14">
        <v>1.0</v>
      </c>
      <c r="J117" s="14">
        <v>1.0</v>
      </c>
      <c r="K117" s="9" t="str">
        <f>HYPERLINK("http://twitter.com/#!/download/ipad","Twitter for iPad")</f>
        <v>Twitter for iPad</v>
      </c>
      <c r="L117" s="15">
        <v>1083.0</v>
      </c>
      <c r="M117" s="15">
        <v>4999.0</v>
      </c>
      <c r="N117" s="15">
        <v>9.0</v>
      </c>
      <c r="O117" s="16"/>
      <c r="P117" s="17">
        <v>42297.0366087963</v>
      </c>
      <c r="Q117" s="10" t="s">
        <v>614</v>
      </c>
      <c r="R117" s="10" t="s">
        <v>615</v>
      </c>
      <c r="S117" s="11" t="s">
        <v>616</v>
      </c>
      <c r="T117" s="13"/>
      <c r="U117" s="18" t="str">
        <f>HYPERLINK("https://pbs.twimg.com/profile_images/1149171032395141125/9dR4ANTC.jpg","View")</f>
        <v>View</v>
      </c>
      <c r="V117" s="13"/>
      <c r="W117" s="13"/>
      <c r="X117" s="13"/>
      <c r="Y117" s="13"/>
      <c r="Z117" s="13"/>
    </row>
    <row r="118">
      <c r="A118" s="8">
        <v>43848.849745370375</v>
      </c>
      <c r="B118" s="9" t="str">
        <f>HYPERLINK("https://twitter.com/Nickel_City_Art","@Nickel_City_Art")</f>
        <v>@Nickel_City_Art</v>
      </c>
      <c r="C118" s="10" t="s">
        <v>617</v>
      </c>
      <c r="D118" s="10" t="s">
        <v>618</v>
      </c>
      <c r="E118" s="9" t="str">
        <f>HYPERLINK("https://twitter.com/Nickel_City_Art/status/1218705543155605505","1218705543155605505")</f>
        <v>1218705543155605505</v>
      </c>
      <c r="F118" s="13"/>
      <c r="G118" s="12"/>
      <c r="H118" s="13"/>
      <c r="I118" s="14">
        <v>0.0</v>
      </c>
      <c r="J118" s="14">
        <v>0.0</v>
      </c>
      <c r="K118" s="9" t="str">
        <f>HYPERLINK("http://twitter.com/download/android","Twitter for Android")</f>
        <v>Twitter for Android</v>
      </c>
      <c r="L118" s="15">
        <v>16.0</v>
      </c>
      <c r="M118" s="15">
        <v>195.0</v>
      </c>
      <c r="N118" s="15">
        <v>0.0</v>
      </c>
      <c r="O118" s="16"/>
      <c r="P118" s="17">
        <v>43677.65153935185</v>
      </c>
      <c r="Q118" s="12"/>
      <c r="R118" s="12"/>
      <c r="S118" s="13"/>
      <c r="T118" s="13"/>
      <c r="U118" s="18" t="str">
        <f>HYPERLINK("https://pbs.twimg.com/profile_images/1156651608614297600/jtpn12rN.jpg","View")</f>
        <v>View</v>
      </c>
      <c r="V118" s="13"/>
      <c r="W118" s="13"/>
      <c r="X118" s="13"/>
      <c r="Y118" s="13"/>
      <c r="Z118" s="13"/>
    </row>
    <row r="119">
      <c r="A119" s="8">
        <v>43848.84798611111</v>
      </c>
      <c r="B119" s="9" t="str">
        <f>HYPERLINK("https://twitter.com/DrGilda","@DrGilda")</f>
        <v>@DrGilda</v>
      </c>
      <c r="C119" s="10" t="s">
        <v>619</v>
      </c>
      <c r="D119" s="10" t="s">
        <v>620</v>
      </c>
      <c r="E119" s="9" t="str">
        <f>HYPERLINK("https://twitter.com/DrGilda/status/1218704905977913344","1218704905977913344")</f>
        <v>1218704905977913344</v>
      </c>
      <c r="F119" s="11" t="s">
        <v>621</v>
      </c>
      <c r="G119" s="11" t="s">
        <v>622</v>
      </c>
      <c r="H119" s="13"/>
      <c r="I119" s="14">
        <v>0.0</v>
      </c>
      <c r="J119" s="14">
        <v>0.0</v>
      </c>
      <c r="K119" s="9" t="str">
        <f>HYPERLINK("https://buffer.com","Buffer")</f>
        <v>Buffer</v>
      </c>
      <c r="L119" s="15">
        <v>4645.0</v>
      </c>
      <c r="M119" s="15">
        <v>4241.0</v>
      </c>
      <c r="N119" s="15">
        <v>103.0</v>
      </c>
      <c r="O119" s="16"/>
      <c r="P119" s="17">
        <v>39939.67254629629</v>
      </c>
      <c r="Q119" s="10" t="s">
        <v>623</v>
      </c>
      <c r="R119" s="10" t="s">
        <v>624</v>
      </c>
      <c r="S119" s="11" t="s">
        <v>625</v>
      </c>
      <c r="T119" s="13"/>
      <c r="U119" s="18" t="str">
        <f>HYPERLINK("https://pbs.twimg.com/profile_images/899759228759359488/LdI2aOfY.jpg","View")</f>
        <v>View</v>
      </c>
      <c r="V119" s="13"/>
      <c r="W119" s="13"/>
      <c r="X119" s="13"/>
      <c r="Y119" s="13"/>
      <c r="Z119" s="13"/>
    </row>
    <row r="120">
      <c r="A120" s="8">
        <v>43848.84662037037</v>
      </c>
      <c r="B120" s="9" t="str">
        <f>HYPERLINK("https://twitter.com/EuroGamerGirl","@EuroGamerGirl")</f>
        <v>@EuroGamerGirl</v>
      </c>
      <c r="C120" s="10" t="s">
        <v>626</v>
      </c>
      <c r="D120" s="10" t="s">
        <v>627</v>
      </c>
      <c r="E120" s="9" t="str">
        <f>HYPERLINK("https://twitter.com/EuroGamerGirl/status/1218704408633937920","1218704408633937920")</f>
        <v>1218704408633937920</v>
      </c>
      <c r="F120" s="13"/>
      <c r="G120" s="12"/>
      <c r="H120" s="13"/>
      <c r="I120" s="14">
        <v>0.0</v>
      </c>
      <c r="J120" s="14">
        <v>3.0</v>
      </c>
      <c r="K120" s="9" t="str">
        <f>HYPERLINK("http://twitter.com/download/android","Twitter for Android")</f>
        <v>Twitter for Android</v>
      </c>
      <c r="L120" s="15">
        <v>5570.0</v>
      </c>
      <c r="M120" s="15">
        <v>3843.0</v>
      </c>
      <c r="N120" s="15">
        <v>210.0</v>
      </c>
      <c r="O120" s="16"/>
      <c r="P120" s="17">
        <v>41245.47268518519</v>
      </c>
      <c r="Q120" s="10" t="s">
        <v>628</v>
      </c>
      <c r="R120" s="10" t="s">
        <v>629</v>
      </c>
      <c r="S120" s="11" t="s">
        <v>630</v>
      </c>
      <c r="T120" s="13"/>
      <c r="U120" s="18" t="str">
        <f>HYPERLINK("https://pbs.twimg.com/profile_images/1213923500710215680/JCRqv-5E.jpg","View")</f>
        <v>View</v>
      </c>
      <c r="V120" s="13"/>
      <c r="W120" s="13"/>
      <c r="X120" s="13"/>
      <c r="Y120" s="13"/>
      <c r="Z120" s="13"/>
    </row>
    <row r="121">
      <c r="A121" s="8">
        <v>43848.84650462963</v>
      </c>
      <c r="B121" s="9" t="str">
        <f>HYPERLINK("https://twitter.com/tmj_CA_psych","@tmj_CA_psych")</f>
        <v>@tmj_CA_psych</v>
      </c>
      <c r="C121" s="10" t="s">
        <v>631</v>
      </c>
      <c r="D121" s="10" t="s">
        <v>632</v>
      </c>
      <c r="E121" s="9" t="str">
        <f>HYPERLINK("https://twitter.com/tmj_CA_psych/status/1218704369807310853","1218704369807310853")</f>
        <v>1218704369807310853</v>
      </c>
      <c r="F121" s="11" t="s">
        <v>633</v>
      </c>
      <c r="G121" s="12"/>
      <c r="H121" s="9" t="str">
        <f>HYPERLINK("https://ctrlq.org/maps/address/#34.0470832,-118.2965121","Map")</f>
        <v>Map</v>
      </c>
      <c r="I121" s="14">
        <v>0.0</v>
      </c>
      <c r="J121" s="14">
        <v>0.0</v>
      </c>
      <c r="K121" s="9" t="str">
        <f>HYPERLINK("https://www.careerarc.com","CareerArc 2.0")</f>
        <v>CareerArc 2.0</v>
      </c>
      <c r="L121" s="15">
        <v>112.0</v>
      </c>
      <c r="M121" s="15">
        <v>79.0</v>
      </c>
      <c r="N121" s="15">
        <v>21.0</v>
      </c>
      <c r="O121" s="16"/>
      <c r="P121" s="17">
        <v>40630.76917824074</v>
      </c>
      <c r="Q121" s="10" t="s">
        <v>634</v>
      </c>
      <c r="R121" s="10" t="s">
        <v>635</v>
      </c>
      <c r="S121" s="11" t="s">
        <v>636</v>
      </c>
      <c r="T121" s="13"/>
      <c r="U121" s="18" t="str">
        <f>HYPERLINK("https://pbs.twimg.com/profile_images/714885504886509569/8HF_GM4A.jpg","View")</f>
        <v>View</v>
      </c>
      <c r="V121" s="13"/>
      <c r="W121" s="13"/>
      <c r="X121" s="13"/>
      <c r="Y121" s="13"/>
      <c r="Z121" s="13"/>
    </row>
    <row r="122">
      <c r="A122" s="8">
        <v>43848.84597222222</v>
      </c>
      <c r="B122" s="9" t="str">
        <f>HYPERLINK("https://twitter.com/IntenseProdz","@IntenseProdz")</f>
        <v>@IntenseProdz</v>
      </c>
      <c r="C122" s="10" t="s">
        <v>637</v>
      </c>
      <c r="D122" s="10" t="s">
        <v>638</v>
      </c>
      <c r="E122" s="9" t="str">
        <f>HYPERLINK("https://twitter.com/IntenseProdz/status/1218704174159785984","1218704174159785984")</f>
        <v>1218704174159785984</v>
      </c>
      <c r="F122" s="13"/>
      <c r="G122" s="12"/>
      <c r="H122" s="13"/>
      <c r="I122" s="14">
        <v>0.0</v>
      </c>
      <c r="J122" s="14">
        <v>0.0</v>
      </c>
      <c r="K122" s="9" t="str">
        <f>HYPERLINK("http://twitter.com/download/iphone","Twitter for iPhone")</f>
        <v>Twitter for iPhone</v>
      </c>
      <c r="L122" s="15">
        <v>340.0</v>
      </c>
      <c r="M122" s="15">
        <v>239.0</v>
      </c>
      <c r="N122" s="15">
        <v>4.0</v>
      </c>
      <c r="O122" s="16"/>
      <c r="P122" s="17">
        <v>40282.89195601852</v>
      </c>
      <c r="Q122" s="10" t="s">
        <v>639</v>
      </c>
      <c r="R122" s="10" t="s">
        <v>640</v>
      </c>
      <c r="S122" s="13"/>
      <c r="T122" s="13"/>
      <c r="U122" s="18" t="str">
        <f>HYPERLINK("https://pbs.twimg.com/profile_images/1217284615573884929/l5fn3Yr_.jpg","View")</f>
        <v>View</v>
      </c>
      <c r="V122" s="13"/>
      <c r="W122" s="13"/>
      <c r="X122" s="13"/>
      <c r="Y122" s="13"/>
      <c r="Z122" s="13"/>
    </row>
    <row r="123">
      <c r="A123" s="8">
        <v>43848.84585648148</v>
      </c>
      <c r="B123" s="9" t="str">
        <f>HYPERLINK("https://twitter.com/altocubic","@altocubic")</f>
        <v>@altocubic</v>
      </c>
      <c r="C123" s="10" t="s">
        <v>641</v>
      </c>
      <c r="D123" s="10" t="s">
        <v>642</v>
      </c>
      <c r="E123" s="9" t="str">
        <f>HYPERLINK("https://twitter.com/altocubic/status/1218704134137765888","1218704134137765888")</f>
        <v>1218704134137765888</v>
      </c>
      <c r="F123" s="11" t="s">
        <v>643</v>
      </c>
      <c r="G123" s="12"/>
      <c r="H123" s="13"/>
      <c r="I123" s="14">
        <v>0.0</v>
      </c>
      <c r="J123" s="14">
        <v>0.0</v>
      </c>
      <c r="K123" s="9" t="str">
        <f>HYPERLINK("https://mobile.twitter.com","Twitter Web App")</f>
        <v>Twitter Web App</v>
      </c>
      <c r="L123" s="15">
        <v>486.0</v>
      </c>
      <c r="M123" s="15">
        <v>2220.0</v>
      </c>
      <c r="N123" s="15">
        <v>6.0</v>
      </c>
      <c r="O123" s="16"/>
      <c r="P123" s="17">
        <v>39801.7061574074</v>
      </c>
      <c r="Q123" s="10" t="s">
        <v>644</v>
      </c>
      <c r="R123" s="10" t="s">
        <v>645</v>
      </c>
      <c r="S123" s="11" t="s">
        <v>646</v>
      </c>
      <c r="T123" s="13"/>
      <c r="U123" s="18" t="str">
        <f>HYPERLINK("https://pbs.twimg.com/profile_images/378800000401760366/782bbb78d1f581cbaa50af782e04ba54.jpeg","View")</f>
        <v>View</v>
      </c>
      <c r="V123" s="13"/>
      <c r="W123" s="13"/>
      <c r="X123" s="13"/>
      <c r="Y123" s="13"/>
      <c r="Z123" s="13"/>
    </row>
    <row r="124">
      <c r="A124" s="8">
        <v>43848.841736111106</v>
      </c>
      <c r="B124" s="9" t="str">
        <f>HYPERLINK("https://twitter.com/CHEOWonderlandT","@CHEOWonderlandT")</f>
        <v>@CHEOWonderlandT</v>
      </c>
      <c r="C124" s="10" t="s">
        <v>647</v>
      </c>
      <c r="D124" s="10" t="s">
        <v>648</v>
      </c>
      <c r="E124" s="9" t="str">
        <f>HYPERLINK("https://twitter.com/CHEOWonderlandT/status/1218702642098196480","1218702642098196480")</f>
        <v>1218702642098196480</v>
      </c>
      <c r="F124" s="13"/>
      <c r="G124" s="11" t="s">
        <v>649</v>
      </c>
      <c r="H124" s="13"/>
      <c r="I124" s="14">
        <v>1.0</v>
      </c>
      <c r="J124" s="14">
        <v>0.0</v>
      </c>
      <c r="K124" s="9" t="str">
        <f>HYPERLINK("http://twitter.com/download/iphone","Twitter for iPhone")</f>
        <v>Twitter for iPhone</v>
      </c>
      <c r="L124" s="15">
        <v>24.0</v>
      </c>
      <c r="M124" s="15">
        <v>11.0</v>
      </c>
      <c r="N124" s="15">
        <v>1.0</v>
      </c>
      <c r="O124" s="16"/>
      <c r="P124" s="17">
        <v>43130.445185185185</v>
      </c>
      <c r="Q124" s="10" t="s">
        <v>650</v>
      </c>
      <c r="R124" s="10" t="s">
        <v>651</v>
      </c>
      <c r="S124" s="11" t="s">
        <v>652</v>
      </c>
      <c r="T124" s="13"/>
      <c r="U124" s="18" t="str">
        <f>HYPERLINK("https://pbs.twimg.com/profile_images/965746155777863680/gGwcszsz.jpg","View")</f>
        <v>View</v>
      </c>
      <c r="V124" s="13"/>
      <c r="W124" s="13"/>
      <c r="X124" s="13"/>
      <c r="Y124" s="13"/>
      <c r="Z124" s="13"/>
    </row>
    <row r="125">
      <c r="A125" s="8">
        <v>43848.841215277775</v>
      </c>
      <c r="B125" s="9" t="str">
        <f>HYPERLINK("https://twitter.com/harcetyl","@harcetyl")</f>
        <v>@harcetyl</v>
      </c>
      <c r="C125" s="10" t="s">
        <v>653</v>
      </c>
      <c r="D125" s="10" t="s">
        <v>238</v>
      </c>
      <c r="E125" s="9" t="str">
        <f>HYPERLINK("https://twitter.com/harcetyl/status/1218702451597094914","1218702451597094914")</f>
        <v>1218702451597094914</v>
      </c>
      <c r="F125" s="13"/>
      <c r="G125" s="12"/>
      <c r="H125" s="13"/>
      <c r="I125" s="14">
        <v>1.0</v>
      </c>
      <c r="J125" s="14">
        <v>0.0</v>
      </c>
      <c r="K125" s="9" t="str">
        <f>HYPERLINK("http://twitter.com/download/android","Twitter for Android")</f>
        <v>Twitter for Android</v>
      </c>
      <c r="L125" s="15">
        <v>701.0</v>
      </c>
      <c r="M125" s="15">
        <v>1602.0</v>
      </c>
      <c r="N125" s="15">
        <v>0.0</v>
      </c>
      <c r="O125" s="16"/>
      <c r="P125" s="17">
        <v>43394.706562499996</v>
      </c>
      <c r="Q125" s="10" t="s">
        <v>654</v>
      </c>
      <c r="R125" s="10" t="s">
        <v>655</v>
      </c>
      <c r="S125" s="11" t="s">
        <v>656</v>
      </c>
      <c r="T125" s="13"/>
      <c r="U125" s="18" t="str">
        <f>HYPERLINK("https://pbs.twimg.com/profile_images/1137220613351911424/2JyqTQ5K.jpg","View")</f>
        <v>View</v>
      </c>
      <c r="V125" s="13"/>
      <c r="W125" s="13"/>
      <c r="X125" s="13"/>
      <c r="Y125" s="13"/>
      <c r="Z125" s="13"/>
    </row>
    <row r="126">
      <c r="A126" s="8">
        <v>43848.838425925926</v>
      </c>
      <c r="B126" s="9" t="str">
        <f>HYPERLINK("https://twitter.com/AnnaCockayne","@AnnaCockayne")</f>
        <v>@AnnaCockayne</v>
      </c>
      <c r="C126" s="10" t="s">
        <v>657</v>
      </c>
      <c r="D126" s="10" t="s">
        <v>658</v>
      </c>
      <c r="E126" s="9" t="str">
        <f>HYPERLINK("https://twitter.com/AnnaCockayne/status/1218701441910673408","1218701441910673408")</f>
        <v>1218701441910673408</v>
      </c>
      <c r="F126" s="11" t="s">
        <v>659</v>
      </c>
      <c r="G126" s="12"/>
      <c r="H126" s="13"/>
      <c r="I126" s="14">
        <v>1.0</v>
      </c>
      <c r="J126" s="14">
        <v>0.0</v>
      </c>
      <c r="K126" s="9" t="str">
        <f>HYPERLINK("http://twitter.com","Twitter Web Client")</f>
        <v>Twitter Web Client</v>
      </c>
      <c r="L126" s="15">
        <v>5847.0</v>
      </c>
      <c r="M126" s="15">
        <v>662.0</v>
      </c>
      <c r="N126" s="15">
        <v>251.0</v>
      </c>
      <c r="O126" s="16"/>
      <c r="P126" s="17">
        <v>40190.812569444446</v>
      </c>
      <c r="Q126" s="10" t="s">
        <v>660</v>
      </c>
      <c r="R126" s="10" t="s">
        <v>661</v>
      </c>
      <c r="S126" s="13"/>
      <c r="T126" s="13"/>
      <c r="U126" s="18" t="str">
        <f>HYPERLINK("https://pbs.twimg.com/profile_images/1100124934368649216/lNIRfCkd.png","View")</f>
        <v>View</v>
      </c>
      <c r="V126" s="13"/>
      <c r="W126" s="13"/>
      <c r="X126" s="13"/>
      <c r="Y126" s="13"/>
      <c r="Z126" s="13"/>
    </row>
    <row r="127">
      <c r="A127" s="8">
        <v>43848.83820601852</v>
      </c>
      <c r="B127" s="9" t="str">
        <f>HYPERLINK("https://twitter.com/AmazonAutism","@AmazonAutism")</f>
        <v>@AmazonAutism</v>
      </c>
      <c r="C127" s="10" t="s">
        <v>662</v>
      </c>
      <c r="D127" s="10" t="s">
        <v>663</v>
      </c>
      <c r="E127" s="9" t="str">
        <f>HYPERLINK("https://twitter.com/AmazonAutism/status/1218701362516590593","1218701362516590593")</f>
        <v>1218701362516590593</v>
      </c>
      <c r="F127" s="11" t="s">
        <v>664</v>
      </c>
      <c r="G127" s="11" t="s">
        <v>665</v>
      </c>
      <c r="H127" s="13"/>
      <c r="I127" s="14">
        <v>1.0</v>
      </c>
      <c r="J127" s="14">
        <v>1.0</v>
      </c>
      <c r="K127" s="9" t="str">
        <f>HYPERLINK("https://buffer.com","Buffer")</f>
        <v>Buffer</v>
      </c>
      <c r="L127" s="15">
        <v>557.0</v>
      </c>
      <c r="M127" s="15">
        <v>462.0</v>
      </c>
      <c r="N127" s="15">
        <v>8.0</v>
      </c>
      <c r="O127" s="16"/>
      <c r="P127" s="17">
        <v>43292.45008101852</v>
      </c>
      <c r="Q127" s="10" t="s">
        <v>24</v>
      </c>
      <c r="R127" s="10" t="s">
        <v>666</v>
      </c>
      <c r="S127" s="13"/>
      <c r="T127" s="13"/>
      <c r="U127" s="18" t="str">
        <f>HYPERLINK("https://pbs.twimg.com/profile_images/1035577601291706368/DU1nXdl5.jpg","View")</f>
        <v>View</v>
      </c>
      <c r="V127" s="13"/>
      <c r="W127" s="13"/>
      <c r="X127" s="13"/>
      <c r="Y127" s="13"/>
      <c r="Z127" s="13"/>
    </row>
    <row r="128">
      <c r="A128" s="8">
        <v>43848.83818287037</v>
      </c>
      <c r="B128" s="9" t="str">
        <f>HYPERLINK("https://twitter.com/TwitchKtMarine","@TwitchKtMarine")</f>
        <v>@TwitchKtMarine</v>
      </c>
      <c r="C128" s="10" t="s">
        <v>667</v>
      </c>
      <c r="D128" s="10" t="s">
        <v>668</v>
      </c>
      <c r="E128" s="9" t="str">
        <f>HYPERLINK("https://twitter.com/TwitchKtMarine/status/1218701352764755968","1218701352764755968")</f>
        <v>1218701352764755968</v>
      </c>
      <c r="F128" s="13"/>
      <c r="G128" s="11" t="s">
        <v>669</v>
      </c>
      <c r="H128" s="13"/>
      <c r="I128" s="14">
        <v>1.0</v>
      </c>
      <c r="J128" s="14">
        <v>2.0</v>
      </c>
      <c r="K128" s="9" t="str">
        <f>HYPERLINK("http://twitter.com/download/iphone","Twitter for iPhone")</f>
        <v>Twitter for iPhone</v>
      </c>
      <c r="L128" s="15">
        <v>315.0</v>
      </c>
      <c r="M128" s="15">
        <v>237.0</v>
      </c>
      <c r="N128" s="15">
        <v>1.0</v>
      </c>
      <c r="O128" s="16"/>
      <c r="P128" s="17">
        <v>40599.73280092592</v>
      </c>
      <c r="Q128" s="10" t="s">
        <v>670</v>
      </c>
      <c r="R128" s="10" t="s">
        <v>671</v>
      </c>
      <c r="S128" s="11" t="s">
        <v>672</v>
      </c>
      <c r="T128" s="13"/>
      <c r="U128" s="18" t="str">
        <f>HYPERLINK("https://pbs.twimg.com/profile_images/1255164309/181919_10150141444463064_505228063_8111596_1052697_n.JPG","View")</f>
        <v>View</v>
      </c>
      <c r="V128" s="13"/>
      <c r="W128" s="13"/>
      <c r="X128" s="13"/>
      <c r="Y128" s="13"/>
      <c r="Z128" s="13"/>
    </row>
    <row r="129">
      <c r="A129" s="8">
        <v>43848.83802083333</v>
      </c>
      <c r="B129" s="9" t="str">
        <f>HYPERLINK("https://twitter.com/CredibleMind","@CredibleMind")</f>
        <v>@CredibleMind</v>
      </c>
      <c r="C129" s="10" t="s">
        <v>673</v>
      </c>
      <c r="D129" s="10" t="s">
        <v>674</v>
      </c>
      <c r="E129" s="9" t="str">
        <f>HYPERLINK("https://twitter.com/CredibleMind/status/1218701294245801984","1218701294245801984")</f>
        <v>1218701294245801984</v>
      </c>
      <c r="F129" s="11" t="s">
        <v>675</v>
      </c>
      <c r="G129" s="12"/>
      <c r="H129" s="13"/>
      <c r="I129" s="14">
        <v>0.0</v>
      </c>
      <c r="J129" s="14">
        <v>0.0</v>
      </c>
      <c r="K129" s="9" t="str">
        <f>HYPERLINK("https://mobile.twitter.com","Twitter Web App")</f>
        <v>Twitter Web App</v>
      </c>
      <c r="L129" s="15">
        <v>42.0</v>
      </c>
      <c r="M129" s="15">
        <v>10.0</v>
      </c>
      <c r="N129" s="15">
        <v>0.0</v>
      </c>
      <c r="O129" s="16"/>
      <c r="P129" s="17">
        <v>43531.679861111115</v>
      </c>
      <c r="Q129" s="12"/>
      <c r="R129" s="10" t="s">
        <v>676</v>
      </c>
      <c r="S129" s="13"/>
      <c r="T129" s="13"/>
      <c r="U129" s="18" t="str">
        <f>HYPERLINK("https://pbs.twimg.com/profile_images/1131322403664015360/e6c3gIvH.png","View")</f>
        <v>View</v>
      </c>
      <c r="V129" s="13"/>
      <c r="W129" s="13"/>
      <c r="X129" s="13"/>
      <c r="Y129" s="13"/>
      <c r="Z129" s="13"/>
    </row>
    <row r="130">
      <c r="A130" s="8">
        <v>43848.83729166667</v>
      </c>
      <c r="B130" s="9" t="str">
        <f>HYPERLINK("https://twitter.com/CHEOWonderlandT","@CHEOWonderlandT")</f>
        <v>@CHEOWonderlandT</v>
      </c>
      <c r="C130" s="10" t="s">
        <v>647</v>
      </c>
      <c r="D130" s="10" t="s">
        <v>677</v>
      </c>
      <c r="E130" s="9" t="str">
        <f>HYPERLINK("https://twitter.com/CHEOWonderlandT/status/1218701031644844032","1218701031644844032")</f>
        <v>1218701031644844032</v>
      </c>
      <c r="F130" s="13"/>
      <c r="G130" s="11" t="s">
        <v>678</v>
      </c>
      <c r="H130" s="13"/>
      <c r="I130" s="14">
        <v>0.0</v>
      </c>
      <c r="J130" s="14">
        <v>0.0</v>
      </c>
      <c r="K130" s="9" t="str">
        <f t="shared" ref="K130:K131" si="21">HYPERLINK("http://twitter.com/download/iphone","Twitter for iPhone")</f>
        <v>Twitter for iPhone</v>
      </c>
      <c r="L130" s="15">
        <v>24.0</v>
      </c>
      <c r="M130" s="15">
        <v>11.0</v>
      </c>
      <c r="N130" s="15">
        <v>1.0</v>
      </c>
      <c r="O130" s="16"/>
      <c r="P130" s="17">
        <v>43130.445185185185</v>
      </c>
      <c r="Q130" s="10" t="s">
        <v>650</v>
      </c>
      <c r="R130" s="10" t="s">
        <v>651</v>
      </c>
      <c r="S130" s="11" t="s">
        <v>652</v>
      </c>
      <c r="T130" s="13"/>
      <c r="U130" s="18" t="str">
        <f>HYPERLINK("https://pbs.twimg.com/profile_images/965746155777863680/gGwcszsz.jpg","View")</f>
        <v>View</v>
      </c>
      <c r="V130" s="13"/>
      <c r="W130" s="13"/>
      <c r="X130" s="13"/>
      <c r="Y130" s="13"/>
      <c r="Z130" s="13"/>
    </row>
    <row r="131">
      <c r="A131" s="8">
        <v>43848.83708333333</v>
      </c>
      <c r="B131" s="9" t="str">
        <f>HYPERLINK("https://twitter.com/llphp","@llphp")</f>
        <v>@llphp</v>
      </c>
      <c r="C131" s="10" t="s">
        <v>679</v>
      </c>
      <c r="D131" s="10" t="s">
        <v>680</v>
      </c>
      <c r="E131" s="9" t="str">
        <f>HYPERLINK("https://twitter.com/llphp/status/1218700952514920454","1218700952514920454")</f>
        <v>1218700952514920454</v>
      </c>
      <c r="F131" s="13"/>
      <c r="G131" s="11" t="s">
        <v>681</v>
      </c>
      <c r="H131" s="13"/>
      <c r="I131" s="14">
        <v>1.0</v>
      </c>
      <c r="J131" s="14">
        <v>0.0</v>
      </c>
      <c r="K131" s="9" t="str">
        <f t="shared" si="21"/>
        <v>Twitter for iPhone</v>
      </c>
      <c r="L131" s="15">
        <v>7.0</v>
      </c>
      <c r="M131" s="15">
        <v>14.0</v>
      </c>
      <c r="N131" s="15">
        <v>0.0</v>
      </c>
      <c r="O131" s="16"/>
      <c r="P131" s="17">
        <v>43730.94497685185</v>
      </c>
      <c r="Q131" s="10" t="s">
        <v>24</v>
      </c>
      <c r="R131" s="10" t="s">
        <v>682</v>
      </c>
      <c r="S131" s="11" t="s">
        <v>683</v>
      </c>
      <c r="T131" s="13"/>
      <c r="U131" s="18" t="str">
        <f>HYPERLINK("https://pbs.twimg.com/profile_images/1175963546733006849/nqBE0cLl.jpg","View")</f>
        <v>View</v>
      </c>
      <c r="V131" s="13"/>
      <c r="W131" s="13"/>
      <c r="X131" s="13"/>
      <c r="Y131" s="13"/>
      <c r="Z131" s="13"/>
    </row>
    <row r="132">
      <c r="A132" s="8">
        <v>43848.83650462963</v>
      </c>
      <c r="B132" s="9" t="str">
        <f>HYPERLINK("https://twitter.com/ItsTheCatia","@ItsTheCatia")</f>
        <v>@ItsTheCatia</v>
      </c>
      <c r="C132" s="10" t="s">
        <v>684</v>
      </c>
      <c r="D132" s="10" t="s">
        <v>685</v>
      </c>
      <c r="E132" s="9" t="str">
        <f>HYPERLINK("https://twitter.com/ItsTheCatia/status/1218700743802343431","1218700743802343431")</f>
        <v>1218700743802343431</v>
      </c>
      <c r="F132" s="13"/>
      <c r="G132" s="12"/>
      <c r="H132" s="13"/>
      <c r="I132" s="14">
        <v>0.0</v>
      </c>
      <c r="J132" s="14">
        <v>1.0</v>
      </c>
      <c r="K132" s="9" t="str">
        <f>HYPERLINK("http://twitter.com/download/android","Twitter for Android")</f>
        <v>Twitter for Android</v>
      </c>
      <c r="L132" s="15">
        <v>71.0</v>
      </c>
      <c r="M132" s="15">
        <v>56.0</v>
      </c>
      <c r="N132" s="15">
        <v>2.0</v>
      </c>
      <c r="O132" s="16"/>
      <c r="P132" s="17">
        <v>43474.45484953704</v>
      </c>
      <c r="Q132" s="10" t="s">
        <v>95</v>
      </c>
      <c r="R132" s="10" t="s">
        <v>686</v>
      </c>
      <c r="S132" s="13"/>
      <c r="T132" s="13"/>
      <c r="U132" s="18" t="str">
        <f>HYPERLINK("https://pbs.twimg.com/profile_images/1084432574313828352/6D3OVhjt.jpg","View")</f>
        <v>View</v>
      </c>
      <c r="V132" s="13"/>
      <c r="W132" s="13"/>
      <c r="X132" s="13"/>
      <c r="Y132" s="13"/>
      <c r="Z132" s="13"/>
    </row>
    <row r="133">
      <c r="A133" s="8">
        <v>43848.836180555554</v>
      </c>
      <c r="B133" s="9" t="str">
        <f>HYPERLINK("https://twitter.com/DShorb","@DShorb")</f>
        <v>@DShorb</v>
      </c>
      <c r="C133" s="10" t="s">
        <v>21</v>
      </c>
      <c r="D133" s="10" t="s">
        <v>687</v>
      </c>
      <c r="E133" s="9" t="str">
        <f>HYPERLINK("https://twitter.com/DShorb/status/1218700624981909505","1218700624981909505")</f>
        <v>1218700624981909505</v>
      </c>
      <c r="F133" s="11" t="s">
        <v>688</v>
      </c>
      <c r="G133" s="12"/>
      <c r="H133" s="13"/>
      <c r="I133" s="14">
        <v>0.0</v>
      </c>
      <c r="J133" s="14">
        <v>0.0</v>
      </c>
      <c r="K133" s="9" t="str">
        <f>HYPERLINK("https://www.smedian.com","Penname")</f>
        <v>Penname</v>
      </c>
      <c r="L133" s="15">
        <v>3871.0</v>
      </c>
      <c r="M133" s="15">
        <v>4543.0</v>
      </c>
      <c r="N133" s="15">
        <v>185.0</v>
      </c>
      <c r="O133" s="16"/>
      <c r="P133" s="17">
        <v>40991.739027777774</v>
      </c>
      <c r="Q133" s="10" t="s">
        <v>24</v>
      </c>
      <c r="R133" s="10" t="s">
        <v>25</v>
      </c>
      <c r="S133" s="11" t="s">
        <v>26</v>
      </c>
      <c r="T133" s="13"/>
      <c r="U133" s="18" t="str">
        <f>HYPERLINK("https://pbs.twimg.com/profile_images/1134459629478408192/VnPf0dlm.jpg","View")</f>
        <v>View</v>
      </c>
      <c r="V133" s="13"/>
      <c r="W133" s="13"/>
      <c r="X133" s="13"/>
      <c r="Y133" s="13"/>
      <c r="Z133" s="13"/>
    </row>
    <row r="134">
      <c r="A134" s="8">
        <v>43848.835023148145</v>
      </c>
      <c r="B134" s="9" t="str">
        <f>HYPERLINK("https://twitter.com/tmj_OR_psych","@tmj_OR_psych")</f>
        <v>@tmj_OR_psych</v>
      </c>
      <c r="C134" s="10" t="s">
        <v>689</v>
      </c>
      <c r="D134" s="10" t="s">
        <v>690</v>
      </c>
      <c r="E134" s="9" t="str">
        <f>HYPERLINK("https://twitter.com/tmj_OR_psych/status/1218700206339813376","1218700206339813376")</f>
        <v>1218700206339813376</v>
      </c>
      <c r="F134" s="13"/>
      <c r="G134" s="12"/>
      <c r="H134" s="9" t="str">
        <f>HYPERLINK("https://ctrlq.org/maps/address/#45.3573429,-122.6067583","Map")</f>
        <v>Map</v>
      </c>
      <c r="I134" s="14">
        <v>0.0</v>
      </c>
      <c r="J134" s="14">
        <v>0.0</v>
      </c>
      <c r="K134" s="9" t="str">
        <f>HYPERLINK("https://www.careerarc.com","CareerArc 2.0")</f>
        <v>CareerArc 2.0</v>
      </c>
      <c r="L134" s="15">
        <v>102.0</v>
      </c>
      <c r="M134" s="15">
        <v>74.0</v>
      </c>
      <c r="N134" s="15">
        <v>8.0</v>
      </c>
      <c r="O134" s="16"/>
      <c r="P134" s="17">
        <v>40630.84755787037</v>
      </c>
      <c r="Q134" s="10" t="s">
        <v>691</v>
      </c>
      <c r="R134" s="10" t="s">
        <v>692</v>
      </c>
      <c r="S134" s="11" t="s">
        <v>693</v>
      </c>
      <c r="T134" s="13"/>
      <c r="U134" s="18" t="str">
        <f>HYPERLINK("https://pbs.twimg.com/profile_images/714996234768031744/v6oW2sCe.jpg","View")</f>
        <v>View</v>
      </c>
      <c r="V134" s="13"/>
      <c r="W134" s="13"/>
      <c r="X134" s="13"/>
      <c r="Y134" s="13"/>
      <c r="Z134" s="13"/>
    </row>
    <row r="135">
      <c r="A135" s="8">
        <v>43848.83385416667</v>
      </c>
      <c r="B135" s="9" t="str">
        <f>HYPERLINK("https://twitter.com/lucy_at_home","@lucy_at_home")</f>
        <v>@lucy_at_home</v>
      </c>
      <c r="C135" s="10" t="s">
        <v>694</v>
      </c>
      <c r="D135" s="10" t="s">
        <v>695</v>
      </c>
      <c r="E135" s="9" t="str">
        <f>HYPERLINK("https://twitter.com/lucy_at_home/status/1218699785995214849","1218699785995214849")</f>
        <v>1218699785995214849</v>
      </c>
      <c r="F135" s="11" t="s">
        <v>696</v>
      </c>
      <c r="G135" s="11" t="s">
        <v>697</v>
      </c>
      <c r="H135" s="13"/>
      <c r="I135" s="14">
        <v>0.0</v>
      </c>
      <c r="J135" s="14">
        <v>0.0</v>
      </c>
      <c r="K135" s="9" t="str">
        <f>HYPERLINK("https://www.socialoomph.com","SocialOomph")</f>
        <v>SocialOomph</v>
      </c>
      <c r="L135" s="15">
        <v>8039.0</v>
      </c>
      <c r="M135" s="15">
        <v>4195.0</v>
      </c>
      <c r="N135" s="15">
        <v>149.0</v>
      </c>
      <c r="O135" s="16"/>
      <c r="P135" s="17">
        <v>42489.62886574074</v>
      </c>
      <c r="Q135" s="10" t="s">
        <v>698</v>
      </c>
      <c r="R135" s="10" t="s">
        <v>699</v>
      </c>
      <c r="S135" s="11" t="s">
        <v>700</v>
      </c>
      <c r="T135" s="13"/>
      <c r="U135" s="18" t="str">
        <f>HYPERLINK("https://pbs.twimg.com/profile_images/968579605715148801/Gu3YiZE-.jpg","View")</f>
        <v>View</v>
      </c>
      <c r="V135" s="13"/>
      <c r="W135" s="13"/>
      <c r="X135" s="13"/>
      <c r="Y135" s="13"/>
      <c r="Z135" s="13"/>
    </row>
    <row r="136">
      <c r="A136" s="8">
        <v>43848.83372685185</v>
      </c>
      <c r="B136" s="9" t="str">
        <f>HYPERLINK("https://twitter.com/docweighsin","@docweighsin")</f>
        <v>@docweighsin</v>
      </c>
      <c r="C136" s="10" t="s">
        <v>701</v>
      </c>
      <c r="D136" s="10" t="s">
        <v>702</v>
      </c>
      <c r="E136" s="9" t="str">
        <f>HYPERLINK("https://twitter.com/docweighsin/status/1218699738926796800","1218699738926796800")</f>
        <v>1218699738926796800</v>
      </c>
      <c r="F136" s="11" t="s">
        <v>703</v>
      </c>
      <c r="G136" s="11" t="s">
        <v>704</v>
      </c>
      <c r="H136" s="13"/>
      <c r="I136" s="14">
        <v>0.0</v>
      </c>
      <c r="J136" s="14">
        <v>0.0</v>
      </c>
      <c r="K136" s="9" t="str">
        <f>HYPERLINK("https://www.hootsuite.com","Hootsuite Inc.")</f>
        <v>Hootsuite Inc.</v>
      </c>
      <c r="L136" s="15">
        <v>29338.0</v>
      </c>
      <c r="M136" s="15">
        <v>12043.0</v>
      </c>
      <c r="N136" s="15">
        <v>1154.0</v>
      </c>
      <c r="O136" s="16"/>
      <c r="P136" s="17">
        <v>40370.9605787037</v>
      </c>
      <c r="Q136" s="10" t="s">
        <v>228</v>
      </c>
      <c r="R136" s="10" t="s">
        <v>705</v>
      </c>
      <c r="S136" s="11" t="s">
        <v>706</v>
      </c>
      <c r="T136" s="13"/>
      <c r="U136" s="18" t="str">
        <f>HYPERLINK("https://pbs.twimg.com/profile_images/738469375083053056/OpR72fYy.jpg","View")</f>
        <v>View</v>
      </c>
      <c r="V136" s="13"/>
      <c r="W136" s="13"/>
      <c r="X136" s="13"/>
      <c r="Y136" s="13"/>
      <c r="Z136" s="13"/>
    </row>
    <row r="137">
      <c r="A137" s="8">
        <v>43848.83357638889</v>
      </c>
      <c r="B137" s="9" t="str">
        <f>HYPERLINK("https://twitter.com/amputeestore","@amputeestore")</f>
        <v>@amputeestore</v>
      </c>
      <c r="C137" s="10" t="s">
        <v>707</v>
      </c>
      <c r="D137" s="10" t="s">
        <v>708</v>
      </c>
      <c r="E137" s="9" t="str">
        <f>HYPERLINK("https://twitter.com/amputeestore/status/1218699683431772161","1218699683431772161")</f>
        <v>1218699683431772161</v>
      </c>
      <c r="F137" s="11" t="s">
        <v>709</v>
      </c>
      <c r="G137" s="12"/>
      <c r="H137" s="13"/>
      <c r="I137" s="14">
        <v>0.0</v>
      </c>
      <c r="J137" s="14">
        <v>0.0</v>
      </c>
      <c r="K137" s="9" t="str">
        <f>HYPERLINK("https://social.zoho.com","Zoho Social")</f>
        <v>Zoho Social</v>
      </c>
      <c r="L137" s="15">
        <v>289.0</v>
      </c>
      <c r="M137" s="15">
        <v>50.0</v>
      </c>
      <c r="N137" s="15">
        <v>3.0</v>
      </c>
      <c r="O137" s="16"/>
      <c r="P137" s="17">
        <v>41778.77869212963</v>
      </c>
      <c r="Q137" s="10" t="s">
        <v>382</v>
      </c>
      <c r="R137" s="10" t="s">
        <v>710</v>
      </c>
      <c r="S137" s="11" t="s">
        <v>711</v>
      </c>
      <c r="T137" s="13"/>
      <c r="U137" s="18" t="str">
        <f>HYPERLINK("https://pbs.twimg.com/profile_images/1213250014530523137/iAJdVigP.jpg","View")</f>
        <v>View</v>
      </c>
      <c r="V137" s="13"/>
      <c r="W137" s="13"/>
      <c r="X137" s="13"/>
      <c r="Y137" s="13"/>
      <c r="Z137" s="13"/>
    </row>
    <row r="138">
      <c r="A138" s="8">
        <v>43848.8334837963</v>
      </c>
      <c r="B138" s="9" t="str">
        <f>HYPERLINK("https://twitter.com/bellajadebeauty","@bellajadebeauty")</f>
        <v>@bellajadebeauty</v>
      </c>
      <c r="C138" s="10" t="s">
        <v>712</v>
      </c>
      <c r="D138" s="10" t="s">
        <v>713</v>
      </c>
      <c r="E138" s="9" t="str">
        <f>HYPERLINK("https://twitter.com/bellajadebeauty/status/1218699648229089281","1218699648229089281")</f>
        <v>1218699648229089281</v>
      </c>
      <c r="F138" s="13"/>
      <c r="G138" s="11" t="s">
        <v>714</v>
      </c>
      <c r="H138" s="13"/>
      <c r="I138" s="14">
        <v>0.0</v>
      </c>
      <c r="J138" s="14">
        <v>0.0</v>
      </c>
      <c r="K138" s="9" t="str">
        <f t="shared" ref="K138:K140" si="22">HYPERLINK("https://buffer.com","Buffer")</f>
        <v>Buffer</v>
      </c>
      <c r="L138" s="15">
        <v>3541.0</v>
      </c>
      <c r="M138" s="15">
        <v>1023.0</v>
      </c>
      <c r="N138" s="15">
        <v>2.0</v>
      </c>
      <c r="O138" s="16"/>
      <c r="P138" s="17">
        <v>42124.79311342593</v>
      </c>
      <c r="Q138" s="10" t="s">
        <v>480</v>
      </c>
      <c r="R138" s="10" t="s">
        <v>715</v>
      </c>
      <c r="S138" s="11" t="s">
        <v>716</v>
      </c>
      <c r="T138" s="13"/>
      <c r="U138" s="18" t="str">
        <f>HYPERLINK("https://pbs.twimg.com/profile_images/876631764814450688/g3YB3SC4.jpg","View")</f>
        <v>View</v>
      </c>
      <c r="V138" s="13"/>
      <c r="W138" s="13"/>
      <c r="X138" s="13"/>
      <c r="Y138" s="13"/>
      <c r="Z138" s="13"/>
    </row>
    <row r="139">
      <c r="A139" s="8">
        <v>43848.83336805555</v>
      </c>
      <c r="B139" s="9" t="str">
        <f>HYPERLINK("https://twitter.com/dlhampton","@dlhampton")</f>
        <v>@dlhampton</v>
      </c>
      <c r="C139" s="10" t="s">
        <v>717</v>
      </c>
      <c r="D139" s="10" t="s">
        <v>718</v>
      </c>
      <c r="E139" s="9" t="str">
        <f>HYPERLINK("https://twitter.com/dlhampton/status/1218699609004003328","1218699609004003328")</f>
        <v>1218699609004003328</v>
      </c>
      <c r="F139" s="11" t="s">
        <v>719</v>
      </c>
      <c r="G139" s="11" t="s">
        <v>720</v>
      </c>
      <c r="H139" s="13"/>
      <c r="I139" s="14">
        <v>1.0</v>
      </c>
      <c r="J139" s="14">
        <v>1.0</v>
      </c>
      <c r="K139" s="9" t="str">
        <f t="shared" si="22"/>
        <v>Buffer</v>
      </c>
      <c r="L139" s="15">
        <v>7461.0</v>
      </c>
      <c r="M139" s="15">
        <v>4433.0</v>
      </c>
      <c r="N139" s="15">
        <v>622.0</v>
      </c>
      <c r="O139" s="16"/>
      <c r="P139" s="17">
        <v>39704.697847222225</v>
      </c>
      <c r="Q139" s="10" t="s">
        <v>721</v>
      </c>
      <c r="R139" s="10" t="s">
        <v>722</v>
      </c>
      <c r="S139" s="11" t="s">
        <v>723</v>
      </c>
      <c r="T139" s="13"/>
      <c r="U139" s="18" t="str">
        <f>HYPERLINK("https://pbs.twimg.com/profile_images/845255674162425856/wUuxsnEE.jpg","View")</f>
        <v>View</v>
      </c>
      <c r="V139" s="13"/>
      <c r="W139" s="13"/>
      <c r="X139" s="13"/>
      <c r="Y139" s="13"/>
      <c r="Z139" s="13"/>
    </row>
    <row r="140">
      <c r="A140" s="8">
        <v>43848.83334490741</v>
      </c>
      <c r="B140" s="9" t="str">
        <f>HYPERLINK("https://twitter.com/CreativityAust","@CreativityAust")</f>
        <v>@CreativityAust</v>
      </c>
      <c r="C140" s="10" t="s">
        <v>724</v>
      </c>
      <c r="D140" s="10" t="s">
        <v>725</v>
      </c>
      <c r="E140" s="9" t="str">
        <f>HYPERLINK("https://twitter.com/CreativityAust/status/1218699599113805825","1218699599113805825")</f>
        <v>1218699599113805825</v>
      </c>
      <c r="F140" s="11" t="s">
        <v>726</v>
      </c>
      <c r="G140" s="11" t="s">
        <v>727</v>
      </c>
      <c r="H140" s="13"/>
      <c r="I140" s="14">
        <v>0.0</v>
      </c>
      <c r="J140" s="14">
        <v>0.0</v>
      </c>
      <c r="K140" s="9" t="str">
        <f t="shared" si="22"/>
        <v>Buffer</v>
      </c>
      <c r="L140" s="15">
        <v>6842.0</v>
      </c>
      <c r="M140" s="15">
        <v>3047.0</v>
      </c>
      <c r="N140" s="15">
        <v>141.0</v>
      </c>
      <c r="O140" s="16"/>
      <c r="P140" s="17">
        <v>39930.07662037037</v>
      </c>
      <c r="Q140" s="10" t="s">
        <v>728</v>
      </c>
      <c r="R140" s="10" t="s">
        <v>729</v>
      </c>
      <c r="S140" s="11" t="s">
        <v>730</v>
      </c>
      <c r="T140" s="13"/>
      <c r="U140" s="18" t="str">
        <f>HYPERLINK("https://pbs.twimg.com/profile_images/643613733793611776/ZayImYem.jpg","View")</f>
        <v>View</v>
      </c>
      <c r="V140" s="13"/>
      <c r="W140" s="13"/>
      <c r="X140" s="13"/>
      <c r="Y140" s="13"/>
      <c r="Z140" s="13"/>
    </row>
    <row r="141">
      <c r="A141" s="8">
        <v>43848.83252314814</v>
      </c>
      <c r="B141" s="9" t="str">
        <f>HYPERLINK("https://twitter.com/MhstationH","@MhstationH")</f>
        <v>@MhstationH</v>
      </c>
      <c r="C141" s="10" t="s">
        <v>731</v>
      </c>
      <c r="D141" s="10" t="s">
        <v>732</v>
      </c>
      <c r="E141" s="9" t="str">
        <f>HYPERLINK("https://twitter.com/MhstationH/status/1218699301565685760","1218699301565685760")</f>
        <v>1218699301565685760</v>
      </c>
      <c r="F141" s="11" t="s">
        <v>733</v>
      </c>
      <c r="G141" s="12"/>
      <c r="H141" s="13"/>
      <c r="I141" s="14">
        <v>0.0</v>
      </c>
      <c r="J141" s="14">
        <v>0.0</v>
      </c>
      <c r="K141" s="9" t="str">
        <f>HYPERLINK("http://instagram.com","Instagram")</f>
        <v>Instagram</v>
      </c>
      <c r="L141" s="15">
        <v>46.0</v>
      </c>
      <c r="M141" s="15">
        <v>359.0</v>
      </c>
      <c r="N141" s="15">
        <v>0.0</v>
      </c>
      <c r="O141" s="16"/>
      <c r="P141" s="17">
        <v>43688.36518518519</v>
      </c>
      <c r="Q141" s="12"/>
      <c r="R141" s="12"/>
      <c r="S141" s="13"/>
      <c r="T141" s="13"/>
      <c r="U141" s="18" t="str">
        <f>HYPERLINK("https://pbs.twimg.com/profile_images/1160532917103276032/iqxbQSmM.jpg","View")</f>
        <v>View</v>
      </c>
      <c r="V141" s="13"/>
      <c r="W141" s="13"/>
      <c r="X141" s="13"/>
      <c r="Y141" s="13"/>
      <c r="Z141" s="13"/>
    </row>
    <row r="142">
      <c r="A142" s="8">
        <v>43848.831307870365</v>
      </c>
      <c r="B142" s="9" t="str">
        <f>HYPERLINK("https://twitter.com/Micklet4","@Micklet4")</f>
        <v>@Micklet4</v>
      </c>
      <c r="C142" s="10" t="s">
        <v>734</v>
      </c>
      <c r="D142" s="10" t="s">
        <v>735</v>
      </c>
      <c r="E142" s="9" t="str">
        <f>HYPERLINK("https://twitter.com/Micklet4/status/1218698861142634496","1218698861142634496")</f>
        <v>1218698861142634496</v>
      </c>
      <c r="F142" s="13"/>
      <c r="G142" s="12"/>
      <c r="H142" s="13"/>
      <c r="I142" s="14">
        <v>0.0</v>
      </c>
      <c r="J142" s="14">
        <v>2.0</v>
      </c>
      <c r="K142" s="9" t="str">
        <f>HYPERLINK("http://twitter.com/download/android","Twitter for Android")</f>
        <v>Twitter for Android</v>
      </c>
      <c r="L142" s="15">
        <v>100.0</v>
      </c>
      <c r="M142" s="15">
        <v>482.0</v>
      </c>
      <c r="N142" s="15">
        <v>0.0</v>
      </c>
      <c r="O142" s="16"/>
      <c r="P142" s="17">
        <v>43503.77355324074</v>
      </c>
      <c r="Q142" s="10" t="s">
        <v>736</v>
      </c>
      <c r="R142" s="10" t="s">
        <v>737</v>
      </c>
      <c r="S142" s="13"/>
      <c r="T142" s="13"/>
      <c r="U142" s="18" t="str">
        <f>HYPERLINK("https://pbs.twimg.com/profile_images/1093654934665420800/b_RzXisI.jpg","View")</f>
        <v>View</v>
      </c>
      <c r="V142" s="13"/>
      <c r="W142" s="13"/>
      <c r="X142" s="13"/>
      <c r="Y142" s="13"/>
      <c r="Z142" s="13"/>
    </row>
    <row r="143">
      <c r="A143" s="8">
        <v>43848.83084490741</v>
      </c>
      <c r="B143" s="9" t="str">
        <f>HYPERLINK("https://twitter.com/MHCD_Careers","@MHCD_Careers")</f>
        <v>@MHCD_Careers</v>
      </c>
      <c r="C143" s="10" t="s">
        <v>738</v>
      </c>
      <c r="D143" s="10" t="s">
        <v>739</v>
      </c>
      <c r="E143" s="9" t="str">
        <f>HYPERLINK("https://twitter.com/MHCD_Careers/status/1218698691575349248","1218698691575349248")</f>
        <v>1218698691575349248</v>
      </c>
      <c r="F143" s="11" t="s">
        <v>740</v>
      </c>
      <c r="G143" s="12"/>
      <c r="H143" s="9" t="str">
        <f>HYPERLINK("https://ctrlq.org/maps/address/#39.7380371,-105.0265195","Map")</f>
        <v>Map</v>
      </c>
      <c r="I143" s="14">
        <v>0.0</v>
      </c>
      <c r="J143" s="14">
        <v>0.0</v>
      </c>
      <c r="K143" s="9" t="str">
        <f>HYPERLINK("https://www.careerarc.com","CareerArc 2.0")</f>
        <v>CareerArc 2.0</v>
      </c>
      <c r="L143" s="15">
        <v>268.0</v>
      </c>
      <c r="M143" s="15">
        <v>185.0</v>
      </c>
      <c r="N143" s="15">
        <v>166.0</v>
      </c>
      <c r="O143" s="16"/>
      <c r="P143" s="17">
        <v>42304.41803240741</v>
      </c>
      <c r="Q143" s="10" t="s">
        <v>211</v>
      </c>
      <c r="R143" s="10" t="s">
        <v>741</v>
      </c>
      <c r="S143" s="11" t="s">
        <v>742</v>
      </c>
      <c r="T143" s="13"/>
      <c r="U143" s="18" t="str">
        <f>HYPERLINK("https://pbs.twimg.com/profile_images/659008323367206912/M6fok2HN.jpg","View")</f>
        <v>View</v>
      </c>
      <c r="V143" s="13"/>
      <c r="W143" s="13"/>
      <c r="X143" s="13"/>
      <c r="Y143" s="13"/>
      <c r="Z143" s="13"/>
    </row>
    <row r="144">
      <c r="A144" s="8">
        <v>43848.830092592594</v>
      </c>
      <c r="B144" s="9" t="str">
        <f>HYPERLINK("https://twitter.com/desl0ver","@desl0ver")</f>
        <v>@desl0ver</v>
      </c>
      <c r="C144" s="10" t="s">
        <v>743</v>
      </c>
      <c r="D144" s="10" t="s">
        <v>744</v>
      </c>
      <c r="E144" s="9" t="str">
        <f>HYPERLINK("https://twitter.com/desl0ver/status/1218698419797135361","1218698419797135361")</f>
        <v>1218698419797135361</v>
      </c>
      <c r="F144" s="13"/>
      <c r="G144" s="12"/>
      <c r="H144" s="13"/>
      <c r="I144" s="14">
        <v>0.0</v>
      </c>
      <c r="J144" s="14">
        <v>2.0</v>
      </c>
      <c r="K144" s="9" t="str">
        <f>HYPERLINK("http://twitter.com/download/iphone","Twitter for iPhone")</f>
        <v>Twitter for iPhone</v>
      </c>
      <c r="L144" s="15">
        <v>754.0</v>
      </c>
      <c r="M144" s="15">
        <v>1817.0</v>
      </c>
      <c r="N144" s="15">
        <v>1.0</v>
      </c>
      <c r="O144" s="16"/>
      <c r="P144" s="17">
        <v>43020.46737268519</v>
      </c>
      <c r="Q144" s="10" t="s">
        <v>745</v>
      </c>
      <c r="R144" s="10" t="s">
        <v>746</v>
      </c>
      <c r="S144" s="13"/>
      <c r="T144" s="13"/>
      <c r="U144" s="18" t="str">
        <f>HYPERLINK("https://pbs.twimg.com/profile_images/1204831264873893888/gozyErL4.jpg","View")</f>
        <v>View</v>
      </c>
      <c r="V144" s="13"/>
      <c r="W144" s="13"/>
      <c r="X144" s="13"/>
      <c r="Y144" s="13"/>
      <c r="Z144" s="13"/>
    </row>
    <row r="145">
      <c r="A145" s="8">
        <v>43848.828935185185</v>
      </c>
      <c r="B145" s="9" t="str">
        <f>HYPERLINK("https://twitter.com/AcrylicAlchemy","@AcrylicAlchemy")</f>
        <v>@AcrylicAlchemy</v>
      </c>
      <c r="C145" s="10" t="s">
        <v>747</v>
      </c>
      <c r="D145" s="10" t="s">
        <v>748</v>
      </c>
      <c r="E145" s="9" t="str">
        <f>HYPERLINK("https://twitter.com/AcrylicAlchemy/status/1218698002887405568","1218698002887405568")</f>
        <v>1218698002887405568</v>
      </c>
      <c r="F145" s="11" t="s">
        <v>749</v>
      </c>
      <c r="G145" s="12"/>
      <c r="H145" s="13"/>
      <c r="I145" s="14">
        <v>0.0</v>
      </c>
      <c r="J145" s="14">
        <v>0.0</v>
      </c>
      <c r="K145" s="9" t="str">
        <f>HYPERLINK("http://twitter.com","Twitter Web Client")</f>
        <v>Twitter Web Client</v>
      </c>
      <c r="L145" s="15">
        <v>402.0</v>
      </c>
      <c r="M145" s="15">
        <v>122.0</v>
      </c>
      <c r="N145" s="15">
        <v>32.0</v>
      </c>
      <c r="O145" s="16"/>
      <c r="P145" s="17">
        <v>40994.02599537037</v>
      </c>
      <c r="Q145" s="10" t="s">
        <v>750</v>
      </c>
      <c r="R145" s="10" t="s">
        <v>751</v>
      </c>
      <c r="S145" s="11" t="s">
        <v>752</v>
      </c>
      <c r="T145" s="13"/>
      <c r="U145" s="18" t="str">
        <f>HYPERLINK("https://pbs.twimg.com/profile_images/1132004207756599296/7QiSu7uF.jpg","View")</f>
        <v>View</v>
      </c>
      <c r="V145" s="13"/>
      <c r="W145" s="13"/>
      <c r="X145" s="13"/>
      <c r="Y145" s="13"/>
      <c r="Z145" s="13"/>
    </row>
    <row r="146">
      <c r="A146" s="8">
        <v>43848.82814814815</v>
      </c>
      <c r="B146" s="9" t="str">
        <f>HYPERLINK("https://twitter.com/Darrell_Samuels","@Darrell_Samuels")</f>
        <v>@Darrell_Samuels</v>
      </c>
      <c r="C146" s="10" t="s">
        <v>753</v>
      </c>
      <c r="D146" s="10" t="s">
        <v>754</v>
      </c>
      <c r="E146" s="9" t="str">
        <f>HYPERLINK("https://twitter.com/Darrell_Samuels/status/1218697714860527616","1218697714860527616")</f>
        <v>1218697714860527616</v>
      </c>
      <c r="F146" s="13"/>
      <c r="G146" s="12"/>
      <c r="H146" s="13"/>
      <c r="I146" s="14">
        <v>0.0</v>
      </c>
      <c r="J146" s="14">
        <v>0.0</v>
      </c>
      <c r="K146" s="9" t="str">
        <f>HYPERLINK("https://mobile.twitter.com","Twitter Web App")</f>
        <v>Twitter Web App</v>
      </c>
      <c r="L146" s="15">
        <v>615.0</v>
      </c>
      <c r="M146" s="15">
        <v>1609.0</v>
      </c>
      <c r="N146" s="15">
        <v>39.0</v>
      </c>
      <c r="O146" s="16"/>
      <c r="P146" s="17">
        <v>39931.03680555556</v>
      </c>
      <c r="Q146" s="10" t="s">
        <v>755</v>
      </c>
      <c r="R146" s="10" t="s">
        <v>756</v>
      </c>
      <c r="S146" s="13"/>
      <c r="T146" s="13"/>
      <c r="U146" s="18" t="str">
        <f>HYPERLINK("https://pbs.twimg.com/profile_images/1210335401417809920/TnucgkHp.jpg","View")</f>
        <v>View</v>
      </c>
      <c r="V146" s="13"/>
      <c r="W146" s="13"/>
      <c r="X146" s="13"/>
      <c r="Y146" s="13"/>
      <c r="Z146" s="13"/>
    </row>
    <row r="147">
      <c r="A147" s="8">
        <v>43848.82759259259</v>
      </c>
      <c r="B147" s="9" t="str">
        <f>HYPERLINK("https://twitter.com/CHEOWonderlandT","@CHEOWonderlandT")</f>
        <v>@CHEOWonderlandT</v>
      </c>
      <c r="C147" s="10" t="s">
        <v>647</v>
      </c>
      <c r="D147" s="10" t="s">
        <v>757</v>
      </c>
      <c r="E147" s="9" t="str">
        <f>HYPERLINK("https://twitter.com/CHEOWonderlandT/status/1218697516398645248","1218697516398645248")</f>
        <v>1218697516398645248</v>
      </c>
      <c r="F147" s="13"/>
      <c r="G147" s="11" t="s">
        <v>758</v>
      </c>
      <c r="H147" s="13"/>
      <c r="I147" s="14">
        <v>0.0</v>
      </c>
      <c r="J147" s="14">
        <v>0.0</v>
      </c>
      <c r="K147" s="9" t="str">
        <f>HYPERLINK("http://twitter.com/download/iphone","Twitter for iPhone")</f>
        <v>Twitter for iPhone</v>
      </c>
      <c r="L147" s="15">
        <v>24.0</v>
      </c>
      <c r="M147" s="15">
        <v>11.0</v>
      </c>
      <c r="N147" s="15">
        <v>1.0</v>
      </c>
      <c r="O147" s="16"/>
      <c r="P147" s="17">
        <v>43130.445185185185</v>
      </c>
      <c r="Q147" s="10" t="s">
        <v>650</v>
      </c>
      <c r="R147" s="10" t="s">
        <v>651</v>
      </c>
      <c r="S147" s="11" t="s">
        <v>652</v>
      </c>
      <c r="T147" s="13"/>
      <c r="U147" s="18" t="str">
        <f>HYPERLINK("https://pbs.twimg.com/profile_images/965746155777863680/gGwcszsz.jpg","View")</f>
        <v>View</v>
      </c>
      <c r="V147" s="13"/>
      <c r="W147" s="13"/>
      <c r="X147" s="13"/>
      <c r="Y147" s="13"/>
      <c r="Z147" s="13"/>
    </row>
    <row r="148">
      <c r="A148" s="8">
        <v>43848.82734953704</v>
      </c>
      <c r="B148" s="9" t="str">
        <f>HYPERLINK("https://twitter.com/health_monitor7","@health_monitor7")</f>
        <v>@health_monitor7</v>
      </c>
      <c r="C148" s="10" t="s">
        <v>218</v>
      </c>
      <c r="D148" s="10" t="s">
        <v>759</v>
      </c>
      <c r="E148" s="9" t="str">
        <f>HYPERLINK("https://twitter.com/health_monitor7/status/1218697425906536449","1218697425906536449")</f>
        <v>1218697425906536449</v>
      </c>
      <c r="F148" s="11" t="s">
        <v>760</v>
      </c>
      <c r="G148" s="11" t="s">
        <v>761</v>
      </c>
      <c r="H148" s="13"/>
      <c r="I148" s="14">
        <v>0.0</v>
      </c>
      <c r="J148" s="14">
        <v>1.0</v>
      </c>
      <c r="K148" s="9" t="str">
        <f t="shared" ref="K148:K149" si="23">HYPERLINK("http://twitter.com/download/android","Twitter for Android")</f>
        <v>Twitter for Android</v>
      </c>
      <c r="L148" s="15">
        <v>21.0</v>
      </c>
      <c r="M148" s="15">
        <v>37.0</v>
      </c>
      <c r="N148" s="15">
        <v>0.0</v>
      </c>
      <c r="O148" s="16"/>
      <c r="P148" s="17">
        <v>43767.47483796296</v>
      </c>
      <c r="Q148" s="12"/>
      <c r="R148" s="10" t="s">
        <v>221</v>
      </c>
      <c r="S148" s="11" t="s">
        <v>222</v>
      </c>
      <c r="T148" s="13"/>
      <c r="U148" s="18" t="str">
        <f>HYPERLINK("https://pbs.twimg.com/profile_images/1218000466430156800/PMxt5qkT.png","View")</f>
        <v>View</v>
      </c>
      <c r="V148" s="13"/>
      <c r="W148" s="13"/>
      <c r="X148" s="13"/>
      <c r="Y148" s="13"/>
      <c r="Z148" s="13"/>
    </row>
    <row r="149">
      <c r="A149" s="8">
        <v>43848.826307870375</v>
      </c>
      <c r="B149" s="9" t="str">
        <f>HYPERLINK("https://twitter.com/Afewtoomany2","@Afewtoomany2")</f>
        <v>@Afewtoomany2</v>
      </c>
      <c r="C149" s="10" t="s">
        <v>762</v>
      </c>
      <c r="D149" s="10" t="s">
        <v>763</v>
      </c>
      <c r="E149" s="9" t="str">
        <f>HYPERLINK("https://twitter.com/Afewtoomany2/status/1218697047546777601","1218697047546777601")</f>
        <v>1218697047546777601</v>
      </c>
      <c r="F149" s="13"/>
      <c r="G149" s="12"/>
      <c r="H149" s="13"/>
      <c r="I149" s="14">
        <v>3.0</v>
      </c>
      <c r="J149" s="14">
        <v>5.0</v>
      </c>
      <c r="K149" s="9" t="str">
        <f t="shared" si="23"/>
        <v>Twitter for Android</v>
      </c>
      <c r="L149" s="15">
        <v>1183.0</v>
      </c>
      <c r="M149" s="15">
        <v>1572.0</v>
      </c>
      <c r="N149" s="15">
        <v>2.0</v>
      </c>
      <c r="O149" s="16"/>
      <c r="P149" s="17">
        <v>43711.89326388889</v>
      </c>
      <c r="Q149" s="10" t="s">
        <v>764</v>
      </c>
      <c r="R149" s="10" t="s">
        <v>765</v>
      </c>
      <c r="S149" s="13"/>
      <c r="T149" s="13"/>
      <c r="U149" s="18" t="str">
        <f>HYPERLINK("https://pbs.twimg.com/profile_images/1207084949096013825/7f1KI6F9.jpg","View")</f>
        <v>View</v>
      </c>
      <c r="V149" s="13"/>
      <c r="W149" s="13"/>
      <c r="X149" s="13"/>
      <c r="Y149" s="13"/>
      <c r="Z149" s="13"/>
    </row>
    <row r="150">
      <c r="A150" s="8">
        <v>43848.82515046296</v>
      </c>
      <c r="B150" s="9" t="str">
        <f>HYPERLINK("https://twitter.com/drchriscarreira","@drchriscarreira")</f>
        <v>@drchriscarreira</v>
      </c>
      <c r="C150" s="10" t="s">
        <v>60</v>
      </c>
      <c r="D150" s="10" t="s">
        <v>766</v>
      </c>
      <c r="E150" s="9" t="str">
        <f>HYPERLINK("https://twitter.com/drchriscarreira/status/1218696631526338560","1218696631526338560")</f>
        <v>1218696631526338560</v>
      </c>
      <c r="F150" s="11" t="s">
        <v>767</v>
      </c>
      <c r="G150" s="12"/>
      <c r="H150" s="13"/>
      <c r="I150" s="14">
        <v>0.0</v>
      </c>
      <c r="J150" s="14">
        <v>0.0</v>
      </c>
      <c r="K150" s="9" t="str">
        <f>HYPERLINK("https://ifttt.com","IFTTT")</f>
        <v>IFTTT</v>
      </c>
      <c r="L150" s="15">
        <v>565.0</v>
      </c>
      <c r="M150" s="15">
        <v>321.0</v>
      </c>
      <c r="N150" s="15">
        <v>255.0</v>
      </c>
      <c r="O150" s="16"/>
      <c r="P150" s="17">
        <v>41258.84956018518</v>
      </c>
      <c r="Q150" s="10" t="s">
        <v>63</v>
      </c>
      <c r="R150" s="10" t="s">
        <v>64</v>
      </c>
      <c r="S150" s="11" t="s">
        <v>65</v>
      </c>
      <c r="T150" s="13"/>
      <c r="U150" s="18" t="str">
        <f>HYPERLINK("https://pbs.twimg.com/profile_images/534418124305866752/-138ZwsY.png","View")</f>
        <v>View</v>
      </c>
      <c r="V150" s="13"/>
      <c r="W150" s="13"/>
      <c r="X150" s="13"/>
      <c r="Y150" s="13"/>
      <c r="Z150" s="13"/>
    </row>
    <row r="151">
      <c r="A151" s="8">
        <v>43848.82471064814</v>
      </c>
      <c r="B151" s="9" t="str">
        <f>HYPERLINK("https://twitter.com/brandonwjones","@brandonwjones")</f>
        <v>@brandonwjones</v>
      </c>
      <c r="C151" s="10" t="s">
        <v>768</v>
      </c>
      <c r="D151" s="10" t="s">
        <v>769</v>
      </c>
      <c r="E151" s="9" t="str">
        <f>HYPERLINK("https://twitter.com/brandonwjones/status/1218696468493561856","1218696468493561856")</f>
        <v>1218696468493561856</v>
      </c>
      <c r="F151" s="13"/>
      <c r="G151" s="11" t="s">
        <v>770</v>
      </c>
      <c r="H151" s="13"/>
      <c r="I151" s="14">
        <v>1.0</v>
      </c>
      <c r="J151" s="14">
        <v>25.0</v>
      </c>
      <c r="K151" s="9" t="str">
        <f t="shared" ref="K151:K152" si="24">HYPERLINK("http://twitter.com/download/iphone","Twitter for iPhone")</f>
        <v>Twitter for iPhone</v>
      </c>
      <c r="L151" s="15">
        <v>23850.0</v>
      </c>
      <c r="M151" s="15">
        <v>133.0</v>
      </c>
      <c r="N151" s="15">
        <v>190.0</v>
      </c>
      <c r="O151" s="21" t="s">
        <v>522</v>
      </c>
      <c r="P151" s="17">
        <v>40021.714166666665</v>
      </c>
      <c r="Q151" s="10" t="s">
        <v>771</v>
      </c>
      <c r="R151" s="10" t="s">
        <v>772</v>
      </c>
      <c r="S151" s="11" t="s">
        <v>773</v>
      </c>
      <c r="T151" s="13"/>
      <c r="U151" s="18" t="str">
        <f>HYPERLINK("https://pbs.twimg.com/profile_images/964612770913165312/trp9wGdd.jpg","View")</f>
        <v>View</v>
      </c>
      <c r="V151" s="13"/>
      <c r="W151" s="13"/>
      <c r="X151" s="13"/>
      <c r="Y151" s="13"/>
      <c r="Z151" s="13"/>
    </row>
    <row r="152">
      <c r="A152" s="8">
        <v>43848.82457175926</v>
      </c>
      <c r="B152" s="9" t="str">
        <f>HYPERLINK("https://twitter.com/Ma86652639Rojas","@Ma86652639Rojas")</f>
        <v>@Ma86652639Rojas</v>
      </c>
      <c r="C152" s="10" t="s">
        <v>774</v>
      </c>
      <c r="D152" s="10" t="s">
        <v>238</v>
      </c>
      <c r="E152" s="9" t="str">
        <f>HYPERLINK("https://twitter.com/Ma86652639Rojas/status/1218696418459901952","1218696418459901952")</f>
        <v>1218696418459901952</v>
      </c>
      <c r="F152" s="13"/>
      <c r="G152" s="12"/>
      <c r="H152" s="13"/>
      <c r="I152" s="14">
        <v>0.0</v>
      </c>
      <c r="J152" s="14">
        <v>0.0</v>
      </c>
      <c r="K152" s="9" t="str">
        <f t="shared" si="24"/>
        <v>Twitter for iPhone</v>
      </c>
      <c r="L152" s="15">
        <v>252.0</v>
      </c>
      <c r="M152" s="15">
        <v>990.0</v>
      </c>
      <c r="N152" s="15">
        <v>0.0</v>
      </c>
      <c r="O152" s="16"/>
      <c r="P152" s="17">
        <v>42542.48871527778</v>
      </c>
      <c r="Q152" s="10" t="s">
        <v>775</v>
      </c>
      <c r="R152" s="10" t="s">
        <v>776</v>
      </c>
      <c r="S152" s="13"/>
      <c r="T152" s="13"/>
      <c r="U152" s="18" t="str">
        <f>HYPERLINK("https://pbs.twimg.com/profile_images/1179376157927645186/wAOIWrrw.jpg","View")</f>
        <v>View</v>
      </c>
      <c r="V152" s="13"/>
      <c r="W152" s="13"/>
      <c r="X152" s="13"/>
      <c r="Y152" s="13"/>
      <c r="Z152" s="13"/>
    </row>
    <row r="153">
      <c r="A153" s="8">
        <v>43848.82326388889</v>
      </c>
      <c r="B153" s="9" t="str">
        <f>HYPERLINK("https://twitter.com/journeyofmegs","@journeyofmegs")</f>
        <v>@journeyofmegs</v>
      </c>
      <c r="C153" s="10" t="s">
        <v>777</v>
      </c>
      <c r="D153" s="10" t="s">
        <v>778</v>
      </c>
      <c r="E153" s="9" t="str">
        <f>HYPERLINK("https://twitter.com/journeyofmegs/status/1218695944503463936","1218695944503463936")</f>
        <v>1218695944503463936</v>
      </c>
      <c r="F153" s="13"/>
      <c r="G153" s="11" t="s">
        <v>779</v>
      </c>
      <c r="H153" s="13"/>
      <c r="I153" s="14">
        <v>0.0</v>
      </c>
      <c r="J153" s="14">
        <v>0.0</v>
      </c>
      <c r="K153" s="9" t="str">
        <f t="shared" ref="K153:K154" si="25">HYPERLINK("http://twitter.com/download/android","Twitter for Android")</f>
        <v>Twitter for Android</v>
      </c>
      <c r="L153" s="15">
        <v>135.0</v>
      </c>
      <c r="M153" s="15">
        <v>169.0</v>
      </c>
      <c r="N153" s="15">
        <v>0.0</v>
      </c>
      <c r="O153" s="16"/>
      <c r="P153" s="17">
        <v>43254.67527777777</v>
      </c>
      <c r="Q153" s="10" t="s">
        <v>446</v>
      </c>
      <c r="R153" s="10" t="s">
        <v>780</v>
      </c>
      <c r="S153" s="13"/>
      <c r="T153" s="13"/>
      <c r="U153" s="18" t="str">
        <f>HYPERLINK("https://pbs.twimg.com/profile_images/1003369668810366988/A0mFoXmh.jpg","View")</f>
        <v>View</v>
      </c>
      <c r="V153" s="13"/>
      <c r="W153" s="13"/>
      <c r="X153" s="13"/>
      <c r="Y153" s="13"/>
      <c r="Z153" s="13"/>
    </row>
    <row r="154">
      <c r="A154" s="8">
        <v>43848.82288194445</v>
      </c>
      <c r="B154" s="9" t="str">
        <f>HYPERLINK("https://twitter.com/abduldanja87","@abduldanja87")</f>
        <v>@abduldanja87</v>
      </c>
      <c r="C154" s="10" t="s">
        <v>781</v>
      </c>
      <c r="D154" s="10" t="s">
        <v>238</v>
      </c>
      <c r="E154" s="9" t="str">
        <f>HYPERLINK("https://twitter.com/abduldanja87/status/1218695807605575681","1218695807605575681")</f>
        <v>1218695807605575681</v>
      </c>
      <c r="F154" s="13"/>
      <c r="G154" s="13"/>
      <c r="H154" s="13"/>
      <c r="I154" s="14">
        <v>0.0</v>
      </c>
      <c r="J154" s="14">
        <v>0.0</v>
      </c>
      <c r="K154" s="9" t="str">
        <f t="shared" si="25"/>
        <v>Twitter for Android</v>
      </c>
      <c r="L154" s="15">
        <v>1151.0</v>
      </c>
      <c r="M154" s="15">
        <v>2319.0</v>
      </c>
      <c r="N154" s="15">
        <v>0.0</v>
      </c>
      <c r="O154" s="16"/>
      <c r="P154" s="17">
        <v>40655.14710648148</v>
      </c>
      <c r="Q154" s="10" t="s">
        <v>782</v>
      </c>
      <c r="R154" s="10" t="s">
        <v>783</v>
      </c>
      <c r="S154" s="11" t="s">
        <v>784</v>
      </c>
      <c r="T154" s="13"/>
      <c r="U154" s="18" t="str">
        <f>HYPERLINK("https://pbs.twimg.com/profile_images/1214193162584907777/tBOXv0F8.jpg","View")</f>
        <v>View</v>
      </c>
      <c r="V154" s="13"/>
      <c r="W154" s="13"/>
      <c r="X154" s="13"/>
      <c r="Y154" s="13"/>
      <c r="Z154" s="13"/>
    </row>
    <row r="155">
      <c r="A155" s="8">
        <v>43848.82244212963</v>
      </c>
      <c r="B155" s="9" t="str">
        <f>HYPERLINK("https://twitter.com/drshemetrajames","@drshemetrajames")</f>
        <v>@drshemetrajames</v>
      </c>
      <c r="C155" s="10" t="s">
        <v>785</v>
      </c>
      <c r="D155" s="10" t="s">
        <v>786</v>
      </c>
      <c r="E155" s="9" t="str">
        <f>HYPERLINK("https://twitter.com/drshemetrajames/status/1218695649136275456","1218695649136275456")</f>
        <v>1218695649136275456</v>
      </c>
      <c r="F155" s="13"/>
      <c r="G155" s="11" t="s">
        <v>787</v>
      </c>
      <c r="H155" s="13"/>
      <c r="I155" s="14">
        <v>0.0</v>
      </c>
      <c r="J155" s="14">
        <v>0.0</v>
      </c>
      <c r="K155" s="9" t="str">
        <f t="shared" ref="K155:K157" si="26">HYPERLINK("http://twitter.com/download/iphone","Twitter for iPhone")</f>
        <v>Twitter for iPhone</v>
      </c>
      <c r="L155" s="15">
        <v>13.0</v>
      </c>
      <c r="M155" s="15">
        <v>92.0</v>
      </c>
      <c r="N155" s="15">
        <v>0.0</v>
      </c>
      <c r="O155" s="16"/>
      <c r="P155" s="17">
        <v>43788.066030092596</v>
      </c>
      <c r="Q155" s="10" t="s">
        <v>171</v>
      </c>
      <c r="R155" s="10" t="s">
        <v>788</v>
      </c>
      <c r="S155" s="11" t="s">
        <v>789</v>
      </c>
      <c r="T155" s="13"/>
      <c r="U155" s="18" t="str">
        <f>HYPERLINK("https://pbs.twimg.com/profile_images/1196678542387372033/LjvGn9Xy.jpg","View")</f>
        <v>View</v>
      </c>
      <c r="V155" s="13"/>
      <c r="W155" s="13"/>
      <c r="X155" s="13"/>
      <c r="Y155" s="13"/>
      <c r="Z155" s="13"/>
    </row>
    <row r="156">
      <c r="A156" s="8">
        <v>43848.82141203704</v>
      </c>
      <c r="B156" s="9" t="str">
        <f>HYPERLINK("https://twitter.com/RealCoachArnie","@RealCoachArnie")</f>
        <v>@RealCoachArnie</v>
      </c>
      <c r="C156" s="10" t="s">
        <v>790</v>
      </c>
      <c r="D156" s="10" t="s">
        <v>791</v>
      </c>
      <c r="E156" s="9" t="str">
        <f>HYPERLINK("https://twitter.com/RealCoachArnie/status/1218695274513592320","1218695274513592320")</f>
        <v>1218695274513592320</v>
      </c>
      <c r="F156" s="13"/>
      <c r="G156" s="13"/>
      <c r="H156" s="13"/>
      <c r="I156" s="14">
        <v>0.0</v>
      </c>
      <c r="J156" s="14">
        <v>0.0</v>
      </c>
      <c r="K156" s="9" t="str">
        <f t="shared" si="26"/>
        <v>Twitter for iPhone</v>
      </c>
      <c r="L156" s="15">
        <v>1397.0</v>
      </c>
      <c r="M156" s="15">
        <v>2097.0</v>
      </c>
      <c r="N156" s="15">
        <v>11.0</v>
      </c>
      <c r="O156" s="16"/>
      <c r="P156" s="17">
        <v>41075.58196759259</v>
      </c>
      <c r="Q156" s="10" t="s">
        <v>792</v>
      </c>
      <c r="R156" s="10" t="s">
        <v>793</v>
      </c>
      <c r="S156" s="11" t="s">
        <v>794</v>
      </c>
      <c r="T156" s="13"/>
      <c r="U156" s="18" t="str">
        <f>HYPERLINK("https://pbs.twimg.com/profile_images/1179206494446747653/PR6-8HMY.jpg","View")</f>
        <v>View</v>
      </c>
      <c r="V156" s="13"/>
      <c r="W156" s="13"/>
      <c r="X156" s="13"/>
      <c r="Y156" s="13"/>
      <c r="Z156" s="13"/>
    </row>
    <row r="157">
      <c r="A157" s="8">
        <v>43848.821377314816</v>
      </c>
      <c r="B157" s="9" t="str">
        <f>HYPERLINK("https://twitter.com/mentalhealth57","@mentalhealth57")</f>
        <v>@mentalhealth57</v>
      </c>
      <c r="C157" s="10" t="s">
        <v>795</v>
      </c>
      <c r="D157" s="10" t="s">
        <v>796</v>
      </c>
      <c r="E157" s="9" t="str">
        <f>HYPERLINK("https://twitter.com/mentalhealth57/status/1218695261599432704","1218695261599432704")</f>
        <v>1218695261599432704</v>
      </c>
      <c r="F157" s="13"/>
      <c r="G157" s="11" t="s">
        <v>797</v>
      </c>
      <c r="H157" s="13"/>
      <c r="I157" s="14">
        <v>0.0</v>
      </c>
      <c r="J157" s="14">
        <v>3.0</v>
      </c>
      <c r="K157" s="9" t="str">
        <f t="shared" si="26"/>
        <v>Twitter for iPhone</v>
      </c>
      <c r="L157" s="15">
        <v>574.0</v>
      </c>
      <c r="M157" s="15">
        <v>662.0</v>
      </c>
      <c r="N157" s="15">
        <v>1.0</v>
      </c>
      <c r="O157" s="16"/>
      <c r="P157" s="17">
        <v>43778.54798611111</v>
      </c>
      <c r="Q157" s="13"/>
      <c r="R157" s="10" t="s">
        <v>798</v>
      </c>
      <c r="S157" s="13"/>
      <c r="T157" s="13"/>
      <c r="U157" s="18" t="str">
        <f>HYPERLINK("https://pbs.twimg.com/profile_images/1206581434682630144/yJrWPoVb.jpg","View")</f>
        <v>View</v>
      </c>
      <c r="V157" s="13"/>
      <c r="W157" s="13"/>
      <c r="X157" s="13"/>
      <c r="Y157" s="13"/>
      <c r="Z157" s="13"/>
    </row>
    <row r="158">
      <c r="A158" s="8">
        <v>43848.81993055556</v>
      </c>
      <c r="B158" s="9" t="str">
        <f>HYPERLINK("https://twitter.com/Lotus_STEMM","@Lotus_STEMM")</f>
        <v>@Lotus_STEMM</v>
      </c>
      <c r="C158" s="10" t="s">
        <v>799</v>
      </c>
      <c r="D158" s="10" t="s">
        <v>800</v>
      </c>
      <c r="E158" s="9" t="str">
        <f>HYPERLINK("https://twitter.com/Lotus_STEMM/status/1218694738280316930","1218694738280316930")</f>
        <v>1218694738280316930</v>
      </c>
      <c r="F158" s="10" t="s">
        <v>801</v>
      </c>
      <c r="G158" s="11" t="s">
        <v>802</v>
      </c>
      <c r="H158" s="13"/>
      <c r="I158" s="14">
        <v>2.0</v>
      </c>
      <c r="J158" s="14">
        <v>0.0</v>
      </c>
      <c r="K158" s="9" t="str">
        <f>HYPERLINK("https://mobile.twitter.com","Twitter Web App")</f>
        <v>Twitter Web App</v>
      </c>
      <c r="L158" s="15">
        <v>880.0</v>
      </c>
      <c r="M158" s="15">
        <v>826.0</v>
      </c>
      <c r="N158" s="15">
        <v>11.0</v>
      </c>
      <c r="O158" s="16"/>
      <c r="P158" s="17">
        <v>42922.93702546296</v>
      </c>
      <c r="Q158" s="13"/>
      <c r="R158" s="10" t="s">
        <v>803</v>
      </c>
      <c r="S158" s="11" t="s">
        <v>804</v>
      </c>
      <c r="T158" s="13"/>
      <c r="U158" s="18" t="str">
        <f>HYPERLINK("https://pbs.twimg.com/profile_images/883152361765711873/xziAIqJM.jpg","View")</f>
        <v>View</v>
      </c>
      <c r="V158" s="13"/>
      <c r="W158" s="13"/>
      <c r="X158" s="13"/>
      <c r="Y158" s="13"/>
      <c r="Z158" s="13"/>
    </row>
    <row r="159">
      <c r="A159" s="8">
        <v>43848.819502314815</v>
      </c>
      <c r="B159" s="9" t="str">
        <f>HYPERLINK("https://twitter.com/mymummyreviews","@mymummyreviews")</f>
        <v>@mymummyreviews</v>
      </c>
      <c r="C159" s="10" t="s">
        <v>805</v>
      </c>
      <c r="D159" s="10" t="s">
        <v>806</v>
      </c>
      <c r="E159" s="9" t="str">
        <f>HYPERLINK("https://twitter.com/mymummyreviews/status/1218694584823353345","1218694584823353345")</f>
        <v>1218694584823353345</v>
      </c>
      <c r="F159" s="10" t="s">
        <v>807</v>
      </c>
      <c r="G159" s="13"/>
      <c r="H159" s="13"/>
      <c r="I159" s="14">
        <v>0.0</v>
      </c>
      <c r="J159" s="14">
        <v>0.0</v>
      </c>
      <c r="K159" s="9" t="str">
        <f t="shared" ref="K159:K161" si="27">HYPERLINK("http://twitter.com/download/android","Twitter for Android")</f>
        <v>Twitter for Android</v>
      </c>
      <c r="L159" s="15">
        <v>9305.0</v>
      </c>
      <c r="M159" s="15">
        <v>10229.0</v>
      </c>
      <c r="N159" s="15">
        <v>352.0</v>
      </c>
      <c r="O159" s="16"/>
      <c r="P159" s="17">
        <v>40476.40635416667</v>
      </c>
      <c r="Q159" s="10" t="s">
        <v>808</v>
      </c>
      <c r="R159" s="10" t="s">
        <v>809</v>
      </c>
      <c r="S159" s="11" t="s">
        <v>810</v>
      </c>
      <c r="T159" s="13"/>
      <c r="U159" s="18" t="str">
        <f>HYPERLINK("https://pbs.twimg.com/profile_images/980961075578527744/aN11KQsB.jpg","View")</f>
        <v>View</v>
      </c>
      <c r="V159" s="13"/>
      <c r="W159" s="13"/>
      <c r="X159" s="13"/>
      <c r="Y159" s="13"/>
      <c r="Z159" s="13"/>
    </row>
    <row r="160">
      <c r="A160" s="8">
        <v>43848.819375</v>
      </c>
      <c r="B160" s="9" t="str">
        <f>HYPERLINK("https://twitter.com/health_monitor7","@health_monitor7")</f>
        <v>@health_monitor7</v>
      </c>
      <c r="C160" s="10" t="s">
        <v>218</v>
      </c>
      <c r="D160" s="10" t="s">
        <v>811</v>
      </c>
      <c r="E160" s="9" t="str">
        <f>HYPERLINK("https://twitter.com/health_monitor7/status/1218694538958602244","1218694538958602244")</f>
        <v>1218694538958602244</v>
      </c>
      <c r="F160" s="13"/>
      <c r="G160" s="13"/>
      <c r="H160" s="13"/>
      <c r="I160" s="14">
        <v>0.0</v>
      </c>
      <c r="J160" s="14">
        <v>0.0</v>
      </c>
      <c r="K160" s="9" t="str">
        <f t="shared" si="27"/>
        <v>Twitter for Android</v>
      </c>
      <c r="L160" s="15">
        <v>21.0</v>
      </c>
      <c r="M160" s="15">
        <v>37.0</v>
      </c>
      <c r="N160" s="15">
        <v>0.0</v>
      </c>
      <c r="O160" s="16"/>
      <c r="P160" s="17">
        <v>43767.47483796296</v>
      </c>
      <c r="Q160" s="13"/>
      <c r="R160" s="10" t="s">
        <v>221</v>
      </c>
      <c r="S160" s="11" t="s">
        <v>222</v>
      </c>
      <c r="T160" s="13"/>
      <c r="U160" s="18" t="str">
        <f>HYPERLINK("https://pbs.twimg.com/profile_images/1218000466430156800/PMxt5qkT.png","View")</f>
        <v>View</v>
      </c>
      <c r="V160" s="13"/>
      <c r="W160" s="13"/>
      <c r="X160" s="13"/>
      <c r="Y160" s="13"/>
      <c r="Z160" s="13"/>
    </row>
    <row r="161">
      <c r="A161" s="8">
        <v>43848.81883101852</v>
      </c>
      <c r="B161" s="9" t="str">
        <f>HYPERLINK("https://twitter.com/avalard","@avalard")</f>
        <v>@avalard</v>
      </c>
      <c r="C161" s="10" t="s">
        <v>812</v>
      </c>
      <c r="D161" s="10" t="s">
        <v>813</v>
      </c>
      <c r="E161" s="9" t="str">
        <f>HYPERLINK("https://twitter.com/avalard/status/1218694340547051523","1218694340547051523")</f>
        <v>1218694340547051523</v>
      </c>
      <c r="F161" s="11" t="s">
        <v>814</v>
      </c>
      <c r="G161" s="13"/>
      <c r="H161" s="13"/>
      <c r="I161" s="14">
        <v>0.0</v>
      </c>
      <c r="J161" s="14">
        <v>0.0</v>
      </c>
      <c r="K161" s="9" t="str">
        <f t="shared" si="27"/>
        <v>Twitter for Android</v>
      </c>
      <c r="L161" s="15">
        <v>1775.0</v>
      </c>
      <c r="M161" s="15">
        <v>2575.0</v>
      </c>
      <c r="N161" s="15">
        <v>68.0</v>
      </c>
      <c r="O161" s="16"/>
      <c r="P161" s="17">
        <v>39731.50630787037</v>
      </c>
      <c r="Q161" s="10" t="s">
        <v>815</v>
      </c>
      <c r="R161" s="10" t="s">
        <v>816</v>
      </c>
      <c r="S161" s="11" t="s">
        <v>817</v>
      </c>
      <c r="T161" s="13"/>
      <c r="U161" s="18" t="str">
        <f>HYPERLINK("https://pbs.twimg.com/profile_images/948480874445713408/oWKneg1a.jpg","View")</f>
        <v>View</v>
      </c>
      <c r="V161" s="13"/>
      <c r="W161" s="13"/>
      <c r="X161" s="13"/>
      <c r="Y161" s="13"/>
      <c r="Z161" s="13"/>
    </row>
    <row r="162">
      <c r="A162" s="8">
        <v>43848.8187962963</v>
      </c>
      <c r="B162" s="9" t="str">
        <f>HYPERLINK("https://twitter.com/AtoZReddit","@AtoZReddit")</f>
        <v>@AtoZReddit</v>
      </c>
      <c r="C162" s="10" t="s">
        <v>818</v>
      </c>
      <c r="D162" s="10" t="s">
        <v>819</v>
      </c>
      <c r="E162" s="9" t="str">
        <f>HYPERLINK("https://twitter.com/AtoZReddit/status/1218694326890434560","1218694326890434560")</f>
        <v>1218694326890434560</v>
      </c>
      <c r="F162" s="11" t="s">
        <v>820</v>
      </c>
      <c r="G162" s="11" t="s">
        <v>821</v>
      </c>
      <c r="H162" s="13"/>
      <c r="I162" s="14">
        <v>0.0</v>
      </c>
      <c r="J162" s="14">
        <v>0.0</v>
      </c>
      <c r="K162" s="9" t="str">
        <f>HYPERLINK("https://buffer.com","Buffer")</f>
        <v>Buffer</v>
      </c>
      <c r="L162" s="15">
        <v>2.0</v>
      </c>
      <c r="M162" s="15">
        <v>5.0</v>
      </c>
      <c r="N162" s="15">
        <v>0.0</v>
      </c>
      <c r="O162" s="16"/>
      <c r="P162" s="17">
        <v>43815.56417824074</v>
      </c>
      <c r="Q162" s="13"/>
      <c r="R162" s="10" t="s">
        <v>822</v>
      </c>
      <c r="S162" s="13"/>
      <c r="T162" s="13"/>
      <c r="U162" s="18" t="str">
        <f>HYPERLINK("https://pbs.twimg.com/profile_images/1206643316957204480/IgtjCjDO.jpg","View")</f>
        <v>View</v>
      </c>
      <c r="V162" s="13"/>
      <c r="W162" s="13"/>
      <c r="X162" s="13"/>
      <c r="Y162" s="13"/>
      <c r="Z162" s="13"/>
    </row>
    <row r="163">
      <c r="A163" s="8">
        <v>43848.8172800926</v>
      </c>
      <c r="B163" s="9" t="str">
        <f>HYPERLINK("https://twitter.com/dead_digital","@dead_digital")</f>
        <v>@dead_digital</v>
      </c>
      <c r="C163" s="10" t="s">
        <v>823</v>
      </c>
      <c r="D163" s="10" t="s">
        <v>824</v>
      </c>
      <c r="E163" s="9" t="str">
        <f>HYPERLINK("https://twitter.com/dead_digital/status/1218693777159790592","1218693777159790592")</f>
        <v>1218693777159790592</v>
      </c>
      <c r="F163" s="13"/>
      <c r="G163" s="11" t="s">
        <v>825</v>
      </c>
      <c r="H163" s="13"/>
      <c r="I163" s="14">
        <v>0.0</v>
      </c>
      <c r="J163" s="14">
        <v>0.0</v>
      </c>
      <c r="K163" s="9" t="str">
        <f>HYPERLINK("http://twitter.com/#!/download/ipad","Twitter for iPad")</f>
        <v>Twitter for iPad</v>
      </c>
      <c r="L163" s="15">
        <v>4.0</v>
      </c>
      <c r="M163" s="15">
        <v>10.0</v>
      </c>
      <c r="N163" s="15">
        <v>0.0</v>
      </c>
      <c r="O163" s="16"/>
      <c r="P163" s="17">
        <v>43816.76603009259</v>
      </c>
      <c r="Q163" s="10" t="s">
        <v>826</v>
      </c>
      <c r="R163" s="10" t="s">
        <v>827</v>
      </c>
      <c r="S163" s="13"/>
      <c r="T163" s="13"/>
      <c r="U163" s="18" t="str">
        <f>HYPERLINK("https://pbs.twimg.com/profile_images/1207080732654354432/LFnC3nke.jpg","View")</f>
        <v>View</v>
      </c>
      <c r="V163" s="13"/>
      <c r="W163" s="13"/>
      <c r="X163" s="13"/>
      <c r="Y163" s="13"/>
      <c r="Z163" s="13"/>
    </row>
    <row r="164">
      <c r="A164" s="8">
        <v>43848.8171875</v>
      </c>
      <c r="B164" s="9" t="str">
        <f>HYPERLINK("https://twitter.com/Imheret45140132","@Imheret45140132")</f>
        <v>@Imheret45140132</v>
      </c>
      <c r="C164" s="10" t="s">
        <v>828</v>
      </c>
      <c r="D164" s="10" t="s">
        <v>829</v>
      </c>
      <c r="E164" s="9" t="str">
        <f>HYPERLINK("https://twitter.com/Imheret45140132/status/1218693745044021249","1218693745044021249")</f>
        <v>1218693745044021249</v>
      </c>
      <c r="F164" s="13"/>
      <c r="G164" s="13"/>
      <c r="H164" s="13"/>
      <c r="I164" s="14">
        <v>0.0</v>
      </c>
      <c r="J164" s="14">
        <v>0.0</v>
      </c>
      <c r="K164" s="9" t="str">
        <f>HYPERLINK("https://cheapbotsdonequick.com","Cheap Bots, Done Quick!")</f>
        <v>Cheap Bots, Done Quick!</v>
      </c>
      <c r="L164" s="15">
        <v>14.0</v>
      </c>
      <c r="M164" s="15">
        <v>0.0</v>
      </c>
      <c r="N164" s="15">
        <v>0.0</v>
      </c>
      <c r="O164" s="16"/>
      <c r="P164" s="17">
        <v>43686.97521990741</v>
      </c>
      <c r="Q164" s="13"/>
      <c r="R164" s="10" t="s">
        <v>830</v>
      </c>
      <c r="S164" s="13"/>
      <c r="T164" s="13"/>
      <c r="U164" s="18" t="str">
        <f>HYPERLINK("https://pbs.twimg.com/profile_images/1160030521675722753/4elwdbfT.jpg","View")</f>
        <v>View</v>
      </c>
      <c r="V164" s="13"/>
      <c r="W164" s="13"/>
      <c r="X164" s="13"/>
      <c r="Y164" s="13"/>
      <c r="Z164" s="13"/>
    </row>
    <row r="165">
      <c r="A165" s="8">
        <v>43848.81690972223</v>
      </c>
      <c r="B165" s="9" t="str">
        <f>HYPERLINK("https://twitter.com/grouptherapy33","@grouptherapy33")</f>
        <v>@grouptherapy33</v>
      </c>
      <c r="C165" s="10" t="s">
        <v>831</v>
      </c>
      <c r="D165" s="10" t="s">
        <v>832</v>
      </c>
      <c r="E165" s="9" t="str">
        <f>HYPERLINK("https://twitter.com/grouptherapy33/status/1218693643692802048","1218693643692802048")</f>
        <v>1218693643692802048</v>
      </c>
      <c r="F165" s="13"/>
      <c r="G165" s="13"/>
      <c r="H165" s="13"/>
      <c r="I165" s="14">
        <v>0.0</v>
      </c>
      <c r="J165" s="14">
        <v>0.0</v>
      </c>
      <c r="K165" s="9" t="str">
        <f>HYPERLINK("http://www.DynamicTweets.com","Dynamic Tweets")</f>
        <v>Dynamic Tweets</v>
      </c>
      <c r="L165" s="15">
        <v>4053.0</v>
      </c>
      <c r="M165" s="15">
        <v>3517.0</v>
      </c>
      <c r="N165" s="15">
        <v>74.0</v>
      </c>
      <c r="O165" s="16"/>
      <c r="P165" s="17">
        <v>42375.45542824074</v>
      </c>
      <c r="Q165" s="13"/>
      <c r="R165" s="13"/>
      <c r="S165" s="11" t="s">
        <v>833</v>
      </c>
      <c r="T165" s="13"/>
      <c r="U165" s="18" t="str">
        <f>HYPERLINK("https://pbs.twimg.com/profile_images/773354507157671941/wE10yy8j.jpg","View")</f>
        <v>View</v>
      </c>
      <c r="V165" s="13"/>
      <c r="W165" s="13"/>
      <c r="X165" s="13"/>
      <c r="Y165" s="13"/>
      <c r="Z165" s="13"/>
    </row>
    <row r="166">
      <c r="A166" s="8">
        <v>43848.81652777777</v>
      </c>
      <c r="B166" s="9" t="str">
        <f>HYPERLINK("https://twitter.com/MulaPhotography","@MulaPhotography")</f>
        <v>@MulaPhotography</v>
      </c>
      <c r="C166" s="10" t="s">
        <v>834</v>
      </c>
      <c r="D166" s="10" t="s">
        <v>835</v>
      </c>
      <c r="E166" s="9" t="str">
        <f>HYPERLINK("https://twitter.com/MulaPhotography/status/1218693503447904256","1218693503447904256")</f>
        <v>1218693503447904256</v>
      </c>
      <c r="F166" s="13"/>
      <c r="G166" s="11" t="s">
        <v>836</v>
      </c>
      <c r="H166" s="13"/>
      <c r="I166" s="14">
        <v>0.0</v>
      </c>
      <c r="J166" s="14">
        <v>0.0</v>
      </c>
      <c r="K166" s="9" t="str">
        <f>HYPERLINK("http://twitter.com/#!/download/ipad","Twitter for iPad")</f>
        <v>Twitter for iPad</v>
      </c>
      <c r="L166" s="15">
        <v>264.0</v>
      </c>
      <c r="M166" s="15">
        <v>969.0</v>
      </c>
      <c r="N166" s="15">
        <v>20.0</v>
      </c>
      <c r="O166" s="16"/>
      <c r="P166" s="17">
        <v>41177.327303240745</v>
      </c>
      <c r="Q166" s="10" t="s">
        <v>837</v>
      </c>
      <c r="R166" s="10" t="s">
        <v>838</v>
      </c>
      <c r="S166" s="11" t="s">
        <v>839</v>
      </c>
      <c r="T166" s="13"/>
      <c r="U166" s="18" t="str">
        <f>HYPERLINK("https://pbs.twimg.com/profile_images/1181551324862779392/FU5hzh6n.jpg","View")</f>
        <v>View</v>
      </c>
      <c r="V166" s="13"/>
      <c r="W166" s="13"/>
      <c r="X166" s="13"/>
      <c r="Y166" s="13"/>
      <c r="Z166" s="13"/>
    </row>
    <row r="167">
      <c r="A167" s="8">
        <v>43848.81644675926</v>
      </c>
      <c r="B167" s="9" t="str">
        <f>HYPERLINK("https://twitter.com/PsychedlicNews","@PsychedlicNews")</f>
        <v>@PsychedlicNews</v>
      </c>
      <c r="C167" s="10" t="s">
        <v>840</v>
      </c>
      <c r="D167" s="10" t="s">
        <v>841</v>
      </c>
      <c r="E167" s="9" t="str">
        <f>HYPERLINK("https://twitter.com/PsychedlicNews/status/1218693477669560320","1218693477669560320")</f>
        <v>1218693477669560320</v>
      </c>
      <c r="F167" s="11" t="s">
        <v>842</v>
      </c>
      <c r="G167" s="13"/>
      <c r="H167" s="13"/>
      <c r="I167" s="14">
        <v>0.0</v>
      </c>
      <c r="J167" s="14">
        <v>0.0</v>
      </c>
      <c r="K167" s="9" t="str">
        <f t="shared" ref="K167:K168" si="28">HYPERLINK("https://mobile.twitter.com","Twitter Web App")</f>
        <v>Twitter Web App</v>
      </c>
      <c r="L167" s="15">
        <v>252.0</v>
      </c>
      <c r="M167" s="15">
        <v>241.0</v>
      </c>
      <c r="N167" s="15">
        <v>6.0</v>
      </c>
      <c r="O167" s="16"/>
      <c r="P167" s="17">
        <v>43634.61561342592</v>
      </c>
      <c r="Q167" s="10" t="s">
        <v>382</v>
      </c>
      <c r="R167" s="10" t="s">
        <v>843</v>
      </c>
      <c r="S167" s="11" t="s">
        <v>844</v>
      </c>
      <c r="T167" s="13"/>
      <c r="U167" s="18" t="str">
        <f>HYPERLINK("https://pbs.twimg.com/profile_images/1141055654536179713/SKzwlqxl.png","View")</f>
        <v>View</v>
      </c>
      <c r="V167" s="13"/>
      <c r="W167" s="13"/>
      <c r="X167" s="13"/>
      <c r="Y167" s="13"/>
      <c r="Z167" s="13"/>
    </row>
    <row r="168">
      <c r="A168" s="8">
        <v>43848.81623842593</v>
      </c>
      <c r="B168" s="9" t="str">
        <f>HYPERLINK("https://twitter.com/ShainaLovesMKE","@ShainaLovesMKE")</f>
        <v>@ShainaLovesMKE</v>
      </c>
      <c r="C168" s="10" t="s">
        <v>845</v>
      </c>
      <c r="D168" s="10" t="s">
        <v>846</v>
      </c>
      <c r="E168" s="9" t="str">
        <f>HYPERLINK("https://twitter.com/ShainaLovesMKE/status/1218693399664001025","1218693399664001025")</f>
        <v>1218693399664001025</v>
      </c>
      <c r="F168" s="13"/>
      <c r="G168" s="13"/>
      <c r="H168" s="13"/>
      <c r="I168" s="14">
        <v>0.0</v>
      </c>
      <c r="J168" s="14">
        <v>0.0</v>
      </c>
      <c r="K168" s="9" t="str">
        <f t="shared" si="28"/>
        <v>Twitter Web App</v>
      </c>
      <c r="L168" s="15">
        <v>429.0</v>
      </c>
      <c r="M168" s="15">
        <v>435.0</v>
      </c>
      <c r="N168" s="15">
        <v>10.0</v>
      </c>
      <c r="O168" s="16"/>
      <c r="P168" s="17">
        <v>42933.63327546296</v>
      </c>
      <c r="Q168" s="10" t="s">
        <v>847</v>
      </c>
      <c r="R168" s="10" t="s">
        <v>848</v>
      </c>
      <c r="S168" s="11" t="s">
        <v>849</v>
      </c>
      <c r="T168" s="13"/>
      <c r="U168" s="18" t="str">
        <f>HYPERLINK("https://pbs.twimg.com/profile_images/1210387977668644864/w28uTnT9.jpg","View")</f>
        <v>View</v>
      </c>
      <c r="V168" s="13"/>
      <c r="W168" s="13"/>
      <c r="X168" s="13"/>
      <c r="Y168" s="13"/>
      <c r="Z168" s="13"/>
    </row>
    <row r="169">
      <c r="A169" s="8">
        <v>43848.816145833334</v>
      </c>
      <c r="B169" s="9" t="str">
        <f>HYPERLINK("https://twitter.com/BleughLAR","@BleughLAR")</f>
        <v>@BleughLAR</v>
      </c>
      <c r="C169" s="10" t="s">
        <v>850</v>
      </c>
      <c r="D169" s="10" t="s">
        <v>851</v>
      </c>
      <c r="E169" s="9" t="str">
        <f>HYPERLINK("https://twitter.com/BleughLAR/status/1218693368173268993","1218693368173268993")</f>
        <v>1218693368173268993</v>
      </c>
      <c r="F169" s="13"/>
      <c r="G169" s="13"/>
      <c r="H169" s="13"/>
      <c r="I169" s="14">
        <v>0.0</v>
      </c>
      <c r="J169" s="14">
        <v>0.0</v>
      </c>
      <c r="K169" s="9" t="str">
        <f>HYPERLINK("http://twitter.com/download/android","Twitter for Android")</f>
        <v>Twitter for Android</v>
      </c>
      <c r="L169" s="15">
        <v>24.0</v>
      </c>
      <c r="M169" s="15">
        <v>100.0</v>
      </c>
      <c r="N169" s="15">
        <v>0.0</v>
      </c>
      <c r="O169" s="16"/>
      <c r="P169" s="17">
        <v>43840.65096064815</v>
      </c>
      <c r="Q169" s="13"/>
      <c r="R169" s="10" t="s">
        <v>852</v>
      </c>
      <c r="S169" s="13"/>
      <c r="T169" s="13"/>
      <c r="U169" s="18" t="str">
        <f>HYPERLINK("https://pbs.twimg.com/profile_images/1215734757344141315/dn4fqmH0.jpg","View")</f>
        <v>View</v>
      </c>
      <c r="V169" s="13"/>
      <c r="W169" s="13"/>
      <c r="X169" s="13"/>
      <c r="Y169" s="13"/>
      <c r="Z169" s="13"/>
    </row>
    <row r="170">
      <c r="A170" s="8">
        <v>43848.81560185185</v>
      </c>
      <c r="B170" s="9" t="str">
        <f>HYPERLINK("https://twitter.com/brewitching","@brewitching")</f>
        <v>@brewitching</v>
      </c>
      <c r="C170" s="10" t="s">
        <v>853</v>
      </c>
      <c r="D170" s="10" t="s">
        <v>854</v>
      </c>
      <c r="E170" s="9" t="str">
        <f>HYPERLINK("https://twitter.com/brewitching/status/1218693169866473472","1218693169866473472")</f>
        <v>1218693169866473472</v>
      </c>
      <c r="F170" s="11" t="s">
        <v>855</v>
      </c>
      <c r="G170" s="13"/>
      <c r="H170" s="13"/>
      <c r="I170" s="14">
        <v>0.0</v>
      </c>
      <c r="J170" s="14">
        <v>0.0</v>
      </c>
      <c r="K170" s="9" t="str">
        <f>HYPERLINK("http://instagram.com","Instagram")</f>
        <v>Instagram</v>
      </c>
      <c r="L170" s="15">
        <v>2418.0</v>
      </c>
      <c r="M170" s="15">
        <v>968.0</v>
      </c>
      <c r="N170" s="15">
        <v>28.0</v>
      </c>
      <c r="O170" s="16"/>
      <c r="P170" s="17">
        <v>40869.50226851852</v>
      </c>
      <c r="Q170" s="10" t="s">
        <v>856</v>
      </c>
      <c r="R170" s="10" t="s">
        <v>857</v>
      </c>
      <c r="S170" s="13"/>
      <c r="T170" s="13"/>
      <c r="U170" s="18" t="str">
        <f>HYPERLINK("https://pbs.twimg.com/profile_images/1209317253302378509/WkN9mOnz.jpg","View")</f>
        <v>View</v>
      </c>
      <c r="V170" s="13"/>
      <c r="W170" s="13"/>
      <c r="X170" s="13"/>
      <c r="Y170" s="13"/>
      <c r="Z170" s="13"/>
    </row>
    <row r="171">
      <c r="A171" s="8">
        <v>43848.81509259259</v>
      </c>
      <c r="B171" s="9" t="str">
        <f>HYPERLINK("https://twitter.com/PsychedlicNews","@PsychedlicNews")</f>
        <v>@PsychedlicNews</v>
      </c>
      <c r="C171" s="10" t="s">
        <v>840</v>
      </c>
      <c r="D171" s="10" t="s">
        <v>858</v>
      </c>
      <c r="E171" s="9" t="str">
        <f>HYPERLINK("https://twitter.com/PsychedlicNews/status/1218692986495627264","1218692986495627264")</f>
        <v>1218692986495627264</v>
      </c>
      <c r="F171" s="11" t="s">
        <v>859</v>
      </c>
      <c r="G171" s="13"/>
      <c r="H171" s="13"/>
      <c r="I171" s="14">
        <v>0.0</v>
      </c>
      <c r="J171" s="14">
        <v>1.0</v>
      </c>
      <c r="K171" s="9" t="str">
        <f>HYPERLINK("https://mobile.twitter.com","Twitter Web App")</f>
        <v>Twitter Web App</v>
      </c>
      <c r="L171" s="15">
        <v>252.0</v>
      </c>
      <c r="M171" s="15">
        <v>241.0</v>
      </c>
      <c r="N171" s="15">
        <v>6.0</v>
      </c>
      <c r="O171" s="16"/>
      <c r="P171" s="17">
        <v>43634.61561342592</v>
      </c>
      <c r="Q171" s="10" t="s">
        <v>382</v>
      </c>
      <c r="R171" s="10" t="s">
        <v>843</v>
      </c>
      <c r="S171" s="11" t="s">
        <v>844</v>
      </c>
      <c r="T171" s="13"/>
      <c r="U171" s="18" t="str">
        <f>HYPERLINK("https://pbs.twimg.com/profile_images/1141055654536179713/SKzwlqxl.png","View")</f>
        <v>View</v>
      </c>
      <c r="V171" s="13"/>
      <c r="W171" s="13"/>
      <c r="X171" s="13"/>
      <c r="Y171" s="13"/>
      <c r="Z171" s="13"/>
    </row>
    <row r="172">
      <c r="A172" s="8">
        <v>43848.8149074074</v>
      </c>
      <c r="B172" s="9" t="str">
        <f>HYPERLINK("https://twitter.com/MulaPhotography","@MulaPhotography")</f>
        <v>@MulaPhotography</v>
      </c>
      <c r="C172" s="10" t="s">
        <v>834</v>
      </c>
      <c r="D172" s="10" t="s">
        <v>860</v>
      </c>
      <c r="E172" s="9" t="str">
        <f>HYPERLINK("https://twitter.com/MulaPhotography/status/1218692917730205696","1218692917730205696")</f>
        <v>1218692917730205696</v>
      </c>
      <c r="F172" s="11" t="s">
        <v>861</v>
      </c>
      <c r="G172" s="13"/>
      <c r="H172" s="9" t="str">
        <f>HYPERLINK("https://ctrlq.org/maps/address/#51.50711486,-0.12731805","Map")</f>
        <v>Map</v>
      </c>
      <c r="I172" s="14">
        <v>0.0</v>
      </c>
      <c r="J172" s="14">
        <v>0.0</v>
      </c>
      <c r="K172" s="9" t="str">
        <f>HYPERLINK("http://instagram.com","Instagram")</f>
        <v>Instagram</v>
      </c>
      <c r="L172" s="15">
        <v>264.0</v>
      </c>
      <c r="M172" s="15">
        <v>969.0</v>
      </c>
      <c r="N172" s="15">
        <v>20.0</v>
      </c>
      <c r="O172" s="16"/>
      <c r="P172" s="17">
        <v>41177.327303240745</v>
      </c>
      <c r="Q172" s="10" t="s">
        <v>837</v>
      </c>
      <c r="R172" s="10" t="s">
        <v>838</v>
      </c>
      <c r="S172" s="11" t="s">
        <v>839</v>
      </c>
      <c r="T172" s="13"/>
      <c r="U172" s="18" t="str">
        <f>HYPERLINK("https://pbs.twimg.com/profile_images/1181551324862779392/FU5hzh6n.jpg","View")</f>
        <v>View</v>
      </c>
      <c r="V172" s="13"/>
      <c r="W172" s="13"/>
      <c r="X172" s="13"/>
      <c r="Y172" s="13"/>
      <c r="Z172" s="13"/>
    </row>
    <row r="173">
      <c r="A173" s="8">
        <v>43848.81434027778</v>
      </c>
      <c r="B173" s="9" t="str">
        <f>HYPERLINK("https://twitter.com/Occult_Daddy","@Occult_Daddy")</f>
        <v>@Occult_Daddy</v>
      </c>
      <c r="C173" s="10" t="s">
        <v>862</v>
      </c>
      <c r="D173" s="10" t="s">
        <v>863</v>
      </c>
      <c r="E173" s="9" t="str">
        <f>HYPERLINK("https://twitter.com/Occult_Daddy/status/1218692710585888769","1218692710585888769")</f>
        <v>1218692710585888769</v>
      </c>
      <c r="F173" s="13"/>
      <c r="G173" s="13"/>
      <c r="H173" s="13"/>
      <c r="I173" s="14">
        <v>0.0</v>
      </c>
      <c r="J173" s="14">
        <v>0.0</v>
      </c>
      <c r="K173" s="9" t="str">
        <f>HYPERLINK("http://twitter.com/download/android","Twitter for Android")</f>
        <v>Twitter for Android</v>
      </c>
      <c r="L173" s="15">
        <v>19.0</v>
      </c>
      <c r="M173" s="15">
        <v>44.0</v>
      </c>
      <c r="N173" s="15">
        <v>0.0</v>
      </c>
      <c r="O173" s="16"/>
      <c r="P173" s="17">
        <v>43775.5671875</v>
      </c>
      <c r="Q173" s="10" t="s">
        <v>864</v>
      </c>
      <c r="R173" s="10" t="s">
        <v>865</v>
      </c>
      <c r="S173" s="13"/>
      <c r="T173" s="13"/>
      <c r="U173" s="18" t="str">
        <f>HYPERLINK("https://pbs.twimg.com/profile_images/1192150688400166912/L63vmoM9.jpg","View")</f>
        <v>View</v>
      </c>
      <c r="V173" s="13"/>
      <c r="W173" s="13"/>
      <c r="X173" s="13"/>
      <c r="Y173" s="13"/>
      <c r="Z173" s="13"/>
    </row>
    <row r="174">
      <c r="A174" s="8">
        <v>43848.81386574074</v>
      </c>
      <c r="B174" s="9" t="str">
        <f>HYPERLINK("https://twitter.com/kendrafisher30","@kendrafisher30")</f>
        <v>@kendrafisher30</v>
      </c>
      <c r="C174" s="10" t="s">
        <v>866</v>
      </c>
      <c r="D174" s="10" t="s">
        <v>867</v>
      </c>
      <c r="E174" s="9" t="str">
        <f>HYPERLINK("https://twitter.com/kendrafisher30/status/1218692540632879107","1218692540632879107")</f>
        <v>1218692540632879107</v>
      </c>
      <c r="F174" s="13"/>
      <c r="G174" s="11" t="s">
        <v>868</v>
      </c>
      <c r="H174" s="13"/>
      <c r="I174" s="14">
        <v>0.0</v>
      </c>
      <c r="J174" s="14">
        <v>1.0</v>
      </c>
      <c r="K174" s="9" t="str">
        <f>HYPERLINK("http://twitter.com/download/iphone","Twitter for iPhone")</f>
        <v>Twitter for iPhone</v>
      </c>
      <c r="L174" s="15">
        <v>2121.0</v>
      </c>
      <c r="M174" s="15">
        <v>593.0</v>
      </c>
      <c r="N174" s="15">
        <v>62.0</v>
      </c>
      <c r="O174" s="16"/>
      <c r="P174" s="17">
        <v>39919.77334490741</v>
      </c>
      <c r="Q174" s="10" t="s">
        <v>245</v>
      </c>
      <c r="R174" s="10" t="s">
        <v>869</v>
      </c>
      <c r="S174" s="11" t="s">
        <v>870</v>
      </c>
      <c r="T174" s="13"/>
      <c r="U174" s="18" t="str">
        <f>HYPERLINK("https://pbs.twimg.com/profile_images/1211330323562336268/QW0MtdKo.jpg","View")</f>
        <v>View</v>
      </c>
      <c r="V174" s="13"/>
      <c r="W174" s="13"/>
      <c r="X174" s="13"/>
      <c r="Y174" s="13"/>
      <c r="Z174" s="13"/>
    </row>
    <row r="175">
      <c r="A175" s="8">
        <v>43848.81253472222</v>
      </c>
      <c r="B175" s="9" t="str">
        <f>HYPERLINK("https://twitter.com/DanDeeLion1","@DanDeeLion1")</f>
        <v>@DanDeeLion1</v>
      </c>
      <c r="C175" s="10" t="s">
        <v>871</v>
      </c>
      <c r="D175" s="10" t="s">
        <v>872</v>
      </c>
      <c r="E175" s="9" t="str">
        <f>HYPERLINK("https://twitter.com/DanDeeLion1/status/1218692055960104960","1218692055960104960")</f>
        <v>1218692055960104960</v>
      </c>
      <c r="F175" s="11" t="s">
        <v>873</v>
      </c>
      <c r="G175" s="13"/>
      <c r="H175" s="13"/>
      <c r="I175" s="14">
        <v>0.0</v>
      </c>
      <c r="J175" s="14">
        <v>0.0</v>
      </c>
      <c r="K175" s="9" t="str">
        <f>HYPERLINK("http://twitter.com/download/android","Twitter for Android")</f>
        <v>Twitter for Android</v>
      </c>
      <c r="L175" s="15">
        <v>2624.0</v>
      </c>
      <c r="M175" s="15">
        <v>4999.0</v>
      </c>
      <c r="N175" s="15">
        <v>446.0</v>
      </c>
      <c r="O175" s="16"/>
      <c r="P175" s="17">
        <v>40722.90998842593</v>
      </c>
      <c r="Q175" s="10" t="s">
        <v>874</v>
      </c>
      <c r="R175" s="10" t="s">
        <v>875</v>
      </c>
      <c r="S175" s="11" t="s">
        <v>876</v>
      </c>
      <c r="T175" s="13"/>
      <c r="U175" s="18" t="str">
        <f>HYPERLINK("https://pbs.twimg.com/profile_images/945738987657981957/hAP_Mqzq.jpg","View")</f>
        <v>View</v>
      </c>
      <c r="V175" s="13"/>
      <c r="W175" s="13"/>
      <c r="X175" s="13"/>
      <c r="Y175" s="13"/>
      <c r="Z175" s="13"/>
    </row>
    <row r="176">
      <c r="A176" s="8">
        <v>43848.81252314815</v>
      </c>
      <c r="B176" s="9" t="str">
        <f>HYPERLINK("https://twitter.com/clearviewwomens","@clearviewwomens")</f>
        <v>@clearviewwomens</v>
      </c>
      <c r="C176" s="10" t="s">
        <v>582</v>
      </c>
      <c r="D176" s="10" t="s">
        <v>877</v>
      </c>
      <c r="E176" s="9" t="str">
        <f>HYPERLINK("https://twitter.com/clearviewwomens/status/1218692055125413889","1218692055125413889")</f>
        <v>1218692055125413889</v>
      </c>
      <c r="F176" s="11" t="s">
        <v>878</v>
      </c>
      <c r="G176" s="13"/>
      <c r="H176" s="13"/>
      <c r="I176" s="14">
        <v>0.0</v>
      </c>
      <c r="J176" s="14">
        <v>0.0</v>
      </c>
      <c r="K176" s="9" t="str">
        <f>HYPERLINK("https://sproutsocial.com","Sprout Social")</f>
        <v>Sprout Social</v>
      </c>
      <c r="L176" s="15">
        <v>1943.0</v>
      </c>
      <c r="M176" s="15">
        <v>484.0</v>
      </c>
      <c r="N176" s="15">
        <v>34.0</v>
      </c>
      <c r="O176" s="16"/>
      <c r="P176" s="17">
        <v>40316.5829050926</v>
      </c>
      <c r="Q176" s="10" t="s">
        <v>585</v>
      </c>
      <c r="R176" s="10" t="s">
        <v>586</v>
      </c>
      <c r="S176" s="11" t="s">
        <v>587</v>
      </c>
      <c r="T176" s="13"/>
      <c r="U176" s="18" t="str">
        <f>HYPERLINK("https://pbs.twimg.com/profile_images/992457634858008577/6F7Mz0oK.jpg","View")</f>
        <v>View</v>
      </c>
      <c r="V176" s="13"/>
      <c r="W176" s="13"/>
      <c r="X176" s="13"/>
      <c r="Y176" s="13"/>
      <c r="Z176" s="13"/>
    </row>
    <row r="177">
      <c r="A177" s="8">
        <v>43848.81251157407</v>
      </c>
      <c r="B177" s="9" t="str">
        <f>HYPERLINK("https://twitter.com/weirmark","@weirmark")</f>
        <v>@weirmark</v>
      </c>
      <c r="C177" s="10" t="s">
        <v>879</v>
      </c>
      <c r="D177" s="10" t="s">
        <v>880</v>
      </c>
      <c r="E177" s="9" t="str">
        <f>HYPERLINK("https://twitter.com/weirmark/status/1218692048976523270","1218692048976523270")</f>
        <v>1218692048976523270</v>
      </c>
      <c r="F177" s="10" t="s">
        <v>881</v>
      </c>
      <c r="G177" s="13"/>
      <c r="H177" s="13"/>
      <c r="I177" s="14">
        <v>0.0</v>
      </c>
      <c r="J177" s="14">
        <v>0.0</v>
      </c>
      <c r="K177" s="9" t="str">
        <f>HYPERLINK("http://twitter.com/download/iphone","Twitter for iPhone")</f>
        <v>Twitter for iPhone</v>
      </c>
      <c r="L177" s="15">
        <v>546.0</v>
      </c>
      <c r="M177" s="15">
        <v>734.0</v>
      </c>
      <c r="N177" s="15">
        <v>10.0</v>
      </c>
      <c r="O177" s="16"/>
      <c r="P177" s="17">
        <v>39839.55440972222</v>
      </c>
      <c r="Q177" s="10" t="s">
        <v>882</v>
      </c>
      <c r="R177" s="10" t="s">
        <v>883</v>
      </c>
      <c r="S177" s="11" t="s">
        <v>884</v>
      </c>
      <c r="T177" s="13"/>
      <c r="U177" s="18" t="str">
        <f>HYPERLINK("https://pbs.twimg.com/profile_images/1065584732770115585/zJ4ApZ39.jpg","View")</f>
        <v>View</v>
      </c>
      <c r="V177" s="13"/>
      <c r="W177" s="13"/>
      <c r="X177" s="13"/>
      <c r="Y177" s="13"/>
      <c r="Z177" s="13"/>
    </row>
    <row r="178">
      <c r="A178" s="8">
        <v>43848.81135416667</v>
      </c>
      <c r="B178" s="9" t="str">
        <f>HYPERLINK("https://twitter.com/PsychedlicNews","@PsychedlicNews")</f>
        <v>@PsychedlicNews</v>
      </c>
      <c r="C178" s="10" t="s">
        <v>840</v>
      </c>
      <c r="D178" s="10" t="s">
        <v>885</v>
      </c>
      <c r="E178" s="9" t="str">
        <f>HYPERLINK("https://twitter.com/PsychedlicNews/status/1218691632163221504","1218691632163221504")</f>
        <v>1218691632163221504</v>
      </c>
      <c r="F178" s="11" t="s">
        <v>886</v>
      </c>
      <c r="G178" s="13"/>
      <c r="H178" s="13"/>
      <c r="I178" s="14">
        <v>0.0</v>
      </c>
      <c r="J178" s="14">
        <v>0.0</v>
      </c>
      <c r="K178" s="9" t="str">
        <f>HYPERLINK("https://mobile.twitter.com","Twitter Web App")</f>
        <v>Twitter Web App</v>
      </c>
      <c r="L178" s="15">
        <v>252.0</v>
      </c>
      <c r="M178" s="15">
        <v>241.0</v>
      </c>
      <c r="N178" s="15">
        <v>6.0</v>
      </c>
      <c r="O178" s="16"/>
      <c r="P178" s="17">
        <v>43634.61561342592</v>
      </c>
      <c r="Q178" s="10" t="s">
        <v>382</v>
      </c>
      <c r="R178" s="10" t="s">
        <v>843</v>
      </c>
      <c r="S178" s="11" t="s">
        <v>844</v>
      </c>
      <c r="T178" s="13"/>
      <c r="U178" s="18" t="str">
        <f>HYPERLINK("https://pbs.twimg.com/profile_images/1141055654536179713/SKzwlqxl.png","View")</f>
        <v>View</v>
      </c>
      <c r="V178" s="13"/>
      <c r="W178" s="13"/>
      <c r="X178" s="13"/>
      <c r="Y178" s="13"/>
      <c r="Z178" s="13"/>
    </row>
    <row r="179">
      <c r="A179" s="8">
        <v>43848.81064814815</v>
      </c>
      <c r="B179" s="9" t="str">
        <f>HYPERLINK("https://twitter.com/CHEOWonderlandT","@CHEOWonderlandT")</f>
        <v>@CHEOWonderlandT</v>
      </c>
      <c r="C179" s="10" t="s">
        <v>647</v>
      </c>
      <c r="D179" s="10" t="s">
        <v>887</v>
      </c>
      <c r="E179" s="9" t="str">
        <f>HYPERLINK("https://twitter.com/CHEOWonderlandT/status/1218691375761444865","1218691375761444865")</f>
        <v>1218691375761444865</v>
      </c>
      <c r="F179" s="13"/>
      <c r="G179" s="11" t="s">
        <v>888</v>
      </c>
      <c r="H179" s="13"/>
      <c r="I179" s="14">
        <v>0.0</v>
      </c>
      <c r="J179" s="14">
        <v>1.0</v>
      </c>
      <c r="K179" s="9" t="str">
        <f>HYPERLINK("http://twitter.com/download/iphone","Twitter for iPhone")</f>
        <v>Twitter for iPhone</v>
      </c>
      <c r="L179" s="15">
        <v>24.0</v>
      </c>
      <c r="M179" s="15">
        <v>11.0</v>
      </c>
      <c r="N179" s="15">
        <v>1.0</v>
      </c>
      <c r="O179" s="16"/>
      <c r="P179" s="17">
        <v>43130.445185185185</v>
      </c>
      <c r="Q179" s="10" t="s">
        <v>650</v>
      </c>
      <c r="R179" s="10" t="s">
        <v>651</v>
      </c>
      <c r="S179" s="11" t="s">
        <v>652</v>
      </c>
      <c r="T179" s="13"/>
      <c r="U179" s="18" t="str">
        <f>HYPERLINK("https://pbs.twimg.com/profile_images/965746155777863680/gGwcszsz.jpg","View")</f>
        <v>View</v>
      </c>
      <c r="V179" s="13"/>
      <c r="W179" s="13"/>
      <c r="X179" s="13"/>
      <c r="Y179" s="13"/>
      <c r="Z179" s="13"/>
    </row>
    <row r="180">
      <c r="A180" s="8">
        <v>43848.810057870374</v>
      </c>
      <c r="B180" s="9" t="str">
        <f>HYPERLINK("https://twitter.com/lelefascod","@lelefascod")</f>
        <v>@lelefascod</v>
      </c>
      <c r="C180" s="10" t="s">
        <v>889</v>
      </c>
      <c r="D180" s="10" t="s">
        <v>890</v>
      </c>
      <c r="E180" s="9" t="str">
        <f>HYPERLINK("https://twitter.com/lelefascod/status/1218691161486848001","1218691161486848001")</f>
        <v>1218691161486848001</v>
      </c>
      <c r="F180" s="11" t="s">
        <v>891</v>
      </c>
      <c r="G180" s="13"/>
      <c r="H180" s="13"/>
      <c r="I180" s="14">
        <v>0.0</v>
      </c>
      <c r="J180" s="14">
        <v>0.0</v>
      </c>
      <c r="K180" s="9" t="str">
        <f>HYPERLINK("http://instagram.com","Instagram")</f>
        <v>Instagram</v>
      </c>
      <c r="L180" s="15">
        <v>338.0</v>
      </c>
      <c r="M180" s="15">
        <v>382.0</v>
      </c>
      <c r="N180" s="15">
        <v>5.0</v>
      </c>
      <c r="O180" s="16"/>
      <c r="P180" s="17">
        <v>40267.43645833334</v>
      </c>
      <c r="Q180" s="13"/>
      <c r="R180" s="10" t="s">
        <v>892</v>
      </c>
      <c r="S180" s="11" t="s">
        <v>893</v>
      </c>
      <c r="T180" s="13"/>
      <c r="U180" s="18" t="str">
        <f>HYPERLINK("https://pbs.twimg.com/profile_images/1059392878575804416/sca5X423.jpg","View")</f>
        <v>View</v>
      </c>
      <c r="V180" s="13"/>
      <c r="W180" s="13"/>
      <c r="X180" s="13"/>
      <c r="Y180" s="13"/>
      <c r="Z180" s="13"/>
    </row>
    <row r="181">
      <c r="A181" s="8">
        <v>43848.80951388889</v>
      </c>
      <c r="B181" s="9" t="str">
        <f>HYPERLINK("https://twitter.com/PsychedlicNews","@PsychedlicNews")</f>
        <v>@PsychedlicNews</v>
      </c>
      <c r="C181" s="10" t="s">
        <v>840</v>
      </c>
      <c r="D181" s="10" t="s">
        <v>894</v>
      </c>
      <c r="E181" s="9" t="str">
        <f>HYPERLINK("https://twitter.com/PsychedlicNews/status/1218690965080141824","1218690965080141824")</f>
        <v>1218690965080141824</v>
      </c>
      <c r="F181" s="11" t="s">
        <v>895</v>
      </c>
      <c r="G181" s="13"/>
      <c r="H181" s="13"/>
      <c r="I181" s="14">
        <v>0.0</v>
      </c>
      <c r="J181" s="14">
        <v>0.0</v>
      </c>
      <c r="K181" s="9" t="str">
        <f>HYPERLINK("https://mobile.twitter.com","Twitter Web App")</f>
        <v>Twitter Web App</v>
      </c>
      <c r="L181" s="15">
        <v>252.0</v>
      </c>
      <c r="M181" s="15">
        <v>241.0</v>
      </c>
      <c r="N181" s="15">
        <v>6.0</v>
      </c>
      <c r="O181" s="16"/>
      <c r="P181" s="17">
        <v>43634.61561342592</v>
      </c>
      <c r="Q181" s="10" t="s">
        <v>382</v>
      </c>
      <c r="R181" s="10" t="s">
        <v>843</v>
      </c>
      <c r="S181" s="11" t="s">
        <v>844</v>
      </c>
      <c r="T181" s="13"/>
      <c r="U181" s="18" t="str">
        <f>HYPERLINK("https://pbs.twimg.com/profile_images/1141055654536179713/SKzwlqxl.png","View")</f>
        <v>View</v>
      </c>
      <c r="V181" s="13"/>
      <c r="W181" s="13"/>
      <c r="X181" s="13"/>
      <c r="Y181" s="13"/>
      <c r="Z181" s="13"/>
    </row>
    <row r="182">
      <c r="A182" s="8">
        <v>43848.80920138889</v>
      </c>
      <c r="B182" s="9" t="str">
        <f>HYPERLINK("https://twitter.com/nwattier","@nwattier")</f>
        <v>@nwattier</v>
      </c>
      <c r="C182" s="10" t="s">
        <v>896</v>
      </c>
      <c r="D182" s="10" t="s">
        <v>897</v>
      </c>
      <c r="E182" s="9" t="str">
        <f>HYPERLINK("https://twitter.com/nwattier/status/1218690851464982528","1218690851464982528")</f>
        <v>1218690851464982528</v>
      </c>
      <c r="F182" s="13"/>
      <c r="G182" s="13"/>
      <c r="H182" s="13"/>
      <c r="I182" s="14">
        <v>0.0</v>
      </c>
      <c r="J182" s="14">
        <v>0.0</v>
      </c>
      <c r="K182" s="9" t="str">
        <f>HYPERLINK("http://twitter.com/download/iphone","Twitter for iPhone")</f>
        <v>Twitter for iPhone</v>
      </c>
      <c r="L182" s="15">
        <v>30.0</v>
      </c>
      <c r="M182" s="15">
        <v>31.0</v>
      </c>
      <c r="N182" s="15">
        <v>0.0</v>
      </c>
      <c r="O182" s="16"/>
      <c r="P182" s="17">
        <v>40942.51395833334</v>
      </c>
      <c r="Q182" s="10" t="s">
        <v>898</v>
      </c>
      <c r="R182" s="10" t="s">
        <v>899</v>
      </c>
      <c r="S182" s="11" t="s">
        <v>900</v>
      </c>
      <c r="T182" s="13"/>
      <c r="U182" s="18" t="str">
        <f>HYPERLINK("https://pbs.twimg.com/profile_images/1123397088954466306/wSMrHMtm.png","View")</f>
        <v>View</v>
      </c>
      <c r="V182" s="13"/>
      <c r="W182" s="13"/>
      <c r="X182" s="13"/>
      <c r="Y182" s="13"/>
      <c r="Z182" s="13"/>
    </row>
    <row r="183">
      <c r="A183" s="8">
        <v>43848.80820601852</v>
      </c>
      <c r="B183" s="9" t="str">
        <f>HYPERLINK("https://twitter.com/HHKeegan","@HHKeegan")</f>
        <v>@HHKeegan</v>
      </c>
      <c r="C183" s="10" t="s">
        <v>901</v>
      </c>
      <c r="D183" s="10" t="s">
        <v>902</v>
      </c>
      <c r="E183" s="9" t="str">
        <f>HYPERLINK("https://twitter.com/HHKeegan/status/1218690489542684674","1218690489542684674")</f>
        <v>1218690489542684674</v>
      </c>
      <c r="F183" s="11" t="s">
        <v>903</v>
      </c>
      <c r="G183" s="11" t="s">
        <v>904</v>
      </c>
      <c r="H183" s="13"/>
      <c r="I183" s="14">
        <v>0.0</v>
      </c>
      <c r="J183" s="14">
        <v>0.0</v>
      </c>
      <c r="K183" s="9" t="str">
        <f t="shared" ref="K183:K184" si="29">HYPERLINK("http://twitter.com/download/android","Twitter for Android")</f>
        <v>Twitter for Android</v>
      </c>
      <c r="L183" s="15">
        <v>73.0</v>
      </c>
      <c r="M183" s="15">
        <v>97.0</v>
      </c>
      <c r="N183" s="15">
        <v>1.0</v>
      </c>
      <c r="O183" s="16"/>
      <c r="P183" s="17">
        <v>43280.900300925925</v>
      </c>
      <c r="Q183" s="10" t="s">
        <v>905</v>
      </c>
      <c r="R183" s="10" t="s">
        <v>906</v>
      </c>
      <c r="S183" s="11" t="s">
        <v>907</v>
      </c>
      <c r="T183" s="13"/>
      <c r="U183" s="18" t="str">
        <f>HYPERLINK("https://pbs.twimg.com/profile_images/1216880165843763202/K4ygUNtr.jpg","View")</f>
        <v>View</v>
      </c>
      <c r="V183" s="13"/>
      <c r="W183" s="13"/>
      <c r="X183" s="13"/>
      <c r="Y183" s="13"/>
      <c r="Z183" s="13"/>
    </row>
    <row r="184">
      <c r="A184" s="8">
        <v>43848.80805555556</v>
      </c>
      <c r="B184" s="9" t="str">
        <f>HYPERLINK("https://twitter.com/Goldenberg_LCSW","@Goldenberg_LCSW")</f>
        <v>@Goldenberg_LCSW</v>
      </c>
      <c r="C184" s="10" t="s">
        <v>908</v>
      </c>
      <c r="D184" s="10" t="s">
        <v>909</v>
      </c>
      <c r="E184" s="9" t="str">
        <f>HYPERLINK("https://twitter.com/Goldenberg_LCSW/status/1218690436459585536","1218690436459585536")</f>
        <v>1218690436459585536</v>
      </c>
      <c r="F184" s="11" t="s">
        <v>910</v>
      </c>
      <c r="G184" s="11" t="s">
        <v>911</v>
      </c>
      <c r="H184" s="13"/>
      <c r="I184" s="14">
        <v>0.0</v>
      </c>
      <c r="J184" s="14">
        <v>0.0</v>
      </c>
      <c r="K184" s="9" t="str">
        <f t="shared" si="29"/>
        <v>Twitter for Android</v>
      </c>
      <c r="L184" s="15">
        <v>16.0</v>
      </c>
      <c r="M184" s="15">
        <v>83.0</v>
      </c>
      <c r="N184" s="15">
        <v>0.0</v>
      </c>
      <c r="O184" s="16"/>
      <c r="P184" s="17">
        <v>43753.12267361111</v>
      </c>
      <c r="Q184" s="13"/>
      <c r="R184" s="10" t="s">
        <v>912</v>
      </c>
      <c r="S184" s="11" t="s">
        <v>913</v>
      </c>
      <c r="T184" s="13"/>
      <c r="U184" s="18" t="str">
        <f>HYPERLINK("https://pbs.twimg.com/profile_images/1184000691355951105/aSI0oA5Q.jpg","View")</f>
        <v>View</v>
      </c>
      <c r="V184" s="13"/>
      <c r="W184" s="13"/>
      <c r="X184" s="13"/>
      <c r="Y184" s="13"/>
      <c r="Z184" s="13"/>
    </row>
    <row r="185">
      <c r="A185" s="8">
        <v>43848.80716435185</v>
      </c>
      <c r="B185" s="9" t="str">
        <f>HYPERLINK("https://twitter.com/olgaisthebest","@olgaisthebest")</f>
        <v>@olgaisthebest</v>
      </c>
      <c r="C185" s="10" t="s">
        <v>78</v>
      </c>
      <c r="D185" s="10" t="s">
        <v>766</v>
      </c>
      <c r="E185" s="9" t="str">
        <f>HYPERLINK("https://twitter.com/olgaisthebest/status/1218690113250779139","1218690113250779139")</f>
        <v>1218690113250779139</v>
      </c>
      <c r="F185" s="11" t="s">
        <v>767</v>
      </c>
      <c r="G185" s="13"/>
      <c r="H185" s="13"/>
      <c r="I185" s="14">
        <v>0.0</v>
      </c>
      <c r="J185" s="14">
        <v>0.0</v>
      </c>
      <c r="K185" s="9" t="str">
        <f>HYPERLINK("https://plus.google.com/u/0/116747167284206603033/","ZolushkaOlga")</f>
        <v>ZolushkaOlga</v>
      </c>
      <c r="L185" s="15">
        <v>8350.0</v>
      </c>
      <c r="M185" s="15">
        <v>5668.0</v>
      </c>
      <c r="N185" s="15">
        <v>472.0</v>
      </c>
      <c r="O185" s="16"/>
      <c r="P185" s="17">
        <v>41560.766238425924</v>
      </c>
      <c r="Q185" s="10" t="s">
        <v>79</v>
      </c>
      <c r="R185" s="10" t="s">
        <v>80</v>
      </c>
      <c r="S185" s="11" t="s">
        <v>81</v>
      </c>
      <c r="T185" s="13"/>
      <c r="U185" s="18" t="str">
        <f>HYPERLINK("https://pbs.twimg.com/profile_images/756252326214631424/PkKMeNT3.jpg","View")</f>
        <v>View</v>
      </c>
      <c r="V185" s="13"/>
      <c r="W185" s="13"/>
      <c r="X185" s="13"/>
      <c r="Y185" s="13"/>
      <c r="Z185" s="13"/>
    </row>
    <row r="186">
      <c r="A186" s="8">
        <v>43848.80678240741</v>
      </c>
      <c r="B186" s="9" t="str">
        <f>HYPERLINK("https://twitter.com/v00deaux","@v00deaux")</f>
        <v>@v00deaux</v>
      </c>
      <c r="C186" s="10" t="s">
        <v>914</v>
      </c>
      <c r="D186" s="10" t="s">
        <v>915</v>
      </c>
      <c r="E186" s="9" t="str">
        <f>HYPERLINK("https://twitter.com/v00deaux/status/1218689972141731840","1218689972141731840")</f>
        <v>1218689972141731840</v>
      </c>
      <c r="F186" s="13"/>
      <c r="G186" s="13"/>
      <c r="H186" s="13"/>
      <c r="I186" s="14">
        <v>0.0</v>
      </c>
      <c r="J186" s="14">
        <v>1.0</v>
      </c>
      <c r="K186" s="9" t="str">
        <f>HYPERLINK("http://twitter.com/download/android","Twitter for Android")</f>
        <v>Twitter for Android</v>
      </c>
      <c r="L186" s="15">
        <v>334.0</v>
      </c>
      <c r="M186" s="15">
        <v>288.0</v>
      </c>
      <c r="N186" s="15">
        <v>8.0</v>
      </c>
      <c r="O186" s="16"/>
      <c r="P186" s="17">
        <v>43357.409537037034</v>
      </c>
      <c r="Q186" s="10" t="s">
        <v>916</v>
      </c>
      <c r="R186" s="10" t="s">
        <v>917</v>
      </c>
      <c r="S186" s="11" t="s">
        <v>918</v>
      </c>
      <c r="T186" s="13"/>
      <c r="U186" s="18" t="str">
        <f>HYPERLINK("https://pbs.twimg.com/profile_images/1210196200877625344/XYZLEkqS.jpg","View")</f>
        <v>View</v>
      </c>
      <c r="V186" s="13"/>
      <c r="W186" s="13"/>
      <c r="X186" s="13"/>
      <c r="Y186" s="13"/>
      <c r="Z186" s="13"/>
    </row>
    <row r="187">
      <c r="A187" s="8">
        <v>43848.805659722224</v>
      </c>
      <c r="B187" s="9" t="str">
        <f>HYPERLINK("https://twitter.com/ShawnParker2013","@ShawnParker2013")</f>
        <v>@ShawnParker2013</v>
      </c>
      <c r="C187" s="10" t="s">
        <v>472</v>
      </c>
      <c r="D187" s="10" t="s">
        <v>919</v>
      </c>
      <c r="E187" s="9" t="str">
        <f>HYPERLINK("https://twitter.com/ShawnParker2013/status/1218689568586620928","1218689568586620928")</f>
        <v>1218689568586620928</v>
      </c>
      <c r="F187" s="11" t="s">
        <v>920</v>
      </c>
      <c r="G187" s="13"/>
      <c r="H187" s="13"/>
      <c r="I187" s="14">
        <v>0.0</v>
      </c>
      <c r="J187" s="14">
        <v>0.0</v>
      </c>
      <c r="K187" s="9" t="str">
        <f>HYPERLINK("http://plus.google.com/116032873101429204265","Zolushka4Sean")</f>
        <v>Zolushka4Sean</v>
      </c>
      <c r="L187" s="15">
        <v>8583.0</v>
      </c>
      <c r="M187" s="15">
        <v>3773.0</v>
      </c>
      <c r="N187" s="15">
        <v>423.0</v>
      </c>
      <c r="O187" s="16"/>
      <c r="P187" s="17">
        <v>41334.926898148144</v>
      </c>
      <c r="Q187" s="10" t="s">
        <v>474</v>
      </c>
      <c r="R187" s="10" t="s">
        <v>475</v>
      </c>
      <c r="S187" s="11" t="s">
        <v>476</v>
      </c>
      <c r="T187" s="13"/>
      <c r="U187" s="18" t="str">
        <f>HYPERLINK("https://pbs.twimg.com/profile_images/378800000506530098/83c03de093473f92e6c4dae97abff100.jpeg","View")</f>
        <v>View</v>
      </c>
      <c r="V187" s="13"/>
      <c r="W187" s="13"/>
      <c r="X187" s="13"/>
      <c r="Y187" s="13"/>
      <c r="Z187" s="13"/>
    </row>
    <row r="188">
      <c r="A188" s="8">
        <v>43848.80559027778</v>
      </c>
      <c r="B188" s="9" t="str">
        <f>HYPERLINK("https://twitter.com/PsychedlicNews","@PsychedlicNews")</f>
        <v>@PsychedlicNews</v>
      </c>
      <c r="C188" s="10" t="s">
        <v>840</v>
      </c>
      <c r="D188" s="10" t="s">
        <v>921</v>
      </c>
      <c r="E188" s="9" t="str">
        <f>HYPERLINK("https://twitter.com/PsychedlicNews/status/1218689543462719489","1218689543462719489")</f>
        <v>1218689543462719489</v>
      </c>
      <c r="F188" s="11" t="s">
        <v>922</v>
      </c>
      <c r="G188" s="13"/>
      <c r="H188" s="13"/>
      <c r="I188" s="14">
        <v>0.0</v>
      </c>
      <c r="J188" s="14">
        <v>0.0</v>
      </c>
      <c r="K188" s="9" t="str">
        <f t="shared" ref="K188:K190" si="30">HYPERLINK("https://mobile.twitter.com","Twitter Web App")</f>
        <v>Twitter Web App</v>
      </c>
      <c r="L188" s="15">
        <v>252.0</v>
      </c>
      <c r="M188" s="15">
        <v>241.0</v>
      </c>
      <c r="N188" s="15">
        <v>6.0</v>
      </c>
      <c r="O188" s="16"/>
      <c r="P188" s="17">
        <v>43634.61561342592</v>
      </c>
      <c r="Q188" s="10" t="s">
        <v>382</v>
      </c>
      <c r="R188" s="10" t="s">
        <v>843</v>
      </c>
      <c r="S188" s="11" t="s">
        <v>844</v>
      </c>
      <c r="T188" s="13"/>
      <c r="U188" s="18" t="str">
        <f>HYPERLINK("https://pbs.twimg.com/profile_images/1141055654536179713/SKzwlqxl.png","View")</f>
        <v>View</v>
      </c>
      <c r="V188" s="13"/>
      <c r="W188" s="13"/>
      <c r="X188" s="13"/>
      <c r="Y188" s="13"/>
      <c r="Z188" s="13"/>
    </row>
    <row r="189">
      <c r="A189" s="8">
        <v>43848.80458333333</v>
      </c>
      <c r="B189" s="9" t="str">
        <f>HYPERLINK("https://twitter.com/ArunKapur47","@ArunKapur47")</f>
        <v>@ArunKapur47</v>
      </c>
      <c r="C189" s="10" t="s">
        <v>923</v>
      </c>
      <c r="D189" s="10" t="s">
        <v>924</v>
      </c>
      <c r="E189" s="9" t="str">
        <f>HYPERLINK("https://twitter.com/ArunKapur47/status/1218689178172633088","1218689178172633088")</f>
        <v>1218689178172633088</v>
      </c>
      <c r="F189" s="13"/>
      <c r="G189" s="11" t="s">
        <v>925</v>
      </c>
      <c r="H189" s="13"/>
      <c r="I189" s="14">
        <v>0.0</v>
      </c>
      <c r="J189" s="14">
        <v>1.0</v>
      </c>
      <c r="K189" s="9" t="str">
        <f t="shared" si="30"/>
        <v>Twitter Web App</v>
      </c>
      <c r="L189" s="15">
        <v>1742.0</v>
      </c>
      <c r="M189" s="15">
        <v>3292.0</v>
      </c>
      <c r="N189" s="15">
        <v>31.0</v>
      </c>
      <c r="O189" s="16"/>
      <c r="P189" s="17">
        <v>39982.63395833333</v>
      </c>
      <c r="Q189" s="10" t="s">
        <v>926</v>
      </c>
      <c r="R189" s="10" t="s">
        <v>927</v>
      </c>
      <c r="S189" s="11" t="s">
        <v>928</v>
      </c>
      <c r="T189" s="13"/>
      <c r="U189" s="18" t="str">
        <f>HYPERLINK("https://pbs.twimg.com/profile_images/1218066968747692032/sAkucfFb.jpg","View")</f>
        <v>View</v>
      </c>
      <c r="V189" s="13"/>
      <c r="W189" s="13"/>
      <c r="X189" s="13"/>
      <c r="Y189" s="13"/>
      <c r="Z189" s="13"/>
    </row>
    <row r="190">
      <c r="A190" s="8">
        <v>43848.804027777776</v>
      </c>
      <c r="B190" s="9" t="str">
        <f>HYPERLINK("https://twitter.com/ishotlikewhoa","@ishotlikewhoa")</f>
        <v>@ishotlikewhoa</v>
      </c>
      <c r="C190" s="10" t="s">
        <v>929</v>
      </c>
      <c r="D190" s="10" t="s">
        <v>930</v>
      </c>
      <c r="E190" s="9" t="str">
        <f>HYPERLINK("https://twitter.com/ishotlikewhoa/status/1218688974161686528","1218688974161686528")</f>
        <v>1218688974161686528</v>
      </c>
      <c r="F190" s="13"/>
      <c r="G190" s="11" t="s">
        <v>931</v>
      </c>
      <c r="H190" s="13"/>
      <c r="I190" s="14">
        <v>0.0</v>
      </c>
      <c r="J190" s="14">
        <v>0.0</v>
      </c>
      <c r="K190" s="9" t="str">
        <f t="shared" si="30"/>
        <v>Twitter Web App</v>
      </c>
      <c r="L190" s="15">
        <v>26.0</v>
      </c>
      <c r="M190" s="15">
        <v>68.0</v>
      </c>
      <c r="N190" s="15">
        <v>1.0</v>
      </c>
      <c r="O190" s="16"/>
      <c r="P190" s="17">
        <v>39877.99329861111</v>
      </c>
      <c r="Q190" s="13"/>
      <c r="R190" s="10" t="s">
        <v>932</v>
      </c>
      <c r="S190" s="13"/>
      <c r="T190" s="13"/>
      <c r="U190" s="18" t="str">
        <f>HYPERLINK("https://pbs.twimg.com/profile_images/1094356383863132160/wHpB0CXj.jpg","View")</f>
        <v>View</v>
      </c>
      <c r="V190" s="13"/>
      <c r="W190" s="13"/>
      <c r="X190" s="13"/>
      <c r="Y190" s="13"/>
      <c r="Z190" s="13"/>
    </row>
    <row r="191">
      <c r="A191" s="8">
        <v>43848.80341435185</v>
      </c>
      <c r="B191" s="9" t="str">
        <f>HYPERLINK("https://twitter.com/CHEOWonderlandT","@CHEOWonderlandT")</f>
        <v>@CHEOWonderlandT</v>
      </c>
      <c r="C191" s="10" t="s">
        <v>647</v>
      </c>
      <c r="D191" s="10" t="s">
        <v>933</v>
      </c>
      <c r="E191" s="9" t="str">
        <f>HYPERLINK("https://twitter.com/CHEOWonderlandT/status/1218688753348288513","1218688753348288513")</f>
        <v>1218688753348288513</v>
      </c>
      <c r="F191" s="13"/>
      <c r="G191" s="11" t="s">
        <v>934</v>
      </c>
      <c r="H191" s="13"/>
      <c r="I191" s="14">
        <v>0.0</v>
      </c>
      <c r="J191" s="14">
        <v>1.0</v>
      </c>
      <c r="K191" s="9" t="str">
        <f>HYPERLINK("http://twitter.com/download/iphone","Twitter for iPhone")</f>
        <v>Twitter for iPhone</v>
      </c>
      <c r="L191" s="15">
        <v>24.0</v>
      </c>
      <c r="M191" s="15">
        <v>11.0</v>
      </c>
      <c r="N191" s="15">
        <v>1.0</v>
      </c>
      <c r="O191" s="16"/>
      <c r="P191" s="17">
        <v>43130.445185185185</v>
      </c>
      <c r="Q191" s="10" t="s">
        <v>650</v>
      </c>
      <c r="R191" s="10" t="s">
        <v>651</v>
      </c>
      <c r="S191" s="11" t="s">
        <v>652</v>
      </c>
      <c r="T191" s="13"/>
      <c r="U191" s="18" t="str">
        <f>HYPERLINK("https://pbs.twimg.com/profile_images/965746155777863680/gGwcszsz.jpg","View")</f>
        <v>View</v>
      </c>
      <c r="V191" s="13"/>
      <c r="W191" s="13"/>
      <c r="X191" s="13"/>
      <c r="Y191" s="13"/>
      <c r="Z191" s="13"/>
    </row>
    <row r="192">
      <c r="A192" s="8">
        <v>43848.80236111111</v>
      </c>
      <c r="B192" s="9" t="str">
        <f>HYPERLINK("https://twitter.com/Ohioman2010","@Ohioman2010")</f>
        <v>@Ohioman2010</v>
      </c>
      <c r="C192" s="10" t="s">
        <v>935</v>
      </c>
      <c r="D192" s="10" t="s">
        <v>936</v>
      </c>
      <c r="E192" s="9" t="str">
        <f>HYPERLINK("https://twitter.com/Ohioman2010/status/1218688370890747905","1218688370890747905")</f>
        <v>1218688370890747905</v>
      </c>
      <c r="F192" s="11" t="s">
        <v>937</v>
      </c>
      <c r="G192" s="13"/>
      <c r="H192" s="13"/>
      <c r="I192" s="14">
        <v>0.0</v>
      </c>
      <c r="J192" s="14">
        <v>0.0</v>
      </c>
      <c r="K192" s="9" t="str">
        <f>HYPERLINK("http://twitter.com","Twitter Web Client")</f>
        <v>Twitter Web Client</v>
      </c>
      <c r="L192" s="15">
        <v>2367.0</v>
      </c>
      <c r="M192" s="15">
        <v>1481.0</v>
      </c>
      <c r="N192" s="15">
        <v>231.0</v>
      </c>
      <c r="O192" s="16"/>
      <c r="P192" s="17">
        <v>40435.43912037037</v>
      </c>
      <c r="Q192" s="10" t="s">
        <v>938</v>
      </c>
      <c r="R192" s="10" t="s">
        <v>939</v>
      </c>
      <c r="S192" s="11" t="s">
        <v>940</v>
      </c>
      <c r="T192" s="13"/>
      <c r="U192" s="18" t="str">
        <f>HYPERLINK("https://pbs.twimg.com/profile_images/1095129599170748416/GfYj0DEO.jpg","View")</f>
        <v>View</v>
      </c>
      <c r="V192" s="13"/>
      <c r="W192" s="13"/>
      <c r="X192" s="13"/>
      <c r="Y192" s="13"/>
      <c r="Z192" s="13"/>
    </row>
    <row r="193">
      <c r="A193" s="8">
        <v>43848.80209490741</v>
      </c>
      <c r="B193" s="9" t="str">
        <f>HYPERLINK("https://twitter.com/SkypeTherapist","@SkypeTherapist")</f>
        <v>@SkypeTherapist</v>
      </c>
      <c r="C193" s="10" t="s">
        <v>39</v>
      </c>
      <c r="D193" s="10" t="s">
        <v>941</v>
      </c>
      <c r="E193" s="9" t="str">
        <f>HYPERLINK("https://twitter.com/SkypeTherapist/status/1218688274492985344","1218688274492985344")</f>
        <v>1218688274492985344</v>
      </c>
      <c r="F193" s="11" t="s">
        <v>43</v>
      </c>
      <c r="G193" s="13"/>
      <c r="H193" s="13"/>
      <c r="I193" s="14">
        <v>1.0</v>
      </c>
      <c r="J193" s="14">
        <v>2.0</v>
      </c>
      <c r="K193" s="9" t="str">
        <f>HYPERLINK("https://buffer.com","Buffer")</f>
        <v>Buffer</v>
      </c>
      <c r="L193" s="15">
        <v>31074.0</v>
      </c>
      <c r="M193" s="15">
        <v>29180.0</v>
      </c>
      <c r="N193" s="15">
        <v>397.0</v>
      </c>
      <c r="O193" s="16"/>
      <c r="P193" s="17">
        <v>40131.457777777774</v>
      </c>
      <c r="Q193" s="10" t="s">
        <v>46</v>
      </c>
      <c r="R193" s="10" t="s">
        <v>47</v>
      </c>
      <c r="S193" s="11" t="s">
        <v>43</v>
      </c>
      <c r="T193" s="13"/>
      <c r="U193" s="18" t="str">
        <f>HYPERLINK("https://pbs.twimg.com/profile_images/1093911234120798208/G4lphODU.jpg","View")</f>
        <v>View</v>
      </c>
      <c r="V193" s="13"/>
      <c r="W193" s="13"/>
      <c r="X193" s="13"/>
      <c r="Y193" s="13"/>
      <c r="Z193" s="13"/>
    </row>
    <row r="194">
      <c r="A194" s="8">
        <v>43848.801516203705</v>
      </c>
      <c r="B194" s="9" t="str">
        <f>HYPERLINK("https://twitter.com/cheriewhite691","@cheriewhite691")</f>
        <v>@cheriewhite691</v>
      </c>
      <c r="C194" s="10" t="s">
        <v>942</v>
      </c>
      <c r="D194" s="10" t="s">
        <v>943</v>
      </c>
      <c r="E194" s="9" t="str">
        <f>HYPERLINK("https://twitter.com/cheriewhite691/status/1218688065822187526","1218688065822187526")</f>
        <v>1218688065822187526</v>
      </c>
      <c r="F194" s="11" t="s">
        <v>944</v>
      </c>
      <c r="G194" s="13"/>
      <c r="H194" s="13"/>
      <c r="I194" s="14">
        <v>3.0</v>
      </c>
      <c r="J194" s="14">
        <v>1.0</v>
      </c>
      <c r="K194" s="9" t="str">
        <f>HYPERLINK("http://twitter.com","Twitter Web Client")</f>
        <v>Twitter Web Client</v>
      </c>
      <c r="L194" s="15">
        <v>285.0</v>
      </c>
      <c r="M194" s="15">
        <v>284.0</v>
      </c>
      <c r="N194" s="15">
        <v>5.0</v>
      </c>
      <c r="O194" s="16"/>
      <c r="P194" s="17">
        <v>42474.71098379629</v>
      </c>
      <c r="Q194" s="10" t="s">
        <v>945</v>
      </c>
      <c r="R194" s="10" t="s">
        <v>946</v>
      </c>
      <c r="S194" s="11" t="s">
        <v>947</v>
      </c>
      <c r="T194" s="13"/>
      <c r="U194" s="18" t="str">
        <f>HYPERLINK("https://pbs.twimg.com/profile_images/991372578634821632/7UAozkpm.jpg","View")</f>
        <v>View</v>
      </c>
      <c r="V194" s="13"/>
      <c r="W194" s="13"/>
      <c r="X194" s="13"/>
      <c r="Y194" s="13"/>
      <c r="Z194" s="13"/>
    </row>
    <row r="195">
      <c r="A195" s="8">
        <v>43848.80131944444</v>
      </c>
      <c r="B195" s="9" t="str">
        <f>HYPERLINK("https://twitter.com/RecoveryCartel","@RecoveryCartel")</f>
        <v>@RecoveryCartel</v>
      </c>
      <c r="C195" s="10" t="s">
        <v>948</v>
      </c>
      <c r="D195" s="10" t="s">
        <v>949</v>
      </c>
      <c r="E195" s="9" t="str">
        <f>HYPERLINK("https://twitter.com/RecoveryCartel/status/1218687992279203841","1218687992279203841")</f>
        <v>1218687992279203841</v>
      </c>
      <c r="F195" s="11" t="s">
        <v>950</v>
      </c>
      <c r="G195" s="13"/>
      <c r="H195" s="13"/>
      <c r="I195" s="14">
        <v>1.0</v>
      </c>
      <c r="J195" s="14">
        <v>0.0</v>
      </c>
      <c r="K195" s="9" t="str">
        <f>HYPERLINK("http://twitter.com/download/iphone","Twitter for iPhone")</f>
        <v>Twitter for iPhone</v>
      </c>
      <c r="L195" s="15">
        <v>1528.0</v>
      </c>
      <c r="M195" s="15">
        <v>1520.0</v>
      </c>
      <c r="N195" s="15">
        <v>26.0</v>
      </c>
      <c r="O195" s="16"/>
      <c r="P195" s="17">
        <v>42481.65534722222</v>
      </c>
      <c r="Q195" s="10" t="s">
        <v>24</v>
      </c>
      <c r="R195" s="13"/>
      <c r="S195" s="11" t="s">
        <v>951</v>
      </c>
      <c r="T195" s="13"/>
      <c r="U195" s="18" t="str">
        <f>HYPERLINK("https://pbs.twimg.com/profile_images/934841922631368704/UNv0T__2.jpg","View")</f>
        <v>View</v>
      </c>
      <c r="V195" s="13"/>
      <c r="W195" s="13"/>
      <c r="X195" s="13"/>
      <c r="Y195" s="13"/>
      <c r="Z195" s="13"/>
    </row>
    <row r="196">
      <c r="A196" s="8">
        <v>43848.80002314815</v>
      </c>
      <c r="B196" s="9" t="str">
        <f>HYPERLINK("https://twitter.com/MentalSnapback","@MentalSnapback")</f>
        <v>@MentalSnapback</v>
      </c>
      <c r="C196" s="10" t="s">
        <v>952</v>
      </c>
      <c r="D196" s="10" t="s">
        <v>953</v>
      </c>
      <c r="E196" s="9" t="str">
        <f>HYPERLINK("https://twitter.com/MentalSnapback/status/1218687523679088640","1218687523679088640")</f>
        <v>1218687523679088640</v>
      </c>
      <c r="F196" s="13"/>
      <c r="G196" s="13"/>
      <c r="H196" s="13"/>
      <c r="I196" s="14">
        <v>1.0</v>
      </c>
      <c r="J196" s="14">
        <v>0.0</v>
      </c>
      <c r="K196" s="9" t="str">
        <f>HYPERLINK("https://mobile.twitter.com","Twitter Web App")</f>
        <v>Twitter Web App</v>
      </c>
      <c r="L196" s="15">
        <v>427.0</v>
      </c>
      <c r="M196" s="15">
        <v>881.0</v>
      </c>
      <c r="N196" s="15">
        <v>1.0</v>
      </c>
      <c r="O196" s="16"/>
      <c r="P196" s="17">
        <v>40922.921273148146</v>
      </c>
      <c r="Q196" s="10" t="s">
        <v>954</v>
      </c>
      <c r="R196" s="10" t="s">
        <v>955</v>
      </c>
      <c r="S196" s="11" t="s">
        <v>956</v>
      </c>
      <c r="T196" s="13"/>
      <c r="U196" s="18" t="str">
        <f>HYPERLINK("https://pbs.twimg.com/profile_images/1217489601448890368/w7X58piW.jpg","View")</f>
        <v>View</v>
      </c>
      <c r="V196" s="13"/>
      <c r="W196" s="13"/>
      <c r="X196" s="13"/>
      <c r="Y196" s="13"/>
      <c r="Z196" s="13"/>
    </row>
    <row r="197">
      <c r="A197" s="8">
        <v>43848.79824074074</v>
      </c>
      <c r="B197" s="9" t="str">
        <f>HYPERLINK("https://twitter.com/TrentFlott","@TrentFlott")</f>
        <v>@TrentFlott</v>
      </c>
      <c r="C197" s="10" t="s">
        <v>957</v>
      </c>
      <c r="D197" s="10" t="s">
        <v>958</v>
      </c>
      <c r="E197" s="9" t="str">
        <f>HYPERLINK("https://twitter.com/TrentFlott/status/1218686876791472129","1218686876791472129")</f>
        <v>1218686876791472129</v>
      </c>
      <c r="F197" s="13"/>
      <c r="G197" s="13"/>
      <c r="H197" s="13"/>
      <c r="I197" s="14">
        <v>1.0</v>
      </c>
      <c r="J197" s="14">
        <v>0.0</v>
      </c>
      <c r="K197" s="9" t="str">
        <f>HYPERLINK("http://twitter.com/download/android","Twitter for Android")</f>
        <v>Twitter for Android</v>
      </c>
      <c r="L197" s="15">
        <v>348.0</v>
      </c>
      <c r="M197" s="15">
        <v>694.0</v>
      </c>
      <c r="N197" s="15">
        <v>1.0</v>
      </c>
      <c r="O197" s="16"/>
      <c r="P197" s="17">
        <v>40982.8172337963</v>
      </c>
      <c r="Q197" s="10" t="s">
        <v>959</v>
      </c>
      <c r="R197" s="10" t="s">
        <v>960</v>
      </c>
      <c r="S197" s="13"/>
      <c r="T197" s="13"/>
      <c r="U197" s="18" t="str">
        <f>HYPERLINK("https://pbs.twimg.com/profile_images/1203780828481896451/diqv2jSI.jpg","View")</f>
        <v>View</v>
      </c>
      <c r="V197" s="13"/>
      <c r="W197" s="13"/>
      <c r="X197" s="13"/>
      <c r="Y197" s="13"/>
      <c r="Z197" s="13"/>
    </row>
    <row r="198">
      <c r="A198" s="8">
        <v>43848.79787037037</v>
      </c>
      <c r="B198" s="9" t="str">
        <f>HYPERLINK("https://twitter.com/bestbuddybob","@bestbuddybob")</f>
        <v>@bestbuddybob</v>
      </c>
      <c r="C198" s="10" t="s">
        <v>961</v>
      </c>
      <c r="D198" s="10" t="s">
        <v>962</v>
      </c>
      <c r="E198" s="9" t="str">
        <f>HYPERLINK("https://twitter.com/bestbuddybob/status/1218686743723020288","1218686743723020288")</f>
        <v>1218686743723020288</v>
      </c>
      <c r="F198" s="13"/>
      <c r="G198" s="11" t="s">
        <v>963</v>
      </c>
      <c r="H198" s="13"/>
      <c r="I198" s="14">
        <v>0.0</v>
      </c>
      <c r="J198" s="14">
        <v>0.0</v>
      </c>
      <c r="K198" s="9" t="str">
        <f>HYPERLINK("https://mobile.twitter.com","Twitter Web App")</f>
        <v>Twitter Web App</v>
      </c>
      <c r="L198" s="15">
        <v>100.0</v>
      </c>
      <c r="M198" s="15">
        <v>12.0</v>
      </c>
      <c r="N198" s="15">
        <v>17.0</v>
      </c>
      <c r="O198" s="16"/>
      <c r="P198" s="17">
        <v>41300.69611111111</v>
      </c>
      <c r="Q198" s="10" t="s">
        <v>964</v>
      </c>
      <c r="R198" s="10" t="s">
        <v>965</v>
      </c>
      <c r="S198" s="13"/>
      <c r="T198" s="13"/>
      <c r="U198" s="18" t="str">
        <f>HYPERLINK("https://pbs.twimg.com/profile_images/704736788359815171/dRvCFyWR.jpg","View")</f>
        <v>View</v>
      </c>
      <c r="V198" s="13"/>
      <c r="W198" s="13"/>
      <c r="X198" s="13"/>
      <c r="Y198" s="13"/>
      <c r="Z198" s="13"/>
    </row>
    <row r="199">
      <c r="A199" s="8">
        <v>43848.79748842593</v>
      </c>
      <c r="B199" s="9" t="str">
        <f>HYPERLINK("https://twitter.com/UncalibratedEng","@UncalibratedEng")</f>
        <v>@UncalibratedEng</v>
      </c>
      <c r="C199" s="10" t="s">
        <v>966</v>
      </c>
      <c r="D199" s="10" t="s">
        <v>967</v>
      </c>
      <c r="E199" s="9" t="str">
        <f>HYPERLINK("https://twitter.com/UncalibratedEng/status/1218686603876544514","1218686603876544514")</f>
        <v>1218686603876544514</v>
      </c>
      <c r="F199" s="13"/>
      <c r="G199" s="13"/>
      <c r="H199" s="13"/>
      <c r="I199" s="14">
        <v>0.0</v>
      </c>
      <c r="J199" s="14">
        <v>0.0</v>
      </c>
      <c r="K199" s="9" t="str">
        <f>HYPERLINK("http://twitter.com/download/android","Twitter for Android")</f>
        <v>Twitter for Android</v>
      </c>
      <c r="L199" s="15">
        <v>6.0</v>
      </c>
      <c r="M199" s="15">
        <v>113.0</v>
      </c>
      <c r="N199" s="15">
        <v>0.0</v>
      </c>
      <c r="O199" s="16"/>
      <c r="P199" s="17">
        <v>43030.48103009259</v>
      </c>
      <c r="Q199" s="13"/>
      <c r="R199" s="13"/>
      <c r="S199" s="13"/>
      <c r="T199" s="13"/>
      <c r="U199" s="18" t="str">
        <f>HYPERLINK("https://pbs.twimg.com/profile_images/1025724323804467201/iHsX7UJJ.jpg","View")</f>
        <v>View</v>
      </c>
      <c r="V199" s="13"/>
      <c r="W199" s="13"/>
      <c r="X199" s="13"/>
      <c r="Y199" s="13"/>
      <c r="Z199" s="13"/>
    </row>
    <row r="200">
      <c r="A200" s="8">
        <v>43848.79740740741</v>
      </c>
      <c r="B200" s="9" t="str">
        <f>HYPERLINK("https://twitter.com/AndyMargett","@AndyMargett")</f>
        <v>@AndyMargett</v>
      </c>
      <c r="C200" s="10" t="s">
        <v>968</v>
      </c>
      <c r="D200" s="10" t="s">
        <v>969</v>
      </c>
      <c r="E200" s="9" t="str">
        <f>HYPERLINK("https://twitter.com/AndyMargett/status/1218686576626024448","1218686576626024448")</f>
        <v>1218686576626024448</v>
      </c>
      <c r="F200" s="13"/>
      <c r="G200" s="11" t="s">
        <v>970</v>
      </c>
      <c r="H200" s="13"/>
      <c r="I200" s="14">
        <v>0.0</v>
      </c>
      <c r="J200" s="14">
        <v>2.0</v>
      </c>
      <c r="K200" s="9" t="str">
        <f>HYPERLINK("http://twitter.com/download/iphone","Twitter for iPhone")</f>
        <v>Twitter for iPhone</v>
      </c>
      <c r="L200" s="15">
        <v>3562.0</v>
      </c>
      <c r="M200" s="15">
        <v>3141.0</v>
      </c>
      <c r="N200" s="15">
        <v>29.0</v>
      </c>
      <c r="O200" s="16"/>
      <c r="P200" s="17">
        <v>40694.744733796295</v>
      </c>
      <c r="Q200" s="10" t="s">
        <v>971</v>
      </c>
      <c r="R200" s="10" t="s">
        <v>972</v>
      </c>
      <c r="S200" s="11" t="s">
        <v>973</v>
      </c>
      <c r="T200" s="13"/>
      <c r="U200" s="18" t="str">
        <f>HYPERLINK("https://pbs.twimg.com/profile_images/1203102081357361153/X4xxruQJ.jpg","View")</f>
        <v>View</v>
      </c>
      <c r="V200" s="13"/>
      <c r="W200" s="13"/>
      <c r="X200" s="13"/>
      <c r="Y200" s="13"/>
      <c r="Z200" s="13"/>
    </row>
    <row r="201">
      <c r="A201" s="8">
        <v>43848.79672453704</v>
      </c>
      <c r="B201" s="9" t="str">
        <f>HYPERLINK("https://twitter.com/ShakaBrownComic","@ShakaBrownComic")</f>
        <v>@ShakaBrownComic</v>
      </c>
      <c r="C201" s="10" t="s">
        <v>974</v>
      </c>
      <c r="D201" s="10" t="s">
        <v>975</v>
      </c>
      <c r="E201" s="9" t="str">
        <f>HYPERLINK("https://twitter.com/ShakaBrownComic/status/1218686330437349377","1218686330437349377")</f>
        <v>1218686330437349377</v>
      </c>
      <c r="F201" s="13"/>
      <c r="G201" s="13"/>
      <c r="H201" s="13"/>
      <c r="I201" s="14">
        <v>0.0</v>
      </c>
      <c r="J201" s="14">
        <v>0.0</v>
      </c>
      <c r="K201" s="9" t="str">
        <f>HYPERLINK("http://twitter.com/download/android","Twitter for Android")</f>
        <v>Twitter for Android</v>
      </c>
      <c r="L201" s="15">
        <v>136.0</v>
      </c>
      <c r="M201" s="15">
        <v>39.0</v>
      </c>
      <c r="N201" s="15">
        <v>4.0</v>
      </c>
      <c r="O201" s="16"/>
      <c r="P201" s="17">
        <v>41995.06672453704</v>
      </c>
      <c r="Q201" s="10" t="s">
        <v>976</v>
      </c>
      <c r="R201" s="10" t="s">
        <v>977</v>
      </c>
      <c r="S201" s="11" t="s">
        <v>978</v>
      </c>
      <c r="T201" s="13"/>
      <c r="U201" s="18" t="str">
        <f>HYPERLINK("https://pbs.twimg.com/profile_images/1195420809277427713/cLFbEoBk.jpg","View")</f>
        <v>View</v>
      </c>
      <c r="V201" s="13"/>
      <c r="W201" s="13"/>
      <c r="X201" s="13"/>
      <c r="Y201" s="13"/>
      <c r="Z201" s="13"/>
    </row>
    <row r="202">
      <c r="A202" s="8">
        <v>43848.79672453704</v>
      </c>
      <c r="B202" s="9" t="str">
        <f>HYPERLINK("https://twitter.com/allevin18","@allevin18")</f>
        <v>@allevin18</v>
      </c>
      <c r="C202" s="10" t="s">
        <v>979</v>
      </c>
      <c r="D202" s="10" t="s">
        <v>980</v>
      </c>
      <c r="E202" s="9" t="str">
        <f>HYPERLINK("https://twitter.com/allevin18/status/1218686329715855366","1218686329715855366")</f>
        <v>1218686329715855366</v>
      </c>
      <c r="F202" s="11" t="s">
        <v>981</v>
      </c>
      <c r="G202" s="11" t="s">
        <v>982</v>
      </c>
      <c r="H202" s="13"/>
      <c r="I202" s="14">
        <v>0.0</v>
      </c>
      <c r="J202" s="14">
        <v>1.0</v>
      </c>
      <c r="K202" s="9" t="str">
        <f>HYPERLINK("http://twitter.com/download/iphone","Twitter for iPhone")</f>
        <v>Twitter for iPhone</v>
      </c>
      <c r="L202" s="15">
        <v>12110.0</v>
      </c>
      <c r="M202" s="15">
        <v>11049.0</v>
      </c>
      <c r="N202" s="15">
        <v>160.0</v>
      </c>
      <c r="O202" s="16"/>
      <c r="P202" s="17">
        <v>42512.885624999995</v>
      </c>
      <c r="Q202" s="10" t="s">
        <v>983</v>
      </c>
      <c r="R202" s="10" t="s">
        <v>984</v>
      </c>
      <c r="S202" s="11" t="s">
        <v>985</v>
      </c>
      <c r="T202" s="13"/>
      <c r="U202" s="18" t="str">
        <f>HYPERLINK("https://pbs.twimg.com/profile_images/990483727879815169/khgey0kR.jpg","View")</f>
        <v>View</v>
      </c>
      <c r="V202" s="13"/>
      <c r="W202" s="13"/>
      <c r="X202" s="13"/>
      <c r="Y202" s="13"/>
      <c r="Z202" s="13"/>
    </row>
    <row r="203">
      <c r="A203" s="8">
        <v>43848.79650462963</v>
      </c>
      <c r="B203" s="9" t="str">
        <f>HYPERLINK("https://twitter.com/thebpdbabe","@thebpdbabe")</f>
        <v>@thebpdbabe</v>
      </c>
      <c r="C203" s="10" t="s">
        <v>986</v>
      </c>
      <c r="D203" s="10" t="s">
        <v>987</v>
      </c>
      <c r="E203" s="9" t="str">
        <f>HYPERLINK("https://twitter.com/thebpdbabe/status/1218686249772470277","1218686249772470277")</f>
        <v>1218686249772470277</v>
      </c>
      <c r="F203" s="13"/>
      <c r="G203" s="13"/>
      <c r="H203" s="13"/>
      <c r="I203" s="14">
        <v>0.0</v>
      </c>
      <c r="J203" s="14">
        <v>0.0</v>
      </c>
      <c r="K203" s="9" t="str">
        <f>HYPERLINK("http://twitter.com/download/android","Twitter for Android")</f>
        <v>Twitter for Android</v>
      </c>
      <c r="L203" s="15">
        <v>43.0</v>
      </c>
      <c r="M203" s="15">
        <v>84.0</v>
      </c>
      <c r="N203" s="15">
        <v>0.0</v>
      </c>
      <c r="O203" s="16"/>
      <c r="P203" s="17">
        <v>43808.85873842593</v>
      </c>
      <c r="Q203" s="13"/>
      <c r="R203" s="10" t="s">
        <v>988</v>
      </c>
      <c r="S203" s="13"/>
      <c r="T203" s="13"/>
      <c r="U203" s="18" t="str">
        <f>HYPERLINK("https://pbs.twimg.com/profile_images/1208947228380925952/Z4HyV7z2.jpg","View")</f>
        <v>View</v>
      </c>
      <c r="V203" s="13"/>
      <c r="W203" s="13"/>
      <c r="X203" s="13"/>
      <c r="Y203" s="13"/>
      <c r="Z203" s="13"/>
    </row>
    <row r="204">
      <c r="A204" s="8">
        <v>43848.79620370371</v>
      </c>
      <c r="B204" s="9" t="str">
        <f>HYPERLINK("https://twitter.com/LupusLA","@LupusLA")</f>
        <v>@LupusLA</v>
      </c>
      <c r="C204" s="10" t="s">
        <v>989</v>
      </c>
      <c r="D204" s="10" t="s">
        <v>990</v>
      </c>
      <c r="E204" s="9" t="str">
        <f>HYPERLINK("https://twitter.com/LupusLA/status/1218686140695207936","1218686140695207936")</f>
        <v>1218686140695207936</v>
      </c>
      <c r="F204" s="11" t="s">
        <v>991</v>
      </c>
      <c r="G204" s="11" t="s">
        <v>992</v>
      </c>
      <c r="H204" s="13"/>
      <c r="I204" s="14">
        <v>0.0</v>
      </c>
      <c r="J204" s="14">
        <v>1.0</v>
      </c>
      <c r="K204" s="9" t="str">
        <f t="shared" ref="K204:K205" si="31">HYPERLINK("https://mobile.twitter.com","Twitter Web App")</f>
        <v>Twitter Web App</v>
      </c>
      <c r="L204" s="15">
        <v>8520.0</v>
      </c>
      <c r="M204" s="15">
        <v>877.0</v>
      </c>
      <c r="N204" s="15">
        <v>155.0</v>
      </c>
      <c r="O204" s="16"/>
      <c r="P204" s="17">
        <v>40003.626805555556</v>
      </c>
      <c r="Q204" s="10" t="s">
        <v>382</v>
      </c>
      <c r="R204" s="10" t="s">
        <v>993</v>
      </c>
      <c r="S204" s="11" t="s">
        <v>994</v>
      </c>
      <c r="T204" s="13"/>
      <c r="U204" s="18" t="str">
        <f>HYPERLINK("https://pbs.twimg.com/profile_images/846495769234292736/sMME4lX-.jpg","View")</f>
        <v>View</v>
      </c>
      <c r="V204" s="13"/>
      <c r="W204" s="13"/>
      <c r="X204" s="13"/>
      <c r="Y204" s="13"/>
      <c r="Z204" s="13"/>
    </row>
    <row r="205">
      <c r="A205" s="8">
        <v>43848.79618055555</v>
      </c>
      <c r="B205" s="9" t="str">
        <f>HYPERLINK("https://twitter.com/namicalifornia","@namicalifornia")</f>
        <v>@namicalifornia</v>
      </c>
      <c r="C205" s="10" t="s">
        <v>124</v>
      </c>
      <c r="D205" s="10" t="s">
        <v>995</v>
      </c>
      <c r="E205" s="9" t="str">
        <f>HYPERLINK("https://twitter.com/namicalifornia/status/1218686132088520704","1218686132088520704")</f>
        <v>1218686132088520704</v>
      </c>
      <c r="F205" s="11" t="s">
        <v>996</v>
      </c>
      <c r="G205" s="11" t="s">
        <v>997</v>
      </c>
      <c r="H205" s="13"/>
      <c r="I205" s="14">
        <v>0.0</v>
      </c>
      <c r="J205" s="14">
        <v>0.0</v>
      </c>
      <c r="K205" s="9" t="str">
        <f t="shared" si="31"/>
        <v>Twitter Web App</v>
      </c>
      <c r="L205" s="15">
        <v>3975.0</v>
      </c>
      <c r="M205" s="15">
        <v>2291.0</v>
      </c>
      <c r="N205" s="15">
        <v>83.0</v>
      </c>
      <c r="O205" s="16"/>
      <c r="P205" s="17">
        <v>40717.80877314815</v>
      </c>
      <c r="Q205" s="10" t="s">
        <v>128</v>
      </c>
      <c r="R205" s="10" t="s">
        <v>129</v>
      </c>
      <c r="S205" s="11" t="s">
        <v>130</v>
      </c>
      <c r="T205" s="13"/>
      <c r="U205" s="18" t="str">
        <f>HYPERLINK("https://pbs.twimg.com/profile_images/1071169121012699136/FV5O4y-S.jpg","View")</f>
        <v>View</v>
      </c>
      <c r="V205" s="13"/>
      <c r="W205" s="13"/>
      <c r="X205" s="13"/>
      <c r="Y205" s="13"/>
      <c r="Z205" s="13"/>
    </row>
    <row r="206">
      <c r="A206" s="8">
        <v>43848.79572916667</v>
      </c>
      <c r="B206" s="9" t="str">
        <f>HYPERLINK("https://twitter.com/linton_lane","@linton_lane")</f>
        <v>@linton_lane</v>
      </c>
      <c r="C206" s="10" t="s">
        <v>998</v>
      </c>
      <c r="D206" s="10" t="s">
        <v>999</v>
      </c>
      <c r="E206" s="9" t="str">
        <f>HYPERLINK("https://twitter.com/linton_lane/status/1218685967646765056","1218685967646765056")</f>
        <v>1218685967646765056</v>
      </c>
      <c r="F206" s="11" t="s">
        <v>1000</v>
      </c>
      <c r="G206" s="11" t="s">
        <v>1001</v>
      </c>
      <c r="H206" s="13"/>
      <c r="I206" s="14">
        <v>0.0</v>
      </c>
      <c r="J206" s="14">
        <v>0.0</v>
      </c>
      <c r="K206" s="9" t="str">
        <f>HYPERLINK("http://www.oneupapp.io","OneUp App")</f>
        <v>OneUp App</v>
      </c>
      <c r="L206" s="15">
        <v>2.0</v>
      </c>
      <c r="M206" s="15">
        <v>0.0</v>
      </c>
      <c r="N206" s="15">
        <v>0.0</v>
      </c>
      <c r="O206" s="16"/>
      <c r="P206" s="17">
        <v>43770.51849537037</v>
      </c>
      <c r="Q206" s="10" t="s">
        <v>1002</v>
      </c>
      <c r="R206" s="13"/>
      <c r="S206" s="11" t="s">
        <v>1003</v>
      </c>
      <c r="T206" s="13"/>
      <c r="U206" s="18" t="str">
        <f>HYPERLINK("https://pbs.twimg.com/profile_images/1216442465735016448/p1HCKK0S.jpg","View")</f>
        <v>View</v>
      </c>
      <c r="V206" s="13"/>
      <c r="W206" s="13"/>
      <c r="X206" s="13"/>
      <c r="Y206" s="13"/>
      <c r="Z206" s="13"/>
    </row>
    <row r="207">
      <c r="A207" s="8">
        <v>43848.79546296297</v>
      </c>
      <c r="B207" s="9" t="str">
        <f>HYPERLINK("https://twitter.com/Wanida_Chua","@Wanida_Chua")</f>
        <v>@Wanida_Chua</v>
      </c>
      <c r="C207" s="10" t="s">
        <v>1004</v>
      </c>
      <c r="D207" s="10" t="s">
        <v>1005</v>
      </c>
      <c r="E207" s="9" t="str">
        <f>HYPERLINK("https://twitter.com/Wanida_Chua/status/1218685870196191233","1218685870196191233")</f>
        <v>1218685870196191233</v>
      </c>
      <c r="F207" s="10" t="s">
        <v>1006</v>
      </c>
      <c r="G207" s="11" t="s">
        <v>1007</v>
      </c>
      <c r="H207" s="13"/>
      <c r="I207" s="14">
        <v>0.0</v>
      </c>
      <c r="J207" s="14">
        <v>0.0</v>
      </c>
      <c r="K207" s="9" t="str">
        <f>HYPERLINK("https://mobile.twitter.com","Twitter Web App")</f>
        <v>Twitter Web App</v>
      </c>
      <c r="L207" s="15">
        <v>1267.0</v>
      </c>
      <c r="M207" s="15">
        <v>978.0</v>
      </c>
      <c r="N207" s="15">
        <v>426.0</v>
      </c>
      <c r="O207" s="16"/>
      <c r="P207" s="17">
        <v>40359.10605324074</v>
      </c>
      <c r="Q207" s="10" t="s">
        <v>1008</v>
      </c>
      <c r="R207" s="10" t="s">
        <v>1009</v>
      </c>
      <c r="S207" s="13"/>
      <c r="T207" s="13"/>
      <c r="U207" s="18" t="str">
        <f>HYPERLINK("https://pbs.twimg.com/profile_images/1216177830708436992/ztuv9e5o.jpg","View")</f>
        <v>View</v>
      </c>
      <c r="V207" s="13"/>
      <c r="W207" s="13"/>
      <c r="X207" s="13"/>
      <c r="Y207" s="13"/>
      <c r="Z207" s="13"/>
    </row>
    <row r="208">
      <c r="A208" s="8">
        <v>43848.7952662037</v>
      </c>
      <c r="B208" s="9" t="str">
        <f>HYPERLINK("https://twitter.com/melanie_1973","@melanie_1973")</f>
        <v>@melanie_1973</v>
      </c>
      <c r="C208" s="10" t="s">
        <v>1010</v>
      </c>
      <c r="D208" s="10" t="s">
        <v>1011</v>
      </c>
      <c r="E208" s="9" t="str">
        <f>HYPERLINK("https://twitter.com/melanie_1973/status/1218685801854312454","1218685801854312454")</f>
        <v>1218685801854312454</v>
      </c>
      <c r="F208" s="13"/>
      <c r="G208" s="11" t="s">
        <v>1012</v>
      </c>
      <c r="H208" s="13"/>
      <c r="I208" s="14">
        <v>0.0</v>
      </c>
      <c r="J208" s="14">
        <v>0.0</v>
      </c>
      <c r="K208" s="9" t="str">
        <f>HYPERLINK("http://twitter.com/download/iphone","Twitter for iPhone")</f>
        <v>Twitter for iPhone</v>
      </c>
      <c r="L208" s="15">
        <v>103.0</v>
      </c>
      <c r="M208" s="15">
        <v>480.0</v>
      </c>
      <c r="N208" s="15">
        <v>2.0</v>
      </c>
      <c r="O208" s="16"/>
      <c r="P208" s="17">
        <v>39819.67454861111</v>
      </c>
      <c r="Q208" s="10" t="s">
        <v>1013</v>
      </c>
      <c r="R208" s="10" t="s">
        <v>1014</v>
      </c>
      <c r="S208" s="13"/>
      <c r="T208" s="13"/>
      <c r="U208" s="18" t="str">
        <f>HYPERLINK("https://pbs.twimg.com/profile_images/188488992/DSC00169.JPG","View")</f>
        <v>View</v>
      </c>
      <c r="V208" s="13"/>
      <c r="W208" s="13"/>
      <c r="X208" s="13"/>
      <c r="Y208" s="13"/>
      <c r="Z208" s="13"/>
    </row>
    <row r="209">
      <c r="A209" s="8">
        <v>43848.794803240744</v>
      </c>
      <c r="B209" s="9" t="str">
        <f>HYPERLINK("https://twitter.com/IzzyCedano","@IzzyCedano")</f>
        <v>@IzzyCedano</v>
      </c>
      <c r="C209" s="10" t="s">
        <v>1015</v>
      </c>
      <c r="D209" s="10" t="s">
        <v>1016</v>
      </c>
      <c r="E209" s="9" t="str">
        <f>HYPERLINK("https://twitter.com/IzzyCedano/status/1218685633834704896","1218685633834704896")</f>
        <v>1218685633834704896</v>
      </c>
      <c r="F209" s="11" t="s">
        <v>1017</v>
      </c>
      <c r="G209" s="13"/>
      <c r="H209" s="13"/>
      <c r="I209" s="14">
        <v>0.0</v>
      </c>
      <c r="J209" s="14">
        <v>1.0</v>
      </c>
      <c r="K209" s="9" t="str">
        <f>HYPERLINK("http://instagram.com","Instagram")</f>
        <v>Instagram</v>
      </c>
      <c r="L209" s="15">
        <v>186.0</v>
      </c>
      <c r="M209" s="15">
        <v>208.0</v>
      </c>
      <c r="N209" s="15">
        <v>2.0</v>
      </c>
      <c r="O209" s="16"/>
      <c r="P209" s="17">
        <v>42571.645902777775</v>
      </c>
      <c r="Q209" s="13"/>
      <c r="R209" s="10" t="s">
        <v>1018</v>
      </c>
      <c r="S209" s="13"/>
      <c r="T209" s="13"/>
      <c r="U209" s="18" t="str">
        <f>HYPERLINK("https://pbs.twimg.com/profile_images/980595407007965191/Vn7KIwih.jpg","View")</f>
        <v>View</v>
      </c>
      <c r="V209" s="13"/>
      <c r="W209" s="13"/>
      <c r="X209" s="13"/>
      <c r="Y209" s="13"/>
      <c r="Z209" s="13"/>
    </row>
    <row r="210">
      <c r="A210" s="8">
        <v>43848.7947337963</v>
      </c>
      <c r="B210" s="9" t="str">
        <f>HYPERLINK("https://twitter.com/ShakaBrownComic","@ShakaBrownComic")</f>
        <v>@ShakaBrownComic</v>
      </c>
      <c r="C210" s="10" t="s">
        <v>974</v>
      </c>
      <c r="D210" s="10" t="s">
        <v>1019</v>
      </c>
      <c r="E210" s="9" t="str">
        <f>HYPERLINK("https://twitter.com/ShakaBrownComic/status/1218685606164934656","1218685606164934656")</f>
        <v>1218685606164934656</v>
      </c>
      <c r="F210" s="13"/>
      <c r="G210" s="13"/>
      <c r="H210" s="13"/>
      <c r="I210" s="14">
        <v>0.0</v>
      </c>
      <c r="J210" s="14">
        <v>0.0</v>
      </c>
      <c r="K210" s="9" t="str">
        <f>HYPERLINK("http://twitter.com/download/android","Twitter for Android")</f>
        <v>Twitter for Android</v>
      </c>
      <c r="L210" s="15">
        <v>136.0</v>
      </c>
      <c r="M210" s="15">
        <v>39.0</v>
      </c>
      <c r="N210" s="15">
        <v>4.0</v>
      </c>
      <c r="O210" s="16"/>
      <c r="P210" s="17">
        <v>41995.06672453704</v>
      </c>
      <c r="Q210" s="10" t="s">
        <v>976</v>
      </c>
      <c r="R210" s="10" t="s">
        <v>977</v>
      </c>
      <c r="S210" s="11" t="s">
        <v>978</v>
      </c>
      <c r="T210" s="13"/>
      <c r="U210" s="18" t="str">
        <f>HYPERLINK("https://pbs.twimg.com/profile_images/1195420809277427713/cLFbEoBk.jpg","View")</f>
        <v>View</v>
      </c>
      <c r="V210" s="13"/>
      <c r="W210" s="13"/>
      <c r="X210" s="13"/>
      <c r="Y210" s="13"/>
      <c r="Z210" s="13"/>
    </row>
    <row r="211">
      <c r="A211" s="8">
        <v>43848.79325231482</v>
      </c>
      <c r="B211" s="9" t="str">
        <f>HYPERLINK("https://twitter.com/jennyflorence1","@jennyflorence1")</f>
        <v>@jennyflorence1</v>
      </c>
      <c r="C211" s="10" t="s">
        <v>1020</v>
      </c>
      <c r="D211" s="10" t="s">
        <v>1021</v>
      </c>
      <c r="E211" s="9" t="str">
        <f>HYPERLINK("https://twitter.com/jennyflorence1/status/1218685070585815046","1218685070585815046")</f>
        <v>1218685070585815046</v>
      </c>
      <c r="F211" s="10" t="s">
        <v>1022</v>
      </c>
      <c r="G211" s="11" t="s">
        <v>1023</v>
      </c>
      <c r="H211" s="13"/>
      <c r="I211" s="14">
        <v>0.0</v>
      </c>
      <c r="J211" s="14">
        <v>0.0</v>
      </c>
      <c r="K211" s="9" t="str">
        <f>HYPERLINK("https://www.socialjukebox.com","The Social Jukebox")</f>
        <v>The Social Jukebox</v>
      </c>
      <c r="L211" s="15">
        <v>1564.0</v>
      </c>
      <c r="M211" s="15">
        <v>920.0</v>
      </c>
      <c r="N211" s="15">
        <v>119.0</v>
      </c>
      <c r="O211" s="16"/>
      <c r="P211" s="17">
        <v>41852.31606481482</v>
      </c>
      <c r="Q211" s="10" t="s">
        <v>1024</v>
      </c>
      <c r="R211" s="10" t="s">
        <v>1025</v>
      </c>
      <c r="S211" s="11" t="s">
        <v>1026</v>
      </c>
      <c r="T211" s="13"/>
      <c r="U211" s="18" t="str">
        <f>HYPERLINK("https://pbs.twimg.com/profile_images/997424009309405184/EJZO7eXe.jpg","View")</f>
        <v>View</v>
      </c>
      <c r="V211" s="13"/>
      <c r="W211" s="13"/>
      <c r="X211" s="13"/>
      <c r="Y211" s="13"/>
      <c r="Z211" s="13"/>
    </row>
    <row r="212">
      <c r="A212" s="8">
        <v>43848.793171296296</v>
      </c>
      <c r="B212" s="9" t="str">
        <f>HYPERLINK("https://twitter.com/blogmhad","@blogmhad")</f>
        <v>@blogmhad</v>
      </c>
      <c r="C212" s="10" t="s">
        <v>1027</v>
      </c>
      <c r="D212" s="10" t="s">
        <v>1028</v>
      </c>
      <c r="E212" s="9" t="str">
        <f>HYPERLINK("https://twitter.com/blogmhad/status/1218685042769219585","1218685042769219585")</f>
        <v>1218685042769219585</v>
      </c>
      <c r="F212" s="11" t="s">
        <v>1029</v>
      </c>
      <c r="G212" s="11" t="s">
        <v>1030</v>
      </c>
      <c r="H212" s="13"/>
      <c r="I212" s="14">
        <v>0.0</v>
      </c>
      <c r="J212" s="14">
        <v>0.0</v>
      </c>
      <c r="K212" s="9" t="str">
        <f>HYPERLINK("http://publicize.wp.com/","WordPress.com")</f>
        <v>WordPress.com</v>
      </c>
      <c r="L212" s="15">
        <v>216.0</v>
      </c>
      <c r="M212" s="15">
        <v>115.0</v>
      </c>
      <c r="N212" s="15">
        <v>5.0</v>
      </c>
      <c r="O212" s="16"/>
      <c r="P212" s="17">
        <v>43087.482627314814</v>
      </c>
      <c r="Q212" s="10" t="s">
        <v>1031</v>
      </c>
      <c r="R212" s="10" t="s">
        <v>1032</v>
      </c>
      <c r="S212" s="11" t="s">
        <v>1033</v>
      </c>
      <c r="T212" s="13"/>
      <c r="U212" s="18" t="str">
        <f>HYPERLINK("https://pbs.twimg.com/profile_images/1049584730591715328/K67A9zC5.jpg","View")</f>
        <v>View</v>
      </c>
      <c r="V212" s="13"/>
      <c r="W212" s="13"/>
      <c r="X212" s="13"/>
      <c r="Y212" s="13"/>
      <c r="Z212" s="13"/>
    </row>
    <row r="213">
      <c r="A213" s="8">
        <v>43848.79265046296</v>
      </c>
      <c r="B213" s="9" t="str">
        <f>HYPERLINK("https://twitter.com/eastvantherapy","@eastvantherapy")</f>
        <v>@eastvantherapy</v>
      </c>
      <c r="C213" s="10" t="s">
        <v>1034</v>
      </c>
      <c r="D213" s="10" t="s">
        <v>1035</v>
      </c>
      <c r="E213" s="9" t="str">
        <f>HYPERLINK("https://twitter.com/eastvantherapy/status/1218684850326163457","1218684850326163457")</f>
        <v>1218684850326163457</v>
      </c>
      <c r="F213" s="11" t="s">
        <v>1036</v>
      </c>
      <c r="G213" s="13"/>
      <c r="H213" s="13"/>
      <c r="I213" s="14">
        <v>0.0</v>
      </c>
      <c r="J213" s="14">
        <v>1.0</v>
      </c>
      <c r="K213" s="9" t="str">
        <f>HYPERLINK("http://instagram.com","Instagram")</f>
        <v>Instagram</v>
      </c>
      <c r="L213" s="15">
        <v>9.0</v>
      </c>
      <c r="M213" s="15">
        <v>61.0</v>
      </c>
      <c r="N213" s="15">
        <v>1.0</v>
      </c>
      <c r="O213" s="16"/>
      <c r="P213" s="17">
        <v>42692.62966435185</v>
      </c>
      <c r="Q213" s="10" t="s">
        <v>1037</v>
      </c>
      <c r="R213" s="10" t="s">
        <v>1038</v>
      </c>
      <c r="S213" s="11" t="s">
        <v>1039</v>
      </c>
      <c r="T213" s="13"/>
      <c r="U213" s="18" t="str">
        <f>HYPERLINK("https://pbs.twimg.com/profile_images/1206458597128851456/_DpIJUY0.jpg","View")</f>
        <v>View</v>
      </c>
      <c r="V213" s="13"/>
      <c r="W213" s="13"/>
      <c r="X213" s="13"/>
      <c r="Y213" s="13"/>
      <c r="Z213" s="13"/>
    </row>
    <row r="214">
      <c r="A214" s="8">
        <v>43848.79229166667</v>
      </c>
      <c r="B214" s="9" t="str">
        <f>HYPERLINK("https://twitter.com/fernh_f","@fernh_f")</f>
        <v>@fernh_f</v>
      </c>
      <c r="C214" s="10" t="s">
        <v>1040</v>
      </c>
      <c r="D214" s="10" t="s">
        <v>1041</v>
      </c>
      <c r="E214" s="9" t="str">
        <f>HYPERLINK("https://twitter.com/fernh_f/status/1218684722446061568","1218684722446061568")</f>
        <v>1218684722446061568</v>
      </c>
      <c r="F214" s="13"/>
      <c r="G214" s="11" t="s">
        <v>1042</v>
      </c>
      <c r="H214" s="13"/>
      <c r="I214" s="14">
        <v>0.0</v>
      </c>
      <c r="J214" s="14">
        <v>0.0</v>
      </c>
      <c r="K214" s="9" t="str">
        <f>HYPERLINK("http://twitter.com/download/iphone","Twitter for iPhone")</f>
        <v>Twitter for iPhone</v>
      </c>
      <c r="L214" s="15">
        <v>19.0</v>
      </c>
      <c r="M214" s="15">
        <v>109.0</v>
      </c>
      <c r="N214" s="15">
        <v>0.0</v>
      </c>
      <c r="O214" s="16"/>
      <c r="P214" s="17">
        <v>43487.528912037036</v>
      </c>
      <c r="Q214" s="10" t="s">
        <v>1043</v>
      </c>
      <c r="R214" s="10" t="s">
        <v>1044</v>
      </c>
      <c r="S214" s="11" t="s">
        <v>1045</v>
      </c>
      <c r="T214" s="13"/>
      <c r="U214" s="18" t="str">
        <f>HYPERLINK("https://pbs.twimg.com/profile_images/1102443561486823424/iWyxe-pt.jpg","View")</f>
        <v>View</v>
      </c>
      <c r="V214" s="13"/>
      <c r="W214" s="13"/>
      <c r="X214" s="13"/>
      <c r="Y214" s="13"/>
      <c r="Z214" s="13"/>
    </row>
    <row r="215">
      <c r="A215" s="8">
        <v>43848.792175925926</v>
      </c>
      <c r="B215" s="9" t="str">
        <f>HYPERLINK("https://twitter.com/docweighsin","@docweighsin")</f>
        <v>@docweighsin</v>
      </c>
      <c r="C215" s="10" t="s">
        <v>701</v>
      </c>
      <c r="D215" s="10" t="s">
        <v>1046</v>
      </c>
      <c r="E215" s="9" t="str">
        <f>HYPERLINK("https://twitter.com/docweighsin/status/1218684679076958208","1218684679076958208")</f>
        <v>1218684679076958208</v>
      </c>
      <c r="F215" s="11" t="s">
        <v>1047</v>
      </c>
      <c r="G215" s="11" t="s">
        <v>1007</v>
      </c>
      <c r="H215" s="13"/>
      <c r="I215" s="14">
        <v>0.0</v>
      </c>
      <c r="J215" s="14">
        <v>1.0</v>
      </c>
      <c r="K215" s="9" t="str">
        <f>HYPERLINK("https://www.hootsuite.com","Hootsuite Inc.")</f>
        <v>Hootsuite Inc.</v>
      </c>
      <c r="L215" s="15">
        <v>29338.0</v>
      </c>
      <c r="M215" s="15">
        <v>12043.0</v>
      </c>
      <c r="N215" s="15">
        <v>1154.0</v>
      </c>
      <c r="O215" s="16"/>
      <c r="P215" s="17">
        <v>40370.9605787037</v>
      </c>
      <c r="Q215" s="10" t="s">
        <v>228</v>
      </c>
      <c r="R215" s="10" t="s">
        <v>705</v>
      </c>
      <c r="S215" s="11" t="s">
        <v>706</v>
      </c>
      <c r="T215" s="13"/>
      <c r="U215" s="18" t="str">
        <f>HYPERLINK("https://pbs.twimg.com/profile_images/738469375083053056/OpR72fYy.jpg","View")</f>
        <v>View</v>
      </c>
      <c r="V215" s="13"/>
      <c r="W215" s="13"/>
      <c r="X215" s="13"/>
      <c r="Y215" s="13"/>
      <c r="Z215" s="13"/>
    </row>
    <row r="216">
      <c r="A216" s="8">
        <v>43848.79215277778</v>
      </c>
      <c r="B216" s="9" t="str">
        <f>HYPERLINK("https://twitter.com/EggInkPDX","@EggInkPDX")</f>
        <v>@EggInkPDX</v>
      </c>
      <c r="C216" s="10" t="s">
        <v>1048</v>
      </c>
      <c r="D216" s="10" t="s">
        <v>1049</v>
      </c>
      <c r="E216" s="9" t="str">
        <f>HYPERLINK("https://twitter.com/EggInkPDX/status/1218684672785305600","1218684672785305600")</f>
        <v>1218684672785305600</v>
      </c>
      <c r="F216" s="13"/>
      <c r="G216" s="13"/>
      <c r="H216" s="13"/>
      <c r="I216" s="14">
        <v>0.0</v>
      </c>
      <c r="J216" s="14">
        <v>1.0</v>
      </c>
      <c r="K216" s="9" t="str">
        <f>HYPERLINK("http://twitter.com/download/iphone","Twitter for iPhone")</f>
        <v>Twitter for iPhone</v>
      </c>
      <c r="L216" s="15">
        <v>1670.0</v>
      </c>
      <c r="M216" s="15">
        <v>2856.0</v>
      </c>
      <c r="N216" s="15">
        <v>3.0</v>
      </c>
      <c r="O216" s="16"/>
      <c r="P216" s="17">
        <v>43257.94060185185</v>
      </c>
      <c r="Q216" s="10" t="s">
        <v>1050</v>
      </c>
      <c r="R216" s="10" t="s">
        <v>1051</v>
      </c>
      <c r="S216" s="13"/>
      <c r="T216" s="13"/>
      <c r="U216" s="18" t="str">
        <f>HYPERLINK("https://pbs.twimg.com/profile_images/1203211402367791104/GEAkyQms.jpg","View")</f>
        <v>View</v>
      </c>
      <c r="V216" s="13"/>
      <c r="W216" s="13"/>
      <c r="X216" s="13"/>
      <c r="Y216" s="13"/>
      <c r="Z216" s="13"/>
    </row>
    <row r="217">
      <c r="A217" s="8">
        <v>43848.79199074074</v>
      </c>
      <c r="B217" s="9" t="str">
        <f>HYPERLINK("https://twitter.com/essexcounsellor","@essexcounsellor")</f>
        <v>@essexcounsellor</v>
      </c>
      <c r="C217" s="10" t="s">
        <v>1052</v>
      </c>
      <c r="D217" s="10" t="s">
        <v>1053</v>
      </c>
      <c r="E217" s="9" t="str">
        <f>HYPERLINK("https://twitter.com/essexcounsellor/status/1218684611137613825","1218684611137613825")</f>
        <v>1218684611137613825</v>
      </c>
      <c r="F217" s="11" t="s">
        <v>1054</v>
      </c>
      <c r="G217" s="11" t="s">
        <v>1055</v>
      </c>
      <c r="H217" s="13"/>
      <c r="I217" s="14">
        <v>0.0</v>
      </c>
      <c r="J217" s="14">
        <v>2.0</v>
      </c>
      <c r="K217" s="9" t="str">
        <f t="shared" ref="K217:K218" si="32">HYPERLINK("https://buffer.com","Buffer")</f>
        <v>Buffer</v>
      </c>
      <c r="L217" s="15">
        <v>101.0</v>
      </c>
      <c r="M217" s="15">
        <v>156.0</v>
      </c>
      <c r="N217" s="15">
        <v>2.0</v>
      </c>
      <c r="O217" s="16"/>
      <c r="P217" s="17">
        <v>39990.19388888889</v>
      </c>
      <c r="Q217" s="10" t="s">
        <v>1056</v>
      </c>
      <c r="R217" s="10" t="s">
        <v>1057</v>
      </c>
      <c r="S217" s="11" t="s">
        <v>1058</v>
      </c>
      <c r="T217" s="13"/>
      <c r="U217" s="18" t="str">
        <f>HYPERLINK("https://pbs.twimg.com/profile_images/887644903873884160/K1cTH8K6.jpg","View")</f>
        <v>View</v>
      </c>
      <c r="V217" s="13"/>
      <c r="W217" s="13"/>
      <c r="X217" s="13"/>
      <c r="Y217" s="13"/>
      <c r="Z217" s="13"/>
    </row>
    <row r="218">
      <c r="A218" s="8">
        <v>43848.79168981481</v>
      </c>
      <c r="B218" s="9" t="str">
        <f>HYPERLINK("https://twitter.com/actofliving","@actofliving")</f>
        <v>@actofliving</v>
      </c>
      <c r="C218" s="10" t="s">
        <v>1059</v>
      </c>
      <c r="D218" s="10" t="s">
        <v>1060</v>
      </c>
      <c r="E218" s="9" t="str">
        <f>HYPERLINK("https://twitter.com/actofliving/status/1218684502031196161","1218684502031196161")</f>
        <v>1218684502031196161</v>
      </c>
      <c r="F218" s="11" t="s">
        <v>1061</v>
      </c>
      <c r="G218" s="11" t="s">
        <v>1062</v>
      </c>
      <c r="H218" s="13"/>
      <c r="I218" s="14">
        <v>0.0</v>
      </c>
      <c r="J218" s="14">
        <v>0.0</v>
      </c>
      <c r="K218" s="9" t="str">
        <f t="shared" si="32"/>
        <v>Buffer</v>
      </c>
      <c r="L218" s="15">
        <v>1561.0</v>
      </c>
      <c r="M218" s="15">
        <v>533.0</v>
      </c>
      <c r="N218" s="15">
        <v>26.0</v>
      </c>
      <c r="O218" s="16"/>
      <c r="P218" s="17">
        <v>39959.87966435185</v>
      </c>
      <c r="Q218" s="10" t="s">
        <v>1063</v>
      </c>
      <c r="R218" s="10" t="s">
        <v>1064</v>
      </c>
      <c r="S218" s="11" t="s">
        <v>1065</v>
      </c>
      <c r="T218" s="13"/>
      <c r="U218" s="18" t="str">
        <f>HYPERLINK("https://pbs.twimg.com/profile_images/657782532813918208/eX5s7rff.jpg","View")</f>
        <v>View</v>
      </c>
      <c r="V218" s="13"/>
      <c r="W218" s="13"/>
      <c r="X218" s="13"/>
      <c r="Y218" s="13"/>
      <c r="Z218" s="13"/>
    </row>
    <row r="219">
      <c r="A219" s="8">
        <v>43848.79167824074</v>
      </c>
      <c r="B219" s="9" t="str">
        <f>HYPERLINK("https://twitter.com/afpafitness","@afpafitness")</f>
        <v>@afpafitness</v>
      </c>
      <c r="C219" s="10" t="s">
        <v>1066</v>
      </c>
      <c r="D219" s="10" t="s">
        <v>1067</v>
      </c>
      <c r="E219" s="9" t="str">
        <f>HYPERLINK("https://twitter.com/afpafitness/status/1218684498134667266","1218684498134667266")</f>
        <v>1218684498134667266</v>
      </c>
      <c r="F219" s="11" t="s">
        <v>1068</v>
      </c>
      <c r="G219" s="13"/>
      <c r="H219" s="13"/>
      <c r="I219" s="14">
        <v>0.0</v>
      </c>
      <c r="J219" s="14">
        <v>0.0</v>
      </c>
      <c r="K219" s="9" t="str">
        <f>HYPERLINK("https://www.contentcal.io","ContentCal Studio")</f>
        <v>ContentCal Studio</v>
      </c>
      <c r="L219" s="15">
        <v>2849.0</v>
      </c>
      <c r="M219" s="15">
        <v>2392.0</v>
      </c>
      <c r="N219" s="15">
        <v>86.0</v>
      </c>
      <c r="O219" s="16"/>
      <c r="P219" s="17">
        <v>41298.720243055555</v>
      </c>
      <c r="Q219" s="10" t="s">
        <v>411</v>
      </c>
      <c r="R219" s="10" t="s">
        <v>1069</v>
      </c>
      <c r="S219" s="11" t="s">
        <v>1070</v>
      </c>
      <c r="T219" s="13"/>
      <c r="U219" s="18" t="str">
        <f>HYPERLINK("https://pbs.twimg.com/profile_images/1108034426800234496/o7N4u-zp.png","View")</f>
        <v>View</v>
      </c>
      <c r="V219" s="13"/>
      <c r="W219" s="13"/>
      <c r="X219" s="13"/>
      <c r="Y219" s="13"/>
      <c r="Z219" s="13"/>
    </row>
    <row r="220">
      <c r="A220" s="8">
        <v>43848.79166666667</v>
      </c>
      <c r="B220" s="9" t="str">
        <f>HYPERLINK("https://twitter.com/SimplyAlvin64","@SimplyAlvin64")</f>
        <v>@SimplyAlvin64</v>
      </c>
      <c r="C220" s="10" t="s">
        <v>1071</v>
      </c>
      <c r="D220" s="10" t="s">
        <v>1072</v>
      </c>
      <c r="E220" s="9" t="str">
        <f>HYPERLINK("https://twitter.com/SimplyAlvin64/status/1218684494695165952","1218684494695165952")</f>
        <v>1218684494695165952</v>
      </c>
      <c r="F220" s="13"/>
      <c r="G220" s="11" t="s">
        <v>1073</v>
      </c>
      <c r="H220" s="13"/>
      <c r="I220" s="14">
        <v>0.0</v>
      </c>
      <c r="J220" s="14">
        <v>2.0</v>
      </c>
      <c r="K220" s="9" t="str">
        <f>HYPERLINK("https://mobile.twitter.com","Twitter Web App")</f>
        <v>Twitter Web App</v>
      </c>
      <c r="L220" s="15">
        <v>978.0</v>
      </c>
      <c r="M220" s="15">
        <v>699.0</v>
      </c>
      <c r="N220" s="15">
        <v>24.0</v>
      </c>
      <c r="O220" s="16"/>
      <c r="P220" s="17">
        <v>42047.799212962964</v>
      </c>
      <c r="Q220" s="10" t="s">
        <v>1074</v>
      </c>
      <c r="R220" s="10" t="s">
        <v>1075</v>
      </c>
      <c r="S220" s="11" t="s">
        <v>1076</v>
      </c>
      <c r="T220" s="13"/>
      <c r="U220" s="18" t="str">
        <f>HYPERLINK("https://pbs.twimg.com/profile_images/1191165577848483840/ulsqd5YY.png","View")</f>
        <v>View</v>
      </c>
      <c r="V220" s="13"/>
      <c r="W220" s="13"/>
      <c r="X220" s="13"/>
      <c r="Y220" s="13"/>
      <c r="Z220" s="13"/>
    </row>
    <row r="221">
      <c r="A221" s="8">
        <v>43848.79111111111</v>
      </c>
      <c r="B221" s="9" t="str">
        <f>HYPERLINK("https://twitter.com/ShakaBrownComic","@ShakaBrownComic")</f>
        <v>@ShakaBrownComic</v>
      </c>
      <c r="C221" s="10" t="s">
        <v>974</v>
      </c>
      <c r="D221" s="10" t="s">
        <v>1077</v>
      </c>
      <c r="E221" s="9" t="str">
        <f>HYPERLINK("https://twitter.com/ShakaBrownComic/status/1218684294350147584","1218684294350147584")</f>
        <v>1218684294350147584</v>
      </c>
      <c r="F221" s="13"/>
      <c r="G221" s="13"/>
      <c r="H221" s="13"/>
      <c r="I221" s="14">
        <v>0.0</v>
      </c>
      <c r="J221" s="14">
        <v>0.0</v>
      </c>
      <c r="K221" s="9" t="str">
        <f>HYPERLINK("http://twitter.com/download/android","Twitter for Android")</f>
        <v>Twitter for Android</v>
      </c>
      <c r="L221" s="15">
        <v>136.0</v>
      </c>
      <c r="M221" s="15">
        <v>39.0</v>
      </c>
      <c r="N221" s="15">
        <v>4.0</v>
      </c>
      <c r="O221" s="16"/>
      <c r="P221" s="17">
        <v>41995.06672453704</v>
      </c>
      <c r="Q221" s="10" t="s">
        <v>976</v>
      </c>
      <c r="R221" s="10" t="s">
        <v>977</v>
      </c>
      <c r="S221" s="11" t="s">
        <v>978</v>
      </c>
      <c r="T221" s="13"/>
      <c r="U221" s="18" t="str">
        <f>HYPERLINK("https://pbs.twimg.com/profile_images/1195420809277427713/cLFbEoBk.jpg","View")</f>
        <v>View</v>
      </c>
      <c r="V221" s="13"/>
      <c r="W221" s="13"/>
      <c r="X221" s="13"/>
      <c r="Y221" s="13"/>
      <c r="Z221" s="13"/>
    </row>
    <row r="222">
      <c r="A222" s="8">
        <v>43848.79100694445</v>
      </c>
      <c r="B222" s="9" t="str">
        <f>HYPERLINK("https://twitter.com/MenesesAnalya","@MenesesAnalya")</f>
        <v>@MenesesAnalya</v>
      </c>
      <c r="C222" s="10" t="s">
        <v>1078</v>
      </c>
      <c r="D222" s="10" t="s">
        <v>1079</v>
      </c>
      <c r="E222" s="9" t="str">
        <f>HYPERLINK("https://twitter.com/MenesesAnalya/status/1218684256421056512","1218684256421056512")</f>
        <v>1218684256421056512</v>
      </c>
      <c r="F222" s="13"/>
      <c r="G222" s="13"/>
      <c r="H222" s="13"/>
      <c r="I222" s="14">
        <v>0.0</v>
      </c>
      <c r="J222" s="14">
        <v>0.0</v>
      </c>
      <c r="K222" s="9" t="str">
        <f>HYPERLINK("https://mobile.twitter.com","Twitter Web App")</f>
        <v>Twitter Web App</v>
      </c>
      <c r="L222" s="15">
        <v>3.0</v>
      </c>
      <c r="M222" s="15">
        <v>38.0</v>
      </c>
      <c r="N222" s="15">
        <v>0.0</v>
      </c>
      <c r="O222" s="16"/>
      <c r="P222" s="17">
        <v>42983.48166666667</v>
      </c>
      <c r="Q222" s="10" t="s">
        <v>1080</v>
      </c>
      <c r="R222" s="13"/>
      <c r="S222" s="13"/>
      <c r="T222" s="13"/>
      <c r="U222" s="18" t="str">
        <f>HYPERLINK("https://pbs.twimg.com/profile_images/1015754541122375680/uhkUk8NI.jpg","View")</f>
        <v>View</v>
      </c>
      <c r="V222" s="13"/>
      <c r="W222" s="13"/>
      <c r="X222" s="13"/>
      <c r="Y222" s="13"/>
      <c r="Z222" s="13"/>
    </row>
    <row r="223">
      <c r="A223" s="8">
        <v>43848.79037037037</v>
      </c>
      <c r="B223" s="9" t="str">
        <f>HYPERLINK("https://twitter.com/ShakaBrownComic","@ShakaBrownComic")</f>
        <v>@ShakaBrownComic</v>
      </c>
      <c r="C223" s="10" t="s">
        <v>974</v>
      </c>
      <c r="D223" s="10" t="s">
        <v>1081</v>
      </c>
      <c r="E223" s="9" t="str">
        <f>HYPERLINK("https://twitter.com/ShakaBrownComic/status/1218684025621098496","1218684025621098496")</f>
        <v>1218684025621098496</v>
      </c>
      <c r="F223" s="13"/>
      <c r="G223" s="13"/>
      <c r="H223" s="13"/>
      <c r="I223" s="14">
        <v>0.0</v>
      </c>
      <c r="J223" s="14">
        <v>0.0</v>
      </c>
      <c r="K223" s="9" t="str">
        <f t="shared" ref="K223:K224" si="33">HYPERLINK("http://twitter.com/download/android","Twitter for Android")</f>
        <v>Twitter for Android</v>
      </c>
      <c r="L223" s="15">
        <v>136.0</v>
      </c>
      <c r="M223" s="15">
        <v>39.0</v>
      </c>
      <c r="N223" s="15">
        <v>4.0</v>
      </c>
      <c r="O223" s="16"/>
      <c r="P223" s="17">
        <v>41995.06672453704</v>
      </c>
      <c r="Q223" s="10" t="s">
        <v>976</v>
      </c>
      <c r="R223" s="10" t="s">
        <v>977</v>
      </c>
      <c r="S223" s="11" t="s">
        <v>978</v>
      </c>
      <c r="T223" s="13"/>
      <c r="U223" s="18" t="str">
        <f>HYPERLINK("https://pbs.twimg.com/profile_images/1195420809277427713/cLFbEoBk.jpg","View")</f>
        <v>View</v>
      </c>
      <c r="V223" s="13"/>
      <c r="W223" s="13"/>
      <c r="X223" s="13"/>
      <c r="Y223" s="13"/>
      <c r="Z223" s="13"/>
    </row>
    <row r="224">
      <c r="A224" s="8">
        <v>43848.79011574074</v>
      </c>
      <c r="B224" s="9" t="str">
        <f>HYPERLINK("https://twitter.com/melis1983","@melis1983")</f>
        <v>@melis1983</v>
      </c>
      <c r="C224" s="10" t="s">
        <v>1082</v>
      </c>
      <c r="D224" s="10" t="s">
        <v>1083</v>
      </c>
      <c r="E224" s="9" t="str">
        <f>HYPERLINK("https://twitter.com/melis1983/status/1218683933031915521","1218683933031915521")</f>
        <v>1218683933031915521</v>
      </c>
      <c r="F224" s="13"/>
      <c r="G224" s="13"/>
      <c r="H224" s="13"/>
      <c r="I224" s="14">
        <v>0.0</v>
      </c>
      <c r="J224" s="14">
        <v>0.0</v>
      </c>
      <c r="K224" s="9" t="str">
        <f t="shared" si="33"/>
        <v>Twitter for Android</v>
      </c>
      <c r="L224" s="15">
        <v>65.0</v>
      </c>
      <c r="M224" s="15">
        <v>221.0</v>
      </c>
      <c r="N224" s="15">
        <v>1.0</v>
      </c>
      <c r="O224" s="16"/>
      <c r="P224" s="17">
        <v>39931.54090277778</v>
      </c>
      <c r="Q224" s="10" t="s">
        <v>1084</v>
      </c>
      <c r="R224" s="10" t="s">
        <v>1085</v>
      </c>
      <c r="S224" s="13"/>
      <c r="T224" s="13"/>
      <c r="U224" s="18" t="str">
        <f>HYPERLINK("https://pbs.twimg.com/profile_images/431941469180407808/dfjn5AVT.jpeg","View")</f>
        <v>View</v>
      </c>
      <c r="V224" s="13"/>
      <c r="W224" s="13"/>
      <c r="X224" s="13"/>
      <c r="Y224" s="13"/>
      <c r="Z224" s="13"/>
    </row>
    <row r="225">
      <c r="A225" s="8">
        <v>43848.78907407407</v>
      </c>
      <c r="B225" s="9" t="str">
        <f>HYPERLINK("https://twitter.com/RealAnxietyMan","@RealAnxietyMan")</f>
        <v>@RealAnxietyMan</v>
      </c>
      <c r="C225" s="10" t="s">
        <v>1086</v>
      </c>
      <c r="D225" s="10" t="s">
        <v>1087</v>
      </c>
      <c r="E225" s="9" t="str">
        <f>HYPERLINK("https://twitter.com/RealAnxietyMan/status/1218683554634305536","1218683554634305536")</f>
        <v>1218683554634305536</v>
      </c>
      <c r="F225" s="13"/>
      <c r="G225" s="13"/>
      <c r="H225" s="13"/>
      <c r="I225" s="14">
        <v>17.0</v>
      </c>
      <c r="J225" s="14">
        <v>55.0</v>
      </c>
      <c r="K225" s="9" t="str">
        <f>HYPERLINK("https://mobile.twitter.com","Twitter Web App")</f>
        <v>Twitter Web App</v>
      </c>
      <c r="L225" s="15">
        <v>18314.0</v>
      </c>
      <c r="M225" s="15">
        <v>14875.0</v>
      </c>
      <c r="N225" s="15">
        <v>74.0</v>
      </c>
      <c r="O225" s="16"/>
      <c r="P225" s="17">
        <v>43056.639872685184</v>
      </c>
      <c r="Q225" s="10" t="s">
        <v>474</v>
      </c>
      <c r="R225" s="10" t="s">
        <v>1088</v>
      </c>
      <c r="S225" s="11" t="s">
        <v>1089</v>
      </c>
      <c r="T225" s="13"/>
      <c r="U225" s="18" t="str">
        <f>HYPERLINK("https://pbs.twimg.com/profile_images/1032314438924161025/gC_TM_Tq.jpg","View")</f>
        <v>View</v>
      </c>
      <c r="V225" s="13"/>
      <c r="W225" s="13"/>
      <c r="X225" s="13"/>
      <c r="Y225" s="13"/>
      <c r="Z225" s="13"/>
    </row>
    <row r="226">
      <c r="A226" s="8">
        <v>43848.787881944445</v>
      </c>
      <c r="B226" s="9" t="str">
        <f>HYPERLINK("https://twitter.com/iamnottomgreen","@iamnottomgreen")</f>
        <v>@iamnottomgreen</v>
      </c>
      <c r="C226" s="10" t="s">
        <v>1090</v>
      </c>
      <c r="D226" s="10" t="s">
        <v>1091</v>
      </c>
      <c r="E226" s="9" t="str">
        <f>HYPERLINK("https://twitter.com/iamnottomgreen/status/1218683122260172801","1218683122260172801")</f>
        <v>1218683122260172801</v>
      </c>
      <c r="F226" s="13"/>
      <c r="G226" s="13"/>
      <c r="H226" s="13"/>
      <c r="I226" s="14">
        <v>0.0</v>
      </c>
      <c r="J226" s="14">
        <v>0.0</v>
      </c>
      <c r="K226" s="9" t="str">
        <f>HYPERLINK("http://twitter.com/download/android","Twitter for Android")</f>
        <v>Twitter for Android</v>
      </c>
      <c r="L226" s="15">
        <v>342.0</v>
      </c>
      <c r="M226" s="15">
        <v>1433.0</v>
      </c>
      <c r="N226" s="15">
        <v>20.0</v>
      </c>
      <c r="O226" s="16"/>
      <c r="P226" s="17">
        <v>40196.5965625</v>
      </c>
      <c r="Q226" s="10" t="s">
        <v>1092</v>
      </c>
      <c r="R226" s="10" t="s">
        <v>1093</v>
      </c>
      <c r="S226" s="11" t="s">
        <v>1094</v>
      </c>
      <c r="T226" s="13"/>
      <c r="U226" s="18" t="str">
        <f>HYPERLINK("https://pbs.twimg.com/profile_images/1186736174007668746/S-6ZF7D2.jpg","View")</f>
        <v>View</v>
      </c>
      <c r="V226" s="13"/>
      <c r="W226" s="13"/>
      <c r="X226" s="13"/>
      <c r="Y226" s="13"/>
      <c r="Z226" s="13"/>
    </row>
    <row r="227">
      <c r="A227" s="8">
        <v>43848.787569444445</v>
      </c>
      <c r="B227" s="9" t="str">
        <f>HYPERLINK("https://twitter.com/ScoliSwimmer","@ScoliSwimmer")</f>
        <v>@ScoliSwimmer</v>
      </c>
      <c r="C227" s="10" t="s">
        <v>1095</v>
      </c>
      <c r="D227" s="10" t="s">
        <v>1096</v>
      </c>
      <c r="E227" s="9" t="str">
        <f>HYPERLINK("https://twitter.com/ScoliSwimmer/status/1218683010972815361","1218683010972815361")</f>
        <v>1218683010972815361</v>
      </c>
      <c r="F227" s="11" t="s">
        <v>1097</v>
      </c>
      <c r="G227" s="11" t="s">
        <v>1098</v>
      </c>
      <c r="H227" s="13"/>
      <c r="I227" s="14">
        <v>1.0</v>
      </c>
      <c r="J227" s="14">
        <v>1.0</v>
      </c>
      <c r="K227" s="9" t="str">
        <f>HYPERLINK("http://twitter.com/download/iphone","Twitter for iPhone")</f>
        <v>Twitter for iPhone</v>
      </c>
      <c r="L227" s="15">
        <v>1233.0</v>
      </c>
      <c r="M227" s="15">
        <v>2059.0</v>
      </c>
      <c r="N227" s="15">
        <v>64.0</v>
      </c>
      <c r="O227" s="16"/>
      <c r="P227" s="17">
        <v>42064.75146990741</v>
      </c>
      <c r="Q227" s="10" t="s">
        <v>1099</v>
      </c>
      <c r="R227" s="10" t="s">
        <v>1100</v>
      </c>
      <c r="S227" s="13"/>
      <c r="T227" s="13"/>
      <c r="U227" s="18" t="str">
        <f>HYPERLINK("https://pbs.twimg.com/profile_images/1184586267884969984/pdTktjNV.jpg","View")</f>
        <v>View</v>
      </c>
      <c r="V227" s="13"/>
      <c r="W227" s="13"/>
      <c r="X227" s="13"/>
      <c r="Y227" s="13"/>
      <c r="Z227" s="13"/>
    </row>
    <row r="228">
      <c r="A228" s="8">
        <v>43848.7865625</v>
      </c>
      <c r="B228" s="9" t="str">
        <f>HYPERLINK("https://twitter.com/do6986","@do6986")</f>
        <v>@do6986</v>
      </c>
      <c r="C228" s="10" t="s">
        <v>1101</v>
      </c>
      <c r="D228" s="22" t="s">
        <v>1102</v>
      </c>
      <c r="E228" s="9" t="str">
        <f>HYPERLINK("https://twitter.com/do6986/status/1218682645103751175","1218682645103751175")</f>
        <v>1218682645103751175</v>
      </c>
      <c r="F228" s="11" t="s">
        <v>1103</v>
      </c>
      <c r="G228" s="13"/>
      <c r="H228" s="13"/>
      <c r="I228" s="14">
        <v>0.0</v>
      </c>
      <c r="J228" s="14">
        <v>0.0</v>
      </c>
      <c r="K228" s="9" t="str">
        <f>HYPERLINK("http://twitter.com","Twitter Web Client")</f>
        <v>Twitter Web Client</v>
      </c>
      <c r="L228" s="15">
        <v>1818.0</v>
      </c>
      <c r="M228" s="15">
        <v>2389.0</v>
      </c>
      <c r="N228" s="15">
        <v>182.0</v>
      </c>
      <c r="O228" s="16"/>
      <c r="P228" s="17">
        <v>40251.51696759259</v>
      </c>
      <c r="Q228" s="13"/>
      <c r="R228" s="10" t="s">
        <v>1104</v>
      </c>
      <c r="S228" s="13"/>
      <c r="T228" s="13"/>
      <c r="U228" s="18" t="str">
        <f>HYPERLINK("https://pbs.twimg.com/profile_images/878053276029042689/Y21M_R0J.jpg","View")</f>
        <v>View</v>
      </c>
      <c r="V228" s="13"/>
      <c r="W228" s="13"/>
      <c r="X228" s="13"/>
      <c r="Y228" s="13"/>
      <c r="Z228" s="13"/>
    </row>
    <row r="229">
      <c r="A229" s="8">
        <v>43848.78650462963</v>
      </c>
      <c r="B229" s="9" t="str">
        <f>HYPERLINK("https://twitter.com/YaelWolfeHowls","@YaelWolfeHowls")</f>
        <v>@YaelWolfeHowls</v>
      </c>
      <c r="C229" s="10" t="s">
        <v>1105</v>
      </c>
      <c r="D229" s="10" t="s">
        <v>1106</v>
      </c>
      <c r="E229" s="9" t="str">
        <f>HYPERLINK("https://twitter.com/YaelWolfeHowls/status/1218682623872114688","1218682623872114688")</f>
        <v>1218682623872114688</v>
      </c>
      <c r="F229" s="11" t="s">
        <v>1107</v>
      </c>
      <c r="G229" s="13"/>
      <c r="H229" s="13"/>
      <c r="I229" s="14">
        <v>0.0</v>
      </c>
      <c r="J229" s="14">
        <v>1.0</v>
      </c>
      <c r="K229" s="9" t="str">
        <f>HYPERLINK("https://mobile.twitter.com","Twitter Web App")</f>
        <v>Twitter Web App</v>
      </c>
      <c r="L229" s="15">
        <v>370.0</v>
      </c>
      <c r="M229" s="15">
        <v>176.0</v>
      </c>
      <c r="N229" s="15">
        <v>2.0</v>
      </c>
      <c r="O229" s="16"/>
      <c r="P229" s="17">
        <v>43545.89834490741</v>
      </c>
      <c r="Q229" s="13"/>
      <c r="R229" s="10" t="s">
        <v>1108</v>
      </c>
      <c r="S229" s="11" t="s">
        <v>1109</v>
      </c>
      <c r="T229" s="13"/>
      <c r="U229" s="18" t="str">
        <f>HYPERLINK("https://pbs.twimg.com/profile_images/1198863046787121152/sWQOoS7X.jpg","View")</f>
        <v>View</v>
      </c>
      <c r="V229" s="13"/>
      <c r="W229" s="13"/>
      <c r="X229" s="13"/>
      <c r="Y229" s="13"/>
      <c r="Z229" s="13"/>
    </row>
    <row r="230">
      <c r="A230" s="8">
        <v>43848.78642361111</v>
      </c>
      <c r="B230" s="9" t="str">
        <f>HYPERLINK("https://twitter.com/allevin18","@allevin18")</f>
        <v>@allevin18</v>
      </c>
      <c r="C230" s="10" t="s">
        <v>979</v>
      </c>
      <c r="D230" s="10" t="s">
        <v>1110</v>
      </c>
      <c r="E230" s="9" t="str">
        <f>HYPERLINK("https://twitter.com/allevin18/status/1218682594063192065","1218682594063192065")</f>
        <v>1218682594063192065</v>
      </c>
      <c r="F230" s="11" t="s">
        <v>1111</v>
      </c>
      <c r="G230" s="11" t="s">
        <v>1112</v>
      </c>
      <c r="H230" s="13"/>
      <c r="I230" s="14">
        <v>0.0</v>
      </c>
      <c r="J230" s="14">
        <v>0.0</v>
      </c>
      <c r="K230" s="9" t="str">
        <f>HYPERLINK("http://twitter.com/download/iphone","Twitter for iPhone")</f>
        <v>Twitter for iPhone</v>
      </c>
      <c r="L230" s="15">
        <v>12110.0</v>
      </c>
      <c r="M230" s="15">
        <v>11049.0</v>
      </c>
      <c r="N230" s="15">
        <v>160.0</v>
      </c>
      <c r="O230" s="16"/>
      <c r="P230" s="17">
        <v>42512.885624999995</v>
      </c>
      <c r="Q230" s="10" t="s">
        <v>983</v>
      </c>
      <c r="R230" s="10" t="s">
        <v>984</v>
      </c>
      <c r="S230" s="11" t="s">
        <v>985</v>
      </c>
      <c r="T230" s="13"/>
      <c r="U230" s="18" t="str">
        <f>HYPERLINK("https://pbs.twimg.com/profile_images/990483727879815169/khgey0kR.jpg","View")</f>
        <v>View</v>
      </c>
      <c r="V230" s="13"/>
      <c r="W230" s="13"/>
      <c r="X230" s="13"/>
      <c r="Y230" s="13"/>
      <c r="Z230" s="13"/>
    </row>
    <row r="231">
      <c r="A231" s="8">
        <v>43848.78638888889</v>
      </c>
      <c r="B231" s="9" t="str">
        <f>HYPERLINK("https://twitter.com/DucaCanavan","@DucaCanavan")</f>
        <v>@DucaCanavan</v>
      </c>
      <c r="C231" s="10" t="s">
        <v>1113</v>
      </c>
      <c r="D231" s="10" t="s">
        <v>1114</v>
      </c>
      <c r="E231" s="9" t="str">
        <f>HYPERLINK("https://twitter.com/DucaCanavan/status/1218682582734397440","1218682582734397440")</f>
        <v>1218682582734397440</v>
      </c>
      <c r="F231" s="11" t="s">
        <v>1115</v>
      </c>
      <c r="G231" s="13"/>
      <c r="H231" s="13"/>
      <c r="I231" s="14">
        <v>0.0</v>
      </c>
      <c r="J231" s="14">
        <v>0.0</v>
      </c>
      <c r="K231" s="9" t="str">
        <f>HYPERLINK("http://twitter.com/download/android","Twitter for Android")</f>
        <v>Twitter for Android</v>
      </c>
      <c r="L231" s="15">
        <v>165.0</v>
      </c>
      <c r="M231" s="15">
        <v>255.0</v>
      </c>
      <c r="N231" s="15">
        <v>1.0</v>
      </c>
      <c r="O231" s="16"/>
      <c r="P231" s="17">
        <v>43313.48427083333</v>
      </c>
      <c r="Q231" s="10" t="s">
        <v>1116</v>
      </c>
      <c r="R231" s="10" t="s">
        <v>1117</v>
      </c>
      <c r="S231" s="11" t="s">
        <v>1118</v>
      </c>
      <c r="T231" s="13"/>
      <c r="U231" s="18" t="str">
        <f>HYPERLINK("https://pbs.twimg.com/profile_images/1038552613409697794/nBZhsWns.jpg","View")</f>
        <v>View</v>
      </c>
      <c r="V231" s="13"/>
      <c r="W231" s="13"/>
      <c r="X231" s="13"/>
      <c r="Y231" s="13"/>
      <c r="Z231" s="13"/>
    </row>
    <row r="232">
      <c r="A232" s="8">
        <v>43848.78611111111</v>
      </c>
      <c r="B232" s="9" t="str">
        <f>HYPERLINK("https://twitter.com/EBNAdvertising","@EBNAdvertising")</f>
        <v>@EBNAdvertising</v>
      </c>
      <c r="C232" s="10" t="s">
        <v>1119</v>
      </c>
      <c r="D232" s="10" t="s">
        <v>1120</v>
      </c>
      <c r="E232" s="9" t="str">
        <f>HYPERLINK("https://twitter.com/EBNAdvertising/status/1218682481093881858","1218682481093881858")</f>
        <v>1218682481093881858</v>
      </c>
      <c r="F232" s="11" t="s">
        <v>1121</v>
      </c>
      <c r="G232" s="13"/>
      <c r="H232" s="13"/>
      <c r="I232" s="14">
        <v>0.0</v>
      </c>
      <c r="J232" s="14">
        <v>0.0</v>
      </c>
      <c r="K232" s="9" t="str">
        <f>HYPERLINK("https://paper.li","Paper.li")</f>
        <v>Paper.li</v>
      </c>
      <c r="L232" s="15">
        <v>13416.0</v>
      </c>
      <c r="M232" s="15">
        <v>13419.0</v>
      </c>
      <c r="N232" s="15">
        <v>2679.0</v>
      </c>
      <c r="O232" s="16"/>
      <c r="P232" s="17">
        <v>42075.05517361111</v>
      </c>
      <c r="Q232" s="10" t="s">
        <v>1122</v>
      </c>
      <c r="R232" s="10" t="s">
        <v>1123</v>
      </c>
      <c r="S232" s="11" t="s">
        <v>1124</v>
      </c>
      <c r="T232" s="13"/>
      <c r="U232" s="18" t="str">
        <f>HYPERLINK("https://pbs.twimg.com/profile_images/862735038613409792/F1hECUVz.jpg","View")</f>
        <v>View</v>
      </c>
      <c r="V232" s="13"/>
      <c r="W232" s="13"/>
      <c r="X232" s="13"/>
      <c r="Y232" s="13"/>
      <c r="Z232" s="13"/>
    </row>
    <row r="233">
      <c r="A233" s="8">
        <v>43848.78575231481</v>
      </c>
      <c r="B233" s="9" t="str">
        <f>HYPERLINK("https://twitter.com/MattyM1965","@MattyM1965")</f>
        <v>@MattyM1965</v>
      </c>
      <c r="C233" s="10" t="s">
        <v>1125</v>
      </c>
      <c r="D233" s="10" t="s">
        <v>1126</v>
      </c>
      <c r="E233" s="9" t="str">
        <f>HYPERLINK("https://twitter.com/MattyM1965/status/1218682351296958464","1218682351296958464")</f>
        <v>1218682351296958464</v>
      </c>
      <c r="F233" s="13"/>
      <c r="G233" s="11" t="s">
        <v>1127</v>
      </c>
      <c r="H233" s="13"/>
      <c r="I233" s="14">
        <v>0.0</v>
      </c>
      <c r="J233" s="14">
        <v>1.0</v>
      </c>
      <c r="K233" s="9" t="str">
        <f t="shared" ref="K233:K234" si="34">HYPERLINK("http://twitter.com/download/android","Twitter for Android")</f>
        <v>Twitter for Android</v>
      </c>
      <c r="L233" s="15">
        <v>266.0</v>
      </c>
      <c r="M233" s="15">
        <v>408.0</v>
      </c>
      <c r="N233" s="15">
        <v>0.0</v>
      </c>
      <c r="O233" s="16"/>
      <c r="P233" s="17">
        <v>42732.92659722222</v>
      </c>
      <c r="Q233" s="13"/>
      <c r="R233" s="10" t="s">
        <v>1128</v>
      </c>
      <c r="S233" s="13"/>
      <c r="T233" s="13"/>
      <c r="U233" s="18" t="str">
        <f>HYPERLINK("https://pbs.twimg.com/profile_images/1217923637577166852/DhjFAii8.jpg","View")</f>
        <v>View</v>
      </c>
      <c r="V233" s="13"/>
      <c r="W233" s="13"/>
      <c r="X233" s="13"/>
      <c r="Y233" s="13"/>
      <c r="Z233" s="13"/>
    </row>
    <row r="234">
      <c r="A234" s="8">
        <v>43848.78460648148</v>
      </c>
      <c r="B234" s="9" t="str">
        <f>HYPERLINK("https://twitter.com/ayeshaslair","@ayeshaslair")</f>
        <v>@ayeshaslair</v>
      </c>
      <c r="C234" s="10" t="s">
        <v>1129</v>
      </c>
      <c r="D234" s="10" t="s">
        <v>1130</v>
      </c>
      <c r="E234" s="9" t="str">
        <f>HYPERLINK("https://twitter.com/ayeshaslair/status/1218681938656935936","1218681938656935936")</f>
        <v>1218681938656935936</v>
      </c>
      <c r="F234" s="11" t="s">
        <v>1131</v>
      </c>
      <c r="G234" s="11" t="s">
        <v>1132</v>
      </c>
      <c r="H234" s="13"/>
      <c r="I234" s="14">
        <v>1.0</v>
      </c>
      <c r="J234" s="14">
        <v>0.0</v>
      </c>
      <c r="K234" s="9" t="str">
        <f t="shared" si="34"/>
        <v>Twitter for Android</v>
      </c>
      <c r="L234" s="15">
        <v>592.0</v>
      </c>
      <c r="M234" s="15">
        <v>202.0</v>
      </c>
      <c r="N234" s="15">
        <v>11.0</v>
      </c>
      <c r="O234" s="16"/>
      <c r="P234" s="17">
        <v>39955.33194444444</v>
      </c>
      <c r="Q234" s="13"/>
      <c r="R234" s="10" t="s">
        <v>1133</v>
      </c>
      <c r="S234" s="13"/>
      <c r="T234" s="13"/>
      <c r="U234" s="18" t="str">
        <f>HYPERLINK("https://pbs.twimg.com/profile_images/989448959213977601/9bXUlAcr.jpg","View")</f>
        <v>View</v>
      </c>
      <c r="V234" s="13"/>
      <c r="W234" s="13"/>
      <c r="X234" s="13"/>
      <c r="Y234" s="13"/>
      <c r="Z234" s="13"/>
    </row>
    <row r="235">
      <c r="A235" s="8">
        <v>43848.78381944445</v>
      </c>
      <c r="B235" s="9" t="str">
        <f>HYPERLINK("https://twitter.com/DShorb","@DShorb")</f>
        <v>@DShorb</v>
      </c>
      <c r="C235" s="10" t="s">
        <v>21</v>
      </c>
      <c r="D235" s="10" t="s">
        <v>1134</v>
      </c>
      <c r="E235" s="9" t="str">
        <f>HYPERLINK("https://twitter.com/DShorb/status/1218681653758918661","1218681653758918661")</f>
        <v>1218681653758918661</v>
      </c>
      <c r="F235" s="11" t="s">
        <v>1135</v>
      </c>
      <c r="G235" s="13"/>
      <c r="H235" s="13"/>
      <c r="I235" s="14">
        <v>1.0</v>
      </c>
      <c r="J235" s="14">
        <v>0.0</v>
      </c>
      <c r="K235" s="9" t="str">
        <f>HYPERLINK("https://www.smedian.com","Penname")</f>
        <v>Penname</v>
      </c>
      <c r="L235" s="15">
        <v>3871.0</v>
      </c>
      <c r="M235" s="15">
        <v>4543.0</v>
      </c>
      <c r="N235" s="15">
        <v>185.0</v>
      </c>
      <c r="O235" s="16"/>
      <c r="P235" s="17">
        <v>40991.739027777774</v>
      </c>
      <c r="Q235" s="10" t="s">
        <v>24</v>
      </c>
      <c r="R235" s="10" t="s">
        <v>25</v>
      </c>
      <c r="S235" s="11" t="s">
        <v>26</v>
      </c>
      <c r="T235" s="13"/>
      <c r="U235" s="18" t="str">
        <f>HYPERLINK("https://pbs.twimg.com/profile_images/1134459629478408192/VnPf0dlm.jpg","View")</f>
        <v>View</v>
      </c>
      <c r="V235" s="13"/>
      <c r="W235" s="13"/>
      <c r="X235" s="13"/>
      <c r="Y235" s="13"/>
      <c r="Z235" s="13"/>
    </row>
    <row r="236">
      <c r="A236" s="8">
        <v>43848.78324074074</v>
      </c>
      <c r="B236" s="9" t="str">
        <f>HYPERLINK("https://twitter.com/kodebraker","@kodebraker")</f>
        <v>@kodebraker</v>
      </c>
      <c r="C236" s="10" t="s">
        <v>1136</v>
      </c>
      <c r="D236" s="10" t="s">
        <v>1137</v>
      </c>
      <c r="E236" s="9" t="str">
        <f>HYPERLINK("https://twitter.com/kodebraker/status/1218681440524734464","1218681440524734464")</f>
        <v>1218681440524734464</v>
      </c>
      <c r="F236" s="13"/>
      <c r="G236" s="13"/>
      <c r="H236" s="13"/>
      <c r="I236" s="14">
        <v>0.0</v>
      </c>
      <c r="J236" s="14">
        <v>0.0</v>
      </c>
      <c r="K236" s="9" t="str">
        <f>HYPERLINK("http://twitter.com/download/iphone","Twitter for iPhone")</f>
        <v>Twitter for iPhone</v>
      </c>
      <c r="L236" s="15">
        <v>291.0</v>
      </c>
      <c r="M236" s="15">
        <v>259.0</v>
      </c>
      <c r="N236" s="15">
        <v>2.0</v>
      </c>
      <c r="O236" s="16"/>
      <c r="P236" s="17">
        <v>40303.93488425926</v>
      </c>
      <c r="Q236" s="10" t="s">
        <v>1138</v>
      </c>
      <c r="R236" s="10" t="s">
        <v>1139</v>
      </c>
      <c r="S236" s="13"/>
      <c r="T236" s="13"/>
      <c r="U236" s="18" t="str">
        <f>HYPERLINK("https://pbs.twimg.com/profile_images/1103301837267050498/-nYz9ugr.jpg","View")</f>
        <v>View</v>
      </c>
      <c r="V236" s="13"/>
      <c r="W236" s="13"/>
      <c r="X236" s="13"/>
      <c r="Y236" s="13"/>
      <c r="Z236" s="13"/>
    </row>
    <row r="237">
      <c r="A237" s="8">
        <v>43848.78263888889</v>
      </c>
      <c r="B237" s="9" t="str">
        <f>HYPERLINK("https://twitter.com/ColinBBaker","@ColinBBaker")</f>
        <v>@ColinBBaker</v>
      </c>
      <c r="C237" s="10" t="s">
        <v>1140</v>
      </c>
      <c r="D237" s="10" t="s">
        <v>1141</v>
      </c>
      <c r="E237" s="9" t="str">
        <f>HYPERLINK("https://twitter.com/ColinBBaker/status/1218681225277313024","1218681225277313024")</f>
        <v>1218681225277313024</v>
      </c>
      <c r="F237" s="13"/>
      <c r="G237" s="13"/>
      <c r="H237" s="13"/>
      <c r="I237" s="14">
        <v>0.0</v>
      </c>
      <c r="J237" s="14">
        <v>0.0</v>
      </c>
      <c r="K237" s="9" t="str">
        <f>HYPERLINK("https://sproutsocial.com","Sprout Social")</f>
        <v>Sprout Social</v>
      </c>
      <c r="L237" s="15">
        <v>1250.0</v>
      </c>
      <c r="M237" s="15">
        <v>2439.0</v>
      </c>
      <c r="N237" s="15">
        <v>47.0</v>
      </c>
      <c r="O237" s="16"/>
      <c r="P237" s="17">
        <v>39954.70292824074</v>
      </c>
      <c r="Q237" s="10" t="s">
        <v>585</v>
      </c>
      <c r="R237" s="13"/>
      <c r="S237" s="11" t="s">
        <v>1142</v>
      </c>
      <c r="T237" s="13"/>
      <c r="U237" s="18" t="str">
        <f>HYPERLINK("https://pbs.twimg.com/profile_images/1431275250/IMG_0030.JPG","View")</f>
        <v>View</v>
      </c>
      <c r="V237" s="13"/>
      <c r="W237" s="13"/>
      <c r="X237" s="13"/>
      <c r="Y237" s="13"/>
      <c r="Z237" s="13"/>
    </row>
    <row r="238">
      <c r="A238" s="8">
        <v>43848.78129629629</v>
      </c>
      <c r="B238" s="9" t="str">
        <f>HYPERLINK("https://twitter.com/mhakentucky","@mhakentucky")</f>
        <v>@mhakentucky</v>
      </c>
      <c r="C238" s="10" t="s">
        <v>1143</v>
      </c>
      <c r="D238" s="10" t="s">
        <v>1144</v>
      </c>
      <c r="E238" s="9" t="str">
        <f>HYPERLINK("https://twitter.com/mhakentucky/status/1218680738121441281","1218680738121441281")</f>
        <v>1218680738121441281</v>
      </c>
      <c r="F238" s="11" t="s">
        <v>1145</v>
      </c>
      <c r="G238" s="11" t="s">
        <v>1146</v>
      </c>
      <c r="H238" s="13"/>
      <c r="I238" s="14">
        <v>0.0</v>
      </c>
      <c r="J238" s="14">
        <v>0.0</v>
      </c>
      <c r="K238" s="9" t="str">
        <f>HYPERLINK("https://www.hootsuite.com","Hootsuite Inc.")</f>
        <v>Hootsuite Inc.</v>
      </c>
      <c r="L238" s="15">
        <v>789.0</v>
      </c>
      <c r="M238" s="15">
        <v>1230.0</v>
      </c>
      <c r="N238" s="15">
        <v>27.0</v>
      </c>
      <c r="O238" s="16"/>
      <c r="P238" s="17">
        <v>41457.556435185186</v>
      </c>
      <c r="Q238" s="10" t="s">
        <v>1147</v>
      </c>
      <c r="R238" s="10" t="s">
        <v>1148</v>
      </c>
      <c r="S238" s="11" t="s">
        <v>1149</v>
      </c>
      <c r="T238" s="13"/>
      <c r="U238" s="18" t="str">
        <f>HYPERLINK("https://pbs.twimg.com/profile_images/570287108678361088/plNPUH-r.png","View")</f>
        <v>View</v>
      </c>
      <c r="V238" s="13"/>
      <c r="W238" s="13"/>
      <c r="X238" s="13"/>
      <c r="Y238" s="13"/>
      <c r="Z238" s="13"/>
    </row>
    <row r="239">
      <c r="A239" s="8">
        <v>43848.78083333334</v>
      </c>
      <c r="B239" s="9" t="str">
        <f>HYPERLINK("https://twitter.com/MoveHappyTeam","@MoveHappyTeam")</f>
        <v>@MoveHappyTeam</v>
      </c>
      <c r="C239" s="10" t="s">
        <v>1150</v>
      </c>
      <c r="D239" s="10" t="s">
        <v>1151</v>
      </c>
      <c r="E239" s="9" t="str">
        <f>HYPERLINK("https://twitter.com/MoveHappyTeam/status/1218680568889647104","1218680568889647104")</f>
        <v>1218680568889647104</v>
      </c>
      <c r="F239" s="11" t="s">
        <v>1152</v>
      </c>
      <c r="G239" s="11" t="s">
        <v>1153</v>
      </c>
      <c r="H239" s="13"/>
      <c r="I239" s="14">
        <v>1.0</v>
      </c>
      <c r="J239" s="14">
        <v>0.0</v>
      </c>
      <c r="K239" s="9" t="str">
        <f>HYPERLINK("http://twitter.com/download/iphone","Twitter for iPhone")</f>
        <v>Twitter for iPhone</v>
      </c>
      <c r="L239" s="15">
        <v>331.0</v>
      </c>
      <c r="M239" s="15">
        <v>439.0</v>
      </c>
      <c r="N239" s="15">
        <v>2.0</v>
      </c>
      <c r="O239" s="16"/>
      <c r="P239" s="17">
        <v>43279.28621527778</v>
      </c>
      <c r="Q239" s="10" t="s">
        <v>1154</v>
      </c>
      <c r="R239" s="10" t="s">
        <v>1155</v>
      </c>
      <c r="S239" s="11" t="s">
        <v>1156</v>
      </c>
      <c r="T239" s="13"/>
      <c r="U239" s="18" t="str">
        <f>HYPERLINK("https://pbs.twimg.com/profile_images/1123958859004043265/WjXQ8F3-.jpg","View")</f>
        <v>View</v>
      </c>
      <c r="V239" s="13"/>
      <c r="W239" s="13"/>
      <c r="X239" s="13"/>
      <c r="Y239" s="13"/>
      <c r="Z239" s="13"/>
    </row>
    <row r="240">
      <c r="A240" s="8">
        <v>43848.77851851852</v>
      </c>
      <c r="B240" s="9" t="str">
        <f>HYPERLINK("https://twitter.com/anonblackop1","@anonblackop1")</f>
        <v>@anonblackop1</v>
      </c>
      <c r="C240" s="10" t="s">
        <v>1157</v>
      </c>
      <c r="D240" s="10" t="s">
        <v>1158</v>
      </c>
      <c r="E240" s="9" t="str">
        <f>HYPERLINK("https://twitter.com/anonblackop1/status/1218679732973252608","1218679732973252608")</f>
        <v>1218679732973252608</v>
      </c>
      <c r="F240" s="11" t="s">
        <v>1159</v>
      </c>
      <c r="G240" s="13"/>
      <c r="H240" s="13"/>
      <c r="I240" s="14">
        <v>0.0</v>
      </c>
      <c r="J240" s="14">
        <v>0.0</v>
      </c>
      <c r="K240" s="9" t="str">
        <f>HYPERLINK("http://instagram.com","Instagram")</f>
        <v>Instagram</v>
      </c>
      <c r="L240" s="15">
        <v>46.0</v>
      </c>
      <c r="M240" s="15">
        <v>29.0</v>
      </c>
      <c r="N240" s="15">
        <v>0.0</v>
      </c>
      <c r="O240" s="16"/>
      <c r="P240" s="17">
        <v>43307.427569444444</v>
      </c>
      <c r="Q240" s="10" t="s">
        <v>1160</v>
      </c>
      <c r="R240" s="13"/>
      <c r="S240" s="13"/>
      <c r="T240" s="13"/>
      <c r="U240" s="18" t="str">
        <f>HYPERLINK("https://pbs.twimg.com/profile_images/1214163056776757251/2aANDFqj.jpg","View")</f>
        <v>View</v>
      </c>
      <c r="V240" s="13"/>
      <c r="W240" s="13"/>
      <c r="X240" s="13"/>
      <c r="Y240" s="13"/>
      <c r="Z240" s="13"/>
    </row>
    <row r="241">
      <c r="A241" s="8">
        <v>43848.777812500004</v>
      </c>
      <c r="B241" s="9" t="str">
        <f>HYPERLINK("https://twitter.com/djemal_ua","@djemal_ua")</f>
        <v>@djemal_ua</v>
      </c>
      <c r="C241" s="10" t="s">
        <v>1161</v>
      </c>
      <c r="D241" s="10" t="s">
        <v>1162</v>
      </c>
      <c r="E241" s="9" t="str">
        <f>HYPERLINK("https://twitter.com/djemal_ua/status/1218679473954021376","1218679473954021376")</f>
        <v>1218679473954021376</v>
      </c>
      <c r="F241" s="11" t="s">
        <v>1163</v>
      </c>
      <c r="G241" s="13"/>
      <c r="H241" s="13"/>
      <c r="I241" s="14">
        <v>1.0</v>
      </c>
      <c r="J241" s="14">
        <v>1.0</v>
      </c>
      <c r="K241" s="9" t="str">
        <f>HYPERLINK("https://www.hootsuite.com","Hootsuite Inc.")</f>
        <v>Hootsuite Inc.</v>
      </c>
      <c r="L241" s="15">
        <v>5127.0</v>
      </c>
      <c r="M241" s="15">
        <v>4724.0</v>
      </c>
      <c r="N241" s="15">
        <v>60.0</v>
      </c>
      <c r="O241" s="16"/>
      <c r="P241" s="17">
        <v>43530.25729166667</v>
      </c>
      <c r="Q241" s="10" t="s">
        <v>95</v>
      </c>
      <c r="R241" s="10" t="s">
        <v>1164</v>
      </c>
      <c r="S241" s="11" t="s">
        <v>1165</v>
      </c>
      <c r="T241" s="13"/>
      <c r="U241" s="18" t="str">
        <f>HYPERLINK("https://pbs.twimg.com/profile_images/1202978381106761728/aqUhVSTO.jpg","View")</f>
        <v>View</v>
      </c>
      <c r="V241" s="13"/>
      <c r="W241" s="13"/>
      <c r="X241" s="13"/>
      <c r="Y241" s="13"/>
      <c r="Z241" s="13"/>
    </row>
    <row r="242">
      <c r="A242" s="8">
        <v>43848.77777777778</v>
      </c>
      <c r="B242" s="9" t="str">
        <f>HYPERLINK("https://twitter.com/talkspace","@talkspace")</f>
        <v>@talkspace</v>
      </c>
      <c r="C242" s="10" t="s">
        <v>1166</v>
      </c>
      <c r="D242" s="10" t="s">
        <v>1167</v>
      </c>
      <c r="E242" s="9" t="str">
        <f>HYPERLINK("https://twitter.com/talkspace/status/1218679461488537602","1218679461488537602")</f>
        <v>1218679461488537602</v>
      </c>
      <c r="F242" s="11" t="s">
        <v>1168</v>
      </c>
      <c r="G242" s="13"/>
      <c r="H242" s="13"/>
      <c r="I242" s="14">
        <v>2.0</v>
      </c>
      <c r="J242" s="14">
        <v>1.0</v>
      </c>
      <c r="K242" s="9" t="str">
        <f>HYPERLINK("https://about.twitter.com/products/tweetdeck","TweetDeck")</f>
        <v>TweetDeck</v>
      </c>
      <c r="L242" s="15">
        <v>29550.0</v>
      </c>
      <c r="M242" s="15">
        <v>5868.0</v>
      </c>
      <c r="N242" s="15">
        <v>451.0</v>
      </c>
      <c r="O242" s="21" t="s">
        <v>522</v>
      </c>
      <c r="P242" s="17">
        <v>41024.919444444444</v>
      </c>
      <c r="Q242" s="10" t="s">
        <v>1169</v>
      </c>
      <c r="R242" s="10" t="s">
        <v>1170</v>
      </c>
      <c r="S242" s="11" t="s">
        <v>1171</v>
      </c>
      <c r="T242" s="13"/>
      <c r="U242" s="18" t="str">
        <f>HYPERLINK("https://pbs.twimg.com/profile_images/1145692730649120769/01H2MCMP.png","View")</f>
        <v>View</v>
      </c>
      <c r="V242" s="13"/>
      <c r="W242" s="13"/>
      <c r="X242" s="13"/>
      <c r="Y242" s="13"/>
      <c r="Z242" s="13"/>
    </row>
    <row r="243">
      <c r="A243" s="8">
        <v>43848.777766203704</v>
      </c>
      <c r="B243" s="9" t="str">
        <f>HYPERLINK("https://twitter.com/thelangleygroup","@thelangleygroup")</f>
        <v>@thelangleygroup</v>
      </c>
      <c r="C243" s="10" t="s">
        <v>1172</v>
      </c>
      <c r="D243" s="10" t="s">
        <v>1173</v>
      </c>
      <c r="E243" s="9" t="str">
        <f>HYPERLINK("https://twitter.com/thelangleygroup/status/1218679459710210048","1218679459710210048")</f>
        <v>1218679459710210048</v>
      </c>
      <c r="F243" s="11" t="s">
        <v>1174</v>
      </c>
      <c r="G243" s="13"/>
      <c r="H243" s="13"/>
      <c r="I243" s="14">
        <v>0.0</v>
      </c>
      <c r="J243" s="14">
        <v>1.0</v>
      </c>
      <c r="K243" s="9" t="str">
        <f>HYPERLINK("http://www.hubspot.com/","HubSpot")</f>
        <v>HubSpot</v>
      </c>
      <c r="L243" s="15">
        <v>1448.0</v>
      </c>
      <c r="M243" s="15">
        <v>376.0</v>
      </c>
      <c r="N243" s="15">
        <v>131.0</v>
      </c>
      <c r="O243" s="16"/>
      <c r="P243" s="17">
        <v>40664.952731481484</v>
      </c>
      <c r="Q243" s="10" t="s">
        <v>1175</v>
      </c>
      <c r="R243" s="10" t="s">
        <v>1176</v>
      </c>
      <c r="S243" s="11" t="s">
        <v>1177</v>
      </c>
      <c r="T243" s="13"/>
      <c r="U243" s="18" t="str">
        <f>HYPERLINK("https://pbs.twimg.com/profile_images/1197748927019139073/HH8-sR5w.jpg","View")</f>
        <v>View</v>
      </c>
      <c r="V243" s="13"/>
      <c r="W243" s="13"/>
      <c r="X243" s="13"/>
      <c r="Y243" s="13"/>
      <c r="Z243" s="13"/>
    </row>
    <row r="244">
      <c r="A244" s="8">
        <v>43848.77665509259</v>
      </c>
      <c r="B244" s="9" t="str">
        <f>HYPERLINK("https://twitter.com/TylerNorrisMDiv","@TylerNorrisMDiv")</f>
        <v>@TylerNorrisMDiv</v>
      </c>
      <c r="C244" s="10" t="s">
        <v>1178</v>
      </c>
      <c r="D244" s="10" t="s">
        <v>1179</v>
      </c>
      <c r="E244" s="9" t="str">
        <f>HYPERLINK("https://twitter.com/TylerNorrisMDiv/status/1218679056796798976","1218679056796798976")</f>
        <v>1218679056796798976</v>
      </c>
      <c r="F244" s="10" t="s">
        <v>1180</v>
      </c>
      <c r="G244" s="11" t="s">
        <v>1181</v>
      </c>
      <c r="H244" s="13"/>
      <c r="I244" s="14">
        <v>2.0</v>
      </c>
      <c r="J244" s="14">
        <v>4.0</v>
      </c>
      <c r="K244" s="9" t="str">
        <f t="shared" ref="K244:K247" si="35">HYPERLINK("http://twitter.com/download/iphone","Twitter for iPhone")</f>
        <v>Twitter for iPhone</v>
      </c>
      <c r="L244" s="15">
        <v>968.0</v>
      </c>
      <c r="M244" s="15">
        <v>234.0</v>
      </c>
      <c r="N244" s="15">
        <v>31.0</v>
      </c>
      <c r="O244" s="16"/>
      <c r="P244" s="17">
        <v>42242.84811342593</v>
      </c>
      <c r="Q244" s="10" t="s">
        <v>1182</v>
      </c>
      <c r="R244" s="10" t="s">
        <v>1183</v>
      </c>
      <c r="S244" s="11" t="s">
        <v>1184</v>
      </c>
      <c r="T244" s="13"/>
      <c r="U244" s="18" t="str">
        <f>HYPERLINK("https://pbs.twimg.com/profile_images/872320570247000069/0nyajN-P.jpg","View")</f>
        <v>View</v>
      </c>
      <c r="V244" s="13"/>
      <c r="W244" s="13"/>
      <c r="X244" s="13"/>
      <c r="Y244" s="13"/>
      <c r="Z244" s="13"/>
    </row>
    <row r="245">
      <c r="A245" s="8">
        <v>43848.77554398148</v>
      </c>
      <c r="B245" s="9" t="str">
        <f>HYPERLINK("https://twitter.com/CliffBoyce8300","@CliffBoyce8300")</f>
        <v>@CliffBoyce8300</v>
      </c>
      <c r="C245" s="10" t="s">
        <v>1185</v>
      </c>
      <c r="D245" s="10" t="s">
        <v>1186</v>
      </c>
      <c r="E245" s="9" t="str">
        <f>HYPERLINK("https://twitter.com/CliffBoyce8300/status/1218678654613327872","1218678654613327872")</f>
        <v>1218678654613327872</v>
      </c>
      <c r="F245" s="13"/>
      <c r="G245" s="13"/>
      <c r="H245" s="13"/>
      <c r="I245" s="14">
        <v>0.0</v>
      </c>
      <c r="J245" s="14">
        <v>0.0</v>
      </c>
      <c r="K245" s="9" t="str">
        <f t="shared" si="35"/>
        <v>Twitter for iPhone</v>
      </c>
      <c r="L245" s="15">
        <v>49.0</v>
      </c>
      <c r="M245" s="15">
        <v>445.0</v>
      </c>
      <c r="N245" s="15">
        <v>0.0</v>
      </c>
      <c r="O245" s="16"/>
      <c r="P245" s="17">
        <v>40837.77612268519</v>
      </c>
      <c r="Q245" s="10" t="s">
        <v>1187</v>
      </c>
      <c r="R245" s="10" t="s">
        <v>1188</v>
      </c>
      <c r="S245" s="13"/>
      <c r="T245" s="13"/>
      <c r="U245" s="18" t="str">
        <f>HYPERLINK("https://pbs.twimg.com/profile_images/1112652960138326016/hNHqO6kV.jpg","View")</f>
        <v>View</v>
      </c>
      <c r="V245" s="13"/>
      <c r="W245" s="13"/>
      <c r="X245" s="13"/>
      <c r="Y245" s="13"/>
      <c r="Z245" s="13"/>
    </row>
    <row r="246">
      <c r="A246" s="8">
        <v>43848.77543981481</v>
      </c>
      <c r="B246" s="9" t="str">
        <f>HYPERLINK("https://twitter.com/CHEOWonderlandT","@CHEOWonderlandT")</f>
        <v>@CHEOWonderlandT</v>
      </c>
      <c r="C246" s="10" t="s">
        <v>647</v>
      </c>
      <c r="D246" s="10" t="s">
        <v>1189</v>
      </c>
      <c r="E246" s="9" t="str">
        <f>HYPERLINK("https://twitter.com/CHEOWonderlandT/status/1218678614541185024","1218678614541185024")</f>
        <v>1218678614541185024</v>
      </c>
      <c r="F246" s="13"/>
      <c r="G246" s="11" t="s">
        <v>1190</v>
      </c>
      <c r="H246" s="13"/>
      <c r="I246" s="14">
        <v>0.0</v>
      </c>
      <c r="J246" s="14">
        <v>1.0</v>
      </c>
      <c r="K246" s="9" t="str">
        <f t="shared" si="35"/>
        <v>Twitter for iPhone</v>
      </c>
      <c r="L246" s="15">
        <v>24.0</v>
      </c>
      <c r="M246" s="15">
        <v>11.0</v>
      </c>
      <c r="N246" s="15">
        <v>1.0</v>
      </c>
      <c r="O246" s="16"/>
      <c r="P246" s="17">
        <v>43130.445185185185</v>
      </c>
      <c r="Q246" s="10" t="s">
        <v>650</v>
      </c>
      <c r="R246" s="10" t="s">
        <v>651</v>
      </c>
      <c r="S246" s="11" t="s">
        <v>652</v>
      </c>
      <c r="T246" s="13"/>
      <c r="U246" s="18" t="str">
        <f>HYPERLINK("https://pbs.twimg.com/profile_images/965746155777863680/gGwcszsz.jpg","View")</f>
        <v>View</v>
      </c>
      <c r="V246" s="13"/>
      <c r="W246" s="13"/>
      <c r="X246" s="13"/>
      <c r="Y246" s="13"/>
      <c r="Z246" s="13"/>
    </row>
    <row r="247">
      <c r="A247" s="8">
        <v>43848.77158564815</v>
      </c>
      <c r="B247" s="9" t="str">
        <f>HYPERLINK("https://twitter.com/michelle8010","@michelle8010")</f>
        <v>@michelle8010</v>
      </c>
      <c r="C247" s="10" t="s">
        <v>1191</v>
      </c>
      <c r="D247" s="10" t="s">
        <v>1192</v>
      </c>
      <c r="E247" s="9" t="str">
        <f>HYPERLINK("https://twitter.com/michelle8010/status/1218677219817676800","1218677219817676800")</f>
        <v>1218677219817676800</v>
      </c>
      <c r="F247" s="13"/>
      <c r="G247" s="13"/>
      <c r="H247" s="13"/>
      <c r="I247" s="14">
        <v>0.0</v>
      </c>
      <c r="J247" s="14">
        <v>0.0</v>
      </c>
      <c r="K247" s="9" t="str">
        <f t="shared" si="35"/>
        <v>Twitter for iPhone</v>
      </c>
      <c r="L247" s="15">
        <v>275.0</v>
      </c>
      <c r="M247" s="15">
        <v>493.0</v>
      </c>
      <c r="N247" s="15">
        <v>13.0</v>
      </c>
      <c r="O247" s="16"/>
      <c r="P247" s="17">
        <v>40429.4946875</v>
      </c>
      <c r="Q247" s="10" t="s">
        <v>1193</v>
      </c>
      <c r="R247" s="10" t="s">
        <v>1194</v>
      </c>
      <c r="S247" s="13"/>
      <c r="T247" s="13"/>
      <c r="U247" s="18" t="str">
        <f>HYPERLINK("https://pbs.twimg.com/profile_images/663447843907231744/FQumyl6M.jpg","View")</f>
        <v>View</v>
      </c>
      <c r="V247" s="13"/>
      <c r="W247" s="13"/>
      <c r="X247" s="13"/>
      <c r="Y247" s="13"/>
      <c r="Z247" s="13"/>
    </row>
    <row r="248">
      <c r="A248" s="8">
        <v>43848.7715625</v>
      </c>
      <c r="B248" s="9" t="str">
        <f>HYPERLINK("https://twitter.com/MasterHealthNow","@MasterHealthNow")</f>
        <v>@MasterHealthNow</v>
      </c>
      <c r="C248" s="10" t="s">
        <v>1195</v>
      </c>
      <c r="D248" s="10" t="s">
        <v>1196</v>
      </c>
      <c r="E248" s="9" t="str">
        <f>HYPERLINK("https://twitter.com/MasterHealthNow/status/1218677211068280834","1218677211068280834")</f>
        <v>1218677211068280834</v>
      </c>
      <c r="F248" s="11" t="s">
        <v>1197</v>
      </c>
      <c r="G248" s="13"/>
      <c r="H248" s="13"/>
      <c r="I248" s="14">
        <v>0.0</v>
      </c>
      <c r="J248" s="14">
        <v>0.0</v>
      </c>
      <c r="K248" s="9" t="str">
        <f>HYPERLINK("https://vitalizedfuture.com","MasterHealthNow Tweet App")</f>
        <v>MasterHealthNow Tweet App</v>
      </c>
      <c r="L248" s="15">
        <v>3954.0</v>
      </c>
      <c r="M248" s="15">
        <v>3020.0</v>
      </c>
      <c r="N248" s="15">
        <v>15.0</v>
      </c>
      <c r="O248" s="16"/>
      <c r="P248" s="17">
        <v>43698.68019675926</v>
      </c>
      <c r="Q248" s="10" t="s">
        <v>95</v>
      </c>
      <c r="R248" s="10" t="s">
        <v>1198</v>
      </c>
      <c r="S248" s="11" t="s">
        <v>1199</v>
      </c>
      <c r="T248" s="13"/>
      <c r="U248" s="18" t="str">
        <f>HYPERLINK("https://pbs.twimg.com/profile_images/1165275284565835776/l-gOqMqs.jpg","View")</f>
        <v>View</v>
      </c>
      <c r="V248" s="13"/>
      <c r="W248" s="13"/>
      <c r="X248" s="13"/>
      <c r="Y248" s="13"/>
      <c r="Z248" s="13"/>
    </row>
    <row r="249">
      <c r="A249" s="8">
        <v>43848.77108796296</v>
      </c>
      <c r="B249" s="9" t="str">
        <f>HYPERLINK("https://twitter.com/GroupTherapytm","@GroupTherapytm")</f>
        <v>@GroupTherapytm</v>
      </c>
      <c r="C249" s="10" t="s">
        <v>1200</v>
      </c>
      <c r="D249" s="10" t="s">
        <v>1201</v>
      </c>
      <c r="E249" s="9" t="str">
        <f>HYPERLINK("https://twitter.com/GroupTherapytm/status/1218677038497910784","1218677038497910784")</f>
        <v>1218677038497910784</v>
      </c>
      <c r="F249" s="13"/>
      <c r="G249" s="11" t="s">
        <v>1202</v>
      </c>
      <c r="H249" s="13"/>
      <c r="I249" s="14">
        <v>0.0</v>
      </c>
      <c r="J249" s="14">
        <v>0.0</v>
      </c>
      <c r="K249" s="9" t="str">
        <f>HYPERLINK("http://twitter.com/download/android","Twitter for Android")</f>
        <v>Twitter for Android</v>
      </c>
      <c r="L249" s="15">
        <v>16.0</v>
      </c>
      <c r="M249" s="15">
        <v>144.0</v>
      </c>
      <c r="N249" s="15">
        <v>0.0</v>
      </c>
      <c r="O249" s="16"/>
      <c r="P249" s="17">
        <v>43807.10974537037</v>
      </c>
      <c r="Q249" s="10" t="s">
        <v>166</v>
      </c>
      <c r="R249" s="10" t="s">
        <v>1203</v>
      </c>
      <c r="S249" s="11" t="s">
        <v>1204</v>
      </c>
      <c r="T249" s="13"/>
      <c r="U249" s="18" t="str">
        <f>HYPERLINK("https://pbs.twimg.com/profile_images/1203579584354168832/uiu4OAKn.jpg","View")</f>
        <v>View</v>
      </c>
      <c r="V249" s="13"/>
      <c r="W249" s="13"/>
      <c r="X249" s="13"/>
      <c r="Y249" s="13"/>
      <c r="Z249" s="13"/>
    </row>
    <row r="250">
      <c r="A250" s="8">
        <v>43848.77086805555</v>
      </c>
      <c r="B250" s="9" t="str">
        <f>HYPERLINK("https://twitter.com/ClearviewTreats","@ClearviewTreats")</f>
        <v>@ClearviewTreats</v>
      </c>
      <c r="C250" s="10" t="s">
        <v>1205</v>
      </c>
      <c r="D250" s="10" t="s">
        <v>1206</v>
      </c>
      <c r="E250" s="9" t="str">
        <f>HYPERLINK("https://twitter.com/ClearviewTreats/status/1218676957623263232","1218676957623263232")</f>
        <v>1218676957623263232</v>
      </c>
      <c r="F250" s="11" t="s">
        <v>1207</v>
      </c>
      <c r="G250" s="13"/>
      <c r="H250" s="13"/>
      <c r="I250" s="14">
        <v>0.0</v>
      </c>
      <c r="J250" s="14">
        <v>0.0</v>
      </c>
      <c r="K250" s="9" t="str">
        <f t="shared" ref="K250:K251" si="36">HYPERLINK("https://sproutsocial.com","Sprout Social")</f>
        <v>Sprout Social</v>
      </c>
      <c r="L250" s="15">
        <v>1940.0</v>
      </c>
      <c r="M250" s="15">
        <v>673.0</v>
      </c>
      <c r="N250" s="15">
        <v>32.0</v>
      </c>
      <c r="O250" s="16"/>
      <c r="P250" s="17">
        <v>40388.764699074076</v>
      </c>
      <c r="Q250" s="10" t="s">
        <v>382</v>
      </c>
      <c r="R250" s="10" t="s">
        <v>1208</v>
      </c>
      <c r="S250" s="11" t="s">
        <v>1209</v>
      </c>
      <c r="T250" s="13"/>
      <c r="U250" s="18" t="str">
        <f>HYPERLINK("https://pbs.twimg.com/profile_images/3536874807/0de7eba1b0b8c40fc3cfa833d6fdbef5.jpeg","View")</f>
        <v>View</v>
      </c>
      <c r="V250" s="13"/>
      <c r="W250" s="13"/>
      <c r="X250" s="13"/>
      <c r="Y250" s="13"/>
      <c r="Z250" s="13"/>
    </row>
    <row r="251">
      <c r="A251" s="8">
        <v>43848.77084490741</v>
      </c>
      <c r="B251" s="9" t="str">
        <f>HYPERLINK("https://twitter.com/wysabuddy","@wysabuddy")</f>
        <v>@wysabuddy</v>
      </c>
      <c r="C251" s="10" t="s">
        <v>325</v>
      </c>
      <c r="D251" s="10" t="s">
        <v>1210</v>
      </c>
      <c r="E251" s="9" t="str">
        <f>HYPERLINK("https://twitter.com/wysabuddy/status/1218676951457595392","1218676951457595392")</f>
        <v>1218676951457595392</v>
      </c>
      <c r="F251" s="11" t="s">
        <v>327</v>
      </c>
      <c r="G251" s="13"/>
      <c r="H251" s="13"/>
      <c r="I251" s="14">
        <v>1.0</v>
      </c>
      <c r="J251" s="14">
        <v>1.0</v>
      </c>
      <c r="K251" s="9" t="str">
        <f t="shared" si="36"/>
        <v>Sprout Social</v>
      </c>
      <c r="L251" s="15">
        <v>3943.0</v>
      </c>
      <c r="M251" s="15">
        <v>981.0</v>
      </c>
      <c r="N251" s="15">
        <v>163.0</v>
      </c>
      <c r="O251" s="16"/>
      <c r="P251" s="17">
        <v>41735.31763888889</v>
      </c>
      <c r="Q251" s="10" t="s">
        <v>329</v>
      </c>
      <c r="R251" s="10" t="s">
        <v>330</v>
      </c>
      <c r="S251" s="11" t="s">
        <v>327</v>
      </c>
      <c r="T251" s="13"/>
      <c r="U251" s="18" t="str">
        <f>HYPERLINK("https://pbs.twimg.com/profile_images/986922852900159488/b-suTNS6.jpg","View")</f>
        <v>View</v>
      </c>
      <c r="V251" s="13"/>
      <c r="W251" s="13"/>
      <c r="X251" s="13"/>
      <c r="Y251" s="13"/>
      <c r="Z251" s="13"/>
    </row>
    <row r="252">
      <c r="A252" s="8">
        <v>43848.77050925926</v>
      </c>
      <c r="B252" s="9" t="str">
        <f>HYPERLINK("https://twitter.com/yennpurkis","@yennpurkis")</f>
        <v>@yennpurkis</v>
      </c>
      <c r="C252" s="10" t="s">
        <v>1211</v>
      </c>
      <c r="D252" s="10" t="s">
        <v>1212</v>
      </c>
      <c r="E252" s="9" t="str">
        <f>HYPERLINK("https://twitter.com/yennpurkis/status/1218676830137278464","1218676830137278464")</f>
        <v>1218676830137278464</v>
      </c>
      <c r="F252" s="13"/>
      <c r="G252" s="11" t="s">
        <v>1213</v>
      </c>
      <c r="H252" s="13"/>
      <c r="I252" s="14">
        <v>1.0</v>
      </c>
      <c r="J252" s="14">
        <v>3.0</v>
      </c>
      <c r="K252" s="9" t="str">
        <f>HYPERLINK("http://twitter.com/download/iphone","Twitter for iPhone")</f>
        <v>Twitter for iPhone</v>
      </c>
      <c r="L252" s="15">
        <v>5026.0</v>
      </c>
      <c r="M252" s="15">
        <v>5045.0</v>
      </c>
      <c r="N252" s="15">
        <v>121.0</v>
      </c>
      <c r="O252" s="16"/>
      <c r="P252" s="17">
        <v>40948.11934027778</v>
      </c>
      <c r="Q252" s="13"/>
      <c r="R252" s="10" t="s">
        <v>1214</v>
      </c>
      <c r="S252" s="11" t="s">
        <v>1215</v>
      </c>
      <c r="T252" s="13"/>
      <c r="U252" s="18" t="str">
        <f>HYPERLINK("https://pbs.twimg.com/profile_images/914704815262908416/hJNWLUj2.jpg","View")</f>
        <v>View</v>
      </c>
      <c r="V252" s="13"/>
      <c r="W252" s="13"/>
      <c r="X252" s="13"/>
      <c r="Y252" s="13"/>
      <c r="Z252" s="13"/>
    </row>
    <row r="253">
      <c r="A253" s="8">
        <v>43848.77043981482</v>
      </c>
      <c r="B253" s="9" t="str">
        <f>HYPERLINK("https://twitter.com/LorourkeOnly","@LorourkeOnly")</f>
        <v>@LorourkeOnly</v>
      </c>
      <c r="C253" s="10" t="s">
        <v>1216</v>
      </c>
      <c r="D253" s="10" t="s">
        <v>1217</v>
      </c>
      <c r="E253" s="9" t="str">
        <f>HYPERLINK("https://twitter.com/LorourkeOnly/status/1218676801322483714","1218676801322483714")</f>
        <v>1218676801322483714</v>
      </c>
      <c r="F253" s="11" t="s">
        <v>1218</v>
      </c>
      <c r="G253" s="11" t="s">
        <v>1219</v>
      </c>
      <c r="H253" s="13"/>
      <c r="I253" s="14">
        <v>0.0</v>
      </c>
      <c r="J253" s="14">
        <v>0.0</v>
      </c>
      <c r="K253" s="9" t="str">
        <f>HYPERLINK("https://www.corelistingmachine.com/","CORE ListingMachine")</f>
        <v>CORE ListingMachine</v>
      </c>
      <c r="L253" s="15">
        <v>17.0</v>
      </c>
      <c r="M253" s="15">
        <v>74.0</v>
      </c>
      <c r="N253" s="15">
        <v>3.0</v>
      </c>
      <c r="O253" s="16"/>
      <c r="P253" s="17">
        <v>42647.59613425926</v>
      </c>
      <c r="Q253" s="10" t="s">
        <v>1220</v>
      </c>
      <c r="R253" s="13"/>
      <c r="S253" s="11" t="s">
        <v>1221</v>
      </c>
      <c r="T253" s="13"/>
      <c r="U253" s="18" t="str">
        <f>HYPERLINK("https://pbs.twimg.com/profile_images/961674622403039232/KZVvU151.jpg","View")</f>
        <v>View</v>
      </c>
      <c r="V253" s="13"/>
      <c r="W253" s="13"/>
      <c r="X253" s="13"/>
      <c r="Y253" s="13"/>
      <c r="Z253" s="13"/>
    </row>
    <row r="254">
      <c r="A254" s="8">
        <v>43848.76961805555</v>
      </c>
      <c r="B254" s="9" t="str">
        <f>HYPERLINK("https://twitter.com/JohnHolton82","@JohnHolton82")</f>
        <v>@JohnHolton82</v>
      </c>
      <c r="C254" s="10" t="s">
        <v>1222</v>
      </c>
      <c r="D254" s="10" t="s">
        <v>1223</v>
      </c>
      <c r="E254" s="9" t="str">
        <f>HYPERLINK("https://twitter.com/JohnHolton82/status/1218676504470659073","1218676504470659073")</f>
        <v>1218676504470659073</v>
      </c>
      <c r="F254" s="11" t="s">
        <v>1224</v>
      </c>
      <c r="G254" s="13"/>
      <c r="H254" s="9" t="str">
        <f>HYPERLINK("https://ctrlq.org/maps/address/#53.3924,-2.5935","Map")</f>
        <v>Map</v>
      </c>
      <c r="I254" s="14">
        <v>0.0</v>
      </c>
      <c r="J254" s="14">
        <v>0.0</v>
      </c>
      <c r="K254" s="9" t="str">
        <f>HYPERLINK("http://instagram.com","Instagram")</f>
        <v>Instagram</v>
      </c>
      <c r="L254" s="15">
        <v>194.0</v>
      </c>
      <c r="M254" s="15">
        <v>621.0</v>
      </c>
      <c r="N254" s="15">
        <v>0.0</v>
      </c>
      <c r="O254" s="16"/>
      <c r="P254" s="17">
        <v>40209.43121527778</v>
      </c>
      <c r="Q254" s="10" t="s">
        <v>1225</v>
      </c>
      <c r="R254" s="10" t="s">
        <v>1226</v>
      </c>
      <c r="S254" s="13"/>
      <c r="T254" s="13"/>
      <c r="U254" s="18" t="str">
        <f>HYPERLINK("https://pbs.twimg.com/profile_images/1213829275641667584/InhR5pgR.jpg","View")</f>
        <v>View</v>
      </c>
      <c r="V254" s="13"/>
      <c r="W254" s="13"/>
      <c r="X254" s="13"/>
      <c r="Y254" s="13"/>
      <c r="Z254" s="13"/>
    </row>
    <row r="255">
      <c r="A255" s="8">
        <v>43848.76961805555</v>
      </c>
      <c r="B255" s="9" t="str">
        <f>HYPERLINK("https://twitter.com/AreteHR","@AreteHR")</f>
        <v>@AreteHR</v>
      </c>
      <c r="C255" s="10" t="s">
        <v>1227</v>
      </c>
      <c r="D255" s="10" t="s">
        <v>1228</v>
      </c>
      <c r="E255" s="9" t="str">
        <f>HYPERLINK("https://twitter.com/AreteHR/status/1218676503602290689","1218676503602290689")</f>
        <v>1218676503602290689</v>
      </c>
      <c r="F255" s="11" t="s">
        <v>1229</v>
      </c>
      <c r="G255" s="13"/>
      <c r="H255" s="13"/>
      <c r="I255" s="14">
        <v>0.0</v>
      </c>
      <c r="J255" s="14">
        <v>1.0</v>
      </c>
      <c r="K255" s="9" t="str">
        <f>HYPERLINK("https://mobile.twitter.com","Twitter Web App")</f>
        <v>Twitter Web App</v>
      </c>
      <c r="L255" s="15">
        <v>339.0</v>
      </c>
      <c r="M255" s="15">
        <v>451.0</v>
      </c>
      <c r="N255" s="15">
        <v>31.0</v>
      </c>
      <c r="O255" s="16"/>
      <c r="P255" s="17">
        <v>40640.73394675926</v>
      </c>
      <c r="Q255" s="10" t="s">
        <v>177</v>
      </c>
      <c r="R255" s="10" t="s">
        <v>1230</v>
      </c>
      <c r="S255" s="11" t="s">
        <v>1231</v>
      </c>
      <c r="T255" s="13"/>
      <c r="U255" s="18" t="str">
        <f>HYPERLINK("https://pbs.twimg.com/profile_images/621445239866134528/6nCkeTCX.png","View")</f>
        <v>View</v>
      </c>
      <c r="V255" s="13"/>
      <c r="W255" s="13"/>
      <c r="X255" s="13"/>
      <c r="Y255" s="13"/>
      <c r="Z255" s="13"/>
    </row>
    <row r="256">
      <c r="A256" s="8">
        <v>43848.76954861111</v>
      </c>
      <c r="B256" s="9" t="str">
        <f>HYPERLINK("https://twitter.com/chrisoldcorn","@chrisoldcorn")</f>
        <v>@chrisoldcorn</v>
      </c>
      <c r="C256" s="10" t="s">
        <v>1232</v>
      </c>
      <c r="D256" s="10" t="s">
        <v>1233</v>
      </c>
      <c r="E256" s="9" t="str">
        <f>HYPERLINK("https://twitter.com/chrisoldcorn/status/1218676482131873793","1218676482131873793")</f>
        <v>1218676482131873793</v>
      </c>
      <c r="F256" s="11" t="s">
        <v>1234</v>
      </c>
      <c r="G256" s="13"/>
      <c r="H256" s="13"/>
      <c r="I256" s="14">
        <v>0.0</v>
      </c>
      <c r="J256" s="14">
        <v>1.0</v>
      </c>
      <c r="K256" s="9" t="str">
        <f>HYPERLINK("https://www.smedian.com","Penname")</f>
        <v>Penname</v>
      </c>
      <c r="L256" s="15">
        <v>3448.0</v>
      </c>
      <c r="M256" s="15">
        <v>4798.0</v>
      </c>
      <c r="N256" s="15">
        <v>200.0</v>
      </c>
      <c r="O256" s="16"/>
      <c r="P256" s="17">
        <v>39346.584872685184</v>
      </c>
      <c r="Q256" s="13"/>
      <c r="R256" s="10" t="s">
        <v>1235</v>
      </c>
      <c r="S256" s="11" t="s">
        <v>1236</v>
      </c>
      <c r="T256" s="13"/>
      <c r="U256" s="18" t="str">
        <f>HYPERLINK("https://pbs.twimg.com/profile_images/1158043491806732288/9JY2UFqV.jpg","View")</f>
        <v>View</v>
      </c>
      <c r="V256" s="13"/>
      <c r="W256" s="13"/>
      <c r="X256" s="13"/>
      <c r="Y256" s="13"/>
      <c r="Z256" s="13"/>
    </row>
    <row r="257">
      <c r="A257" s="8">
        <v>43848.76951388889</v>
      </c>
      <c r="B257" s="9" t="str">
        <f>HYPERLINK("https://twitter.com/stonecld316babe","@stonecld316babe")</f>
        <v>@stonecld316babe</v>
      </c>
      <c r="C257" s="10" t="s">
        <v>1237</v>
      </c>
      <c r="D257" s="10" t="s">
        <v>1238</v>
      </c>
      <c r="E257" s="9" t="str">
        <f>HYPERLINK("https://twitter.com/stonecld316babe/status/1218676469116940294","1218676469116940294")</f>
        <v>1218676469116940294</v>
      </c>
      <c r="F257" s="13"/>
      <c r="G257" s="11" t="s">
        <v>1239</v>
      </c>
      <c r="H257" s="13"/>
      <c r="I257" s="14">
        <v>0.0</v>
      </c>
      <c r="J257" s="14">
        <v>1.0</v>
      </c>
      <c r="K257" s="9" t="str">
        <f>HYPERLINK("http://twitter.com/download/iphone","Twitter for iPhone")</f>
        <v>Twitter for iPhone</v>
      </c>
      <c r="L257" s="15">
        <v>894.0</v>
      </c>
      <c r="M257" s="15">
        <v>830.0</v>
      </c>
      <c r="N257" s="15">
        <v>38.0</v>
      </c>
      <c r="O257" s="16"/>
      <c r="P257" s="17">
        <v>39967.03371527778</v>
      </c>
      <c r="Q257" s="10" t="s">
        <v>1240</v>
      </c>
      <c r="R257" s="10" t="s">
        <v>1241</v>
      </c>
      <c r="S257" s="13"/>
      <c r="T257" s="13"/>
      <c r="U257" s="18" t="str">
        <f>HYPERLINK("https://pbs.twimg.com/profile_images/1214545320836771841/m4o5RGUU.jpg","View")</f>
        <v>View</v>
      </c>
      <c r="V257" s="13"/>
      <c r="W257" s="13"/>
      <c r="X257" s="13"/>
      <c r="Y257" s="13"/>
      <c r="Z257" s="13"/>
    </row>
    <row r="258">
      <c r="A258" s="8">
        <v>43848.76896990741</v>
      </c>
      <c r="B258" s="9" t="str">
        <f>HYPERLINK("https://twitter.com/LLLChick","@LLLChick")</f>
        <v>@LLLChick</v>
      </c>
      <c r="C258" s="10" t="s">
        <v>1242</v>
      </c>
      <c r="D258" s="10" t="s">
        <v>1243</v>
      </c>
      <c r="E258" s="9" t="str">
        <f>HYPERLINK("https://twitter.com/LLLChick/status/1218676268893442053","1218676268893442053")</f>
        <v>1218676268893442053</v>
      </c>
      <c r="F258" s="13"/>
      <c r="G258" s="13"/>
      <c r="H258" s="13"/>
      <c r="I258" s="14">
        <v>0.0</v>
      </c>
      <c r="J258" s="14">
        <v>5.0</v>
      </c>
      <c r="K258" s="9" t="str">
        <f>HYPERLINK("http://twitter.com/download/android","Twitter for Android")</f>
        <v>Twitter for Android</v>
      </c>
      <c r="L258" s="15">
        <v>1576.0</v>
      </c>
      <c r="M258" s="15">
        <v>3178.0</v>
      </c>
      <c r="N258" s="15">
        <v>28.0</v>
      </c>
      <c r="O258" s="16"/>
      <c r="P258" s="17">
        <v>40429.793287037035</v>
      </c>
      <c r="Q258" s="10" t="s">
        <v>1244</v>
      </c>
      <c r="R258" s="10" t="s">
        <v>1245</v>
      </c>
      <c r="S258" s="13"/>
      <c r="T258" s="13"/>
      <c r="U258" s="18" t="str">
        <f>HYPERLINK("https://pbs.twimg.com/profile_images/1186004821582712835/w-8QAPAj.jpg","View")</f>
        <v>View</v>
      </c>
      <c r="V258" s="13"/>
      <c r="W258" s="13"/>
      <c r="X258" s="13"/>
      <c r="Y258" s="13"/>
      <c r="Z258" s="13"/>
    </row>
    <row r="259">
      <c r="A259" s="8">
        <v>43848.76876157407</v>
      </c>
      <c r="B259" s="9" t="str">
        <f>HYPERLINK("https://twitter.com/grouptherapy33","@grouptherapy33")</f>
        <v>@grouptherapy33</v>
      </c>
      <c r="C259" s="10" t="s">
        <v>831</v>
      </c>
      <c r="D259" s="10" t="s">
        <v>1246</v>
      </c>
      <c r="E259" s="9" t="str">
        <f>HYPERLINK("https://twitter.com/grouptherapy33/status/1218676195308593152","1218676195308593152")</f>
        <v>1218676195308593152</v>
      </c>
      <c r="F259" s="13"/>
      <c r="G259" s="13"/>
      <c r="H259" s="13"/>
      <c r="I259" s="14">
        <v>0.0</v>
      </c>
      <c r="J259" s="14">
        <v>0.0</v>
      </c>
      <c r="K259" s="9" t="str">
        <f>HYPERLINK("http://www.DynamicTweets.com","Dynamic Tweets")</f>
        <v>Dynamic Tweets</v>
      </c>
      <c r="L259" s="15">
        <v>4053.0</v>
      </c>
      <c r="M259" s="15">
        <v>3517.0</v>
      </c>
      <c r="N259" s="15">
        <v>74.0</v>
      </c>
      <c r="O259" s="16"/>
      <c r="P259" s="17">
        <v>42375.45542824074</v>
      </c>
      <c r="Q259" s="13"/>
      <c r="R259" s="13"/>
      <c r="S259" s="11" t="s">
        <v>833</v>
      </c>
      <c r="T259" s="13"/>
      <c r="U259" s="18" t="str">
        <f>HYPERLINK("https://pbs.twimg.com/profile_images/773354507157671941/wE10yy8j.jpg","View")</f>
        <v>View</v>
      </c>
      <c r="V259" s="13"/>
      <c r="W259" s="13"/>
      <c r="X259" s="13"/>
      <c r="Y259" s="13"/>
      <c r="Z259" s="13"/>
    </row>
    <row r="260">
      <c r="A260" s="8">
        <v>43848.76849537037</v>
      </c>
      <c r="B260" s="9" t="str">
        <f>HYPERLINK("https://twitter.com/tinaxlx","@tinaxlx")</f>
        <v>@tinaxlx</v>
      </c>
      <c r="C260" s="10" t="s">
        <v>1247</v>
      </c>
      <c r="D260" s="10" t="s">
        <v>1248</v>
      </c>
      <c r="E260" s="9" t="str">
        <f>HYPERLINK("https://twitter.com/tinaxlx/status/1218676100760510465","1218676100760510465")</f>
        <v>1218676100760510465</v>
      </c>
      <c r="F260" s="13"/>
      <c r="G260" s="13"/>
      <c r="H260" s="13"/>
      <c r="I260" s="14">
        <v>0.0</v>
      </c>
      <c r="J260" s="14">
        <v>1.0</v>
      </c>
      <c r="K260" s="9" t="str">
        <f>HYPERLINK("http://twitter.com/download/android","Twitter for Android")</f>
        <v>Twitter for Android</v>
      </c>
      <c r="L260" s="15">
        <v>141.0</v>
      </c>
      <c r="M260" s="15">
        <v>168.0</v>
      </c>
      <c r="N260" s="15">
        <v>0.0</v>
      </c>
      <c r="O260" s="16"/>
      <c r="P260" s="17">
        <v>40637.55746527778</v>
      </c>
      <c r="Q260" s="10" t="s">
        <v>1249</v>
      </c>
      <c r="R260" s="10" t="s">
        <v>1250</v>
      </c>
      <c r="S260" s="13"/>
      <c r="T260" s="13"/>
      <c r="U260" s="18" t="str">
        <f>HYPERLINK("https://pbs.twimg.com/profile_images/1212409784089153536/sdDY8J9C.jpg","View")</f>
        <v>View</v>
      </c>
      <c r="V260" s="13"/>
      <c r="W260" s="13"/>
      <c r="X260" s="13"/>
      <c r="Y260" s="13"/>
      <c r="Z260" s="13"/>
    </row>
    <row r="261">
      <c r="A261" s="8">
        <v>43848.768425925926</v>
      </c>
      <c r="B261" s="9" t="str">
        <f>HYPERLINK("https://twitter.com/barktechco","@barktechco")</f>
        <v>@barktechco</v>
      </c>
      <c r="C261" s="10" t="s">
        <v>1251</v>
      </c>
      <c r="D261" s="10" t="s">
        <v>1252</v>
      </c>
      <c r="E261" s="9" t="str">
        <f>HYPERLINK("https://twitter.com/barktechco/status/1218676072146821120","1218676072146821120")</f>
        <v>1218676072146821120</v>
      </c>
      <c r="F261" s="11" t="s">
        <v>1253</v>
      </c>
      <c r="G261" s="13"/>
      <c r="H261" s="13"/>
      <c r="I261" s="14">
        <v>1.0</v>
      </c>
      <c r="J261" s="14">
        <v>4.0</v>
      </c>
      <c r="K261" s="9" t="str">
        <f t="shared" ref="K261:K262" si="37">HYPERLINK("http://twitter.com/download/iphone","Twitter for iPhone")</f>
        <v>Twitter for iPhone</v>
      </c>
      <c r="L261" s="15">
        <v>2215.0</v>
      </c>
      <c r="M261" s="15">
        <v>1226.0</v>
      </c>
      <c r="N261" s="15">
        <v>63.0</v>
      </c>
      <c r="O261" s="16"/>
      <c r="P261" s="17">
        <v>42112.53457175926</v>
      </c>
      <c r="Q261" s="13"/>
      <c r="R261" s="10" t="s">
        <v>1254</v>
      </c>
      <c r="S261" s="11" t="s">
        <v>1255</v>
      </c>
      <c r="T261" s="13"/>
      <c r="U261" s="18" t="str">
        <f>HYPERLINK("https://pbs.twimg.com/profile_images/976505482591404032/dHavDpQT.jpg","View")</f>
        <v>View</v>
      </c>
      <c r="V261" s="13"/>
      <c r="W261" s="13"/>
      <c r="X261" s="13"/>
      <c r="Y261" s="13"/>
      <c r="Z261" s="13"/>
    </row>
    <row r="262">
      <c r="A262" s="8">
        <v>43848.767916666664</v>
      </c>
      <c r="B262" s="9" t="str">
        <f>HYPERLINK("https://twitter.com/lohcounseling","@lohcounseling")</f>
        <v>@lohcounseling</v>
      </c>
      <c r="C262" s="10" t="s">
        <v>1256</v>
      </c>
      <c r="D262" s="10" t="s">
        <v>1257</v>
      </c>
      <c r="E262" s="9" t="str">
        <f>HYPERLINK("https://twitter.com/lohcounseling/status/1218675887924830209","1218675887924830209")</f>
        <v>1218675887924830209</v>
      </c>
      <c r="F262" s="10" t="s">
        <v>1258</v>
      </c>
      <c r="G262" s="11" t="s">
        <v>1259</v>
      </c>
      <c r="H262" s="13"/>
      <c r="I262" s="14">
        <v>0.0</v>
      </c>
      <c r="J262" s="14">
        <v>1.0</v>
      </c>
      <c r="K262" s="9" t="str">
        <f t="shared" si="37"/>
        <v>Twitter for iPhone</v>
      </c>
      <c r="L262" s="15">
        <v>1.0</v>
      </c>
      <c r="M262" s="15">
        <v>35.0</v>
      </c>
      <c r="N262" s="15">
        <v>0.0</v>
      </c>
      <c r="O262" s="16"/>
      <c r="P262" s="17">
        <v>43141.38171296296</v>
      </c>
      <c r="Q262" s="10" t="s">
        <v>1260</v>
      </c>
      <c r="R262" s="10" t="s">
        <v>1261</v>
      </c>
      <c r="S262" s="11" t="s">
        <v>1262</v>
      </c>
      <c r="T262" s="13"/>
      <c r="U262" s="18" t="str">
        <f>HYPERLINK("https://pbs.twimg.com/profile_images/1218167961363656704/AXmkR2kR.jpg","View")</f>
        <v>View</v>
      </c>
      <c r="V262" s="13"/>
      <c r="W262" s="13"/>
      <c r="X262" s="13"/>
      <c r="Y262" s="13"/>
      <c r="Z262" s="13"/>
    </row>
    <row r="263">
      <c r="A263" s="8">
        <v>43848.76641203703</v>
      </c>
      <c r="B263" s="9" t="str">
        <f>HYPERLINK("https://twitter.com/scrappywheelz","@scrappywheelz")</f>
        <v>@scrappywheelz</v>
      </c>
      <c r="C263" s="10" t="s">
        <v>1263</v>
      </c>
      <c r="D263" s="10" t="s">
        <v>1264</v>
      </c>
      <c r="E263" s="9" t="str">
        <f>HYPERLINK("https://twitter.com/scrappywheelz/status/1218675344711933953","1218675344711933953")</f>
        <v>1218675344711933953</v>
      </c>
      <c r="F263" s="10" t="s">
        <v>1265</v>
      </c>
      <c r="G263" s="11" t="s">
        <v>1266</v>
      </c>
      <c r="H263" s="13"/>
      <c r="I263" s="14">
        <v>0.0</v>
      </c>
      <c r="J263" s="14">
        <v>1.0</v>
      </c>
      <c r="K263" s="9" t="str">
        <f>HYPERLINK("http://twitter.com/download/android","Twitter for Android")</f>
        <v>Twitter for Android</v>
      </c>
      <c r="L263" s="15">
        <v>298.0</v>
      </c>
      <c r="M263" s="15">
        <v>297.0</v>
      </c>
      <c r="N263" s="15">
        <v>5.0</v>
      </c>
      <c r="O263" s="16"/>
      <c r="P263" s="17">
        <v>42876.97460648148</v>
      </c>
      <c r="Q263" s="10" t="s">
        <v>1267</v>
      </c>
      <c r="R263" s="10" t="s">
        <v>1268</v>
      </c>
      <c r="S263" s="11" t="s">
        <v>1269</v>
      </c>
      <c r="T263" s="13"/>
      <c r="U263" s="18" t="str">
        <f>HYPERLINK("https://pbs.twimg.com/profile_images/890200020447674370/nC1mDup4.jpg","View")</f>
        <v>View</v>
      </c>
      <c r="V263" s="13"/>
      <c r="W263" s="13"/>
      <c r="X263" s="13"/>
      <c r="Y263" s="13"/>
      <c r="Z263" s="13"/>
    </row>
    <row r="264">
      <c r="A264" s="8">
        <v>43848.76635416667</v>
      </c>
      <c r="B264" s="9" t="str">
        <f>HYPERLINK("https://twitter.com/melissaracing","@melissaracing")</f>
        <v>@melissaracing</v>
      </c>
      <c r="C264" s="10" t="s">
        <v>611</v>
      </c>
      <c r="D264" s="10" t="s">
        <v>1270</v>
      </c>
      <c r="E264" s="9" t="str">
        <f>HYPERLINK("https://twitter.com/melissaracing/status/1218675324835155969","1218675324835155969")</f>
        <v>1218675324835155969</v>
      </c>
      <c r="F264" s="11" t="s">
        <v>1271</v>
      </c>
      <c r="G264" s="13"/>
      <c r="H264" s="13"/>
      <c r="I264" s="14">
        <v>0.0</v>
      </c>
      <c r="J264" s="14">
        <v>0.0</v>
      </c>
      <c r="K264" s="9" t="str">
        <f>HYPERLINK("http://twitter.com/#!/download/ipad","Twitter for iPad")</f>
        <v>Twitter for iPad</v>
      </c>
      <c r="L264" s="15">
        <v>1083.0</v>
      </c>
      <c r="M264" s="15">
        <v>4998.0</v>
      </c>
      <c r="N264" s="15">
        <v>10.0</v>
      </c>
      <c r="O264" s="16"/>
      <c r="P264" s="17">
        <v>42297.0366087963</v>
      </c>
      <c r="Q264" s="10" t="s">
        <v>614</v>
      </c>
      <c r="R264" s="10" t="s">
        <v>615</v>
      </c>
      <c r="S264" s="11" t="s">
        <v>616</v>
      </c>
      <c r="T264" s="13"/>
      <c r="U264" s="18" t="str">
        <f>HYPERLINK("https://pbs.twimg.com/profile_images/1149171032395141125/9dR4ANTC.jpg","View")</f>
        <v>View</v>
      </c>
      <c r="V264" s="13"/>
      <c r="W264" s="13"/>
      <c r="X264" s="13"/>
      <c r="Y264" s="13"/>
      <c r="Z264" s="13"/>
    </row>
    <row r="265">
      <c r="A265" s="8">
        <v>43848.76620370371</v>
      </c>
      <c r="B265" s="9" t="str">
        <f>HYPERLINK("https://twitter.com/CHEOWonderlandT","@CHEOWonderlandT")</f>
        <v>@CHEOWonderlandT</v>
      </c>
      <c r="C265" s="10" t="s">
        <v>647</v>
      </c>
      <c r="D265" s="10" t="s">
        <v>1272</v>
      </c>
      <c r="E265" s="9" t="str">
        <f>HYPERLINK("https://twitter.com/CHEOWonderlandT/status/1218675269759897603","1218675269759897603")</f>
        <v>1218675269759897603</v>
      </c>
      <c r="F265" s="13"/>
      <c r="G265" s="11" t="s">
        <v>1273</v>
      </c>
      <c r="H265" s="13"/>
      <c r="I265" s="14">
        <v>0.0</v>
      </c>
      <c r="J265" s="14">
        <v>4.0</v>
      </c>
      <c r="K265" s="9" t="str">
        <f>HYPERLINK("http://twitter.com/download/iphone","Twitter for iPhone")</f>
        <v>Twitter for iPhone</v>
      </c>
      <c r="L265" s="15">
        <v>24.0</v>
      </c>
      <c r="M265" s="15">
        <v>11.0</v>
      </c>
      <c r="N265" s="15">
        <v>1.0</v>
      </c>
      <c r="O265" s="16"/>
      <c r="P265" s="17">
        <v>43130.445185185185</v>
      </c>
      <c r="Q265" s="10" t="s">
        <v>650</v>
      </c>
      <c r="R265" s="10" t="s">
        <v>651</v>
      </c>
      <c r="S265" s="11" t="s">
        <v>652</v>
      </c>
      <c r="T265" s="13"/>
      <c r="U265" s="18" t="str">
        <f>HYPERLINK("https://pbs.twimg.com/profile_images/965746155777863680/gGwcszsz.jpg","View")</f>
        <v>View</v>
      </c>
      <c r="V265" s="13"/>
      <c r="W265" s="13"/>
      <c r="X265" s="13"/>
      <c r="Y265" s="13"/>
      <c r="Z265" s="13"/>
    </row>
    <row r="266">
      <c r="A266" s="8">
        <v>43848.764803240745</v>
      </c>
      <c r="B266" s="9" t="str">
        <f>HYPERLINK("https://twitter.com/247Ideal","@247Ideal")</f>
        <v>@247Ideal</v>
      </c>
      <c r="C266" s="10" t="s">
        <v>1274</v>
      </c>
      <c r="D266" s="10" t="s">
        <v>1275</v>
      </c>
      <c r="E266" s="9" t="str">
        <f>HYPERLINK("https://twitter.com/247Ideal/status/1218674761817038848","1218674761817038848")</f>
        <v>1218674761817038848</v>
      </c>
      <c r="F266" s="11" t="s">
        <v>1276</v>
      </c>
      <c r="G266" s="11" t="s">
        <v>1277</v>
      </c>
      <c r="H266" s="13"/>
      <c r="I266" s="14">
        <v>0.0</v>
      </c>
      <c r="J266" s="14">
        <v>0.0</v>
      </c>
      <c r="K266" s="9" t="str">
        <f>HYPERLINK("https://www.corelistingmachine.com/","CORE ListingMachine")</f>
        <v>CORE ListingMachine</v>
      </c>
      <c r="L266" s="15">
        <v>9.0</v>
      </c>
      <c r="M266" s="15">
        <v>1.0</v>
      </c>
      <c r="N266" s="15">
        <v>0.0</v>
      </c>
      <c r="O266" s="16"/>
      <c r="P266" s="17">
        <v>42604.747835648144</v>
      </c>
      <c r="Q266" s="10" t="s">
        <v>1278</v>
      </c>
      <c r="R266" s="10" t="s">
        <v>1279</v>
      </c>
      <c r="S266" s="11" t="s">
        <v>1280</v>
      </c>
      <c r="T266" s="13"/>
      <c r="U266" s="18" t="str">
        <f>HYPERLINK("https://pbs.twimg.com/profile_images/767844219536814081/UKJk7rgD.jpg","View")</f>
        <v>View</v>
      </c>
      <c r="V266" s="13"/>
      <c r="W266" s="13"/>
      <c r="X266" s="13"/>
      <c r="Y266" s="13"/>
      <c r="Z266" s="13"/>
    </row>
    <row r="267">
      <c r="A267" s="8">
        <v>43848.76457175926</v>
      </c>
      <c r="B267" s="9" t="str">
        <f>HYPERLINK("https://twitter.com/BruisedBruja","@BruisedBruja")</f>
        <v>@BruisedBruja</v>
      </c>
      <c r="C267" s="10" t="s">
        <v>1281</v>
      </c>
      <c r="D267" s="10" t="s">
        <v>1282</v>
      </c>
      <c r="E267" s="9" t="str">
        <f>HYPERLINK("https://twitter.com/BruisedBruja/status/1218674676580388864","1218674676580388864")</f>
        <v>1218674676580388864</v>
      </c>
      <c r="F267" s="13"/>
      <c r="G267" s="13"/>
      <c r="H267" s="13"/>
      <c r="I267" s="14">
        <v>2.0</v>
      </c>
      <c r="J267" s="14">
        <v>6.0</v>
      </c>
      <c r="K267" s="9" t="str">
        <f>HYPERLINK("http://twitter.com/download/android","Twitter for Android")</f>
        <v>Twitter for Android</v>
      </c>
      <c r="L267" s="15">
        <v>5.0</v>
      </c>
      <c r="M267" s="15">
        <v>176.0</v>
      </c>
      <c r="N267" s="15">
        <v>0.0</v>
      </c>
      <c r="O267" s="16"/>
      <c r="P267" s="17">
        <v>43846.52134259259</v>
      </c>
      <c r="Q267" s="13"/>
      <c r="R267" s="10" t="s">
        <v>1283</v>
      </c>
      <c r="S267" s="13"/>
      <c r="T267" s="13"/>
      <c r="U267" s="18" t="str">
        <f>HYPERLINK("https://pbs.twimg.com/profile_images/1217861896243679236/IWzpIkm1.jpg","View")</f>
        <v>View</v>
      </c>
      <c r="V267" s="13"/>
      <c r="W267" s="13"/>
      <c r="X267" s="13"/>
      <c r="Y267" s="13"/>
      <c r="Z267" s="13"/>
    </row>
    <row r="268">
      <c r="A268" s="8">
        <v>43848.76405092592</v>
      </c>
      <c r="B268" s="9" t="str">
        <f>HYPERLINK("https://twitter.com/lyteweaver","@lyteweaver")</f>
        <v>@lyteweaver</v>
      </c>
      <c r="C268" s="10" t="s">
        <v>1284</v>
      </c>
      <c r="D268" s="10" t="s">
        <v>1285</v>
      </c>
      <c r="E268" s="9" t="str">
        <f>HYPERLINK("https://twitter.com/lyteweaver/status/1218674487962611712","1218674487962611712")</f>
        <v>1218674487962611712</v>
      </c>
      <c r="F268" s="13"/>
      <c r="G268" s="11" t="s">
        <v>1286</v>
      </c>
      <c r="H268" s="13"/>
      <c r="I268" s="14">
        <v>0.0</v>
      </c>
      <c r="J268" s="14">
        <v>1.0</v>
      </c>
      <c r="K268" s="9" t="str">
        <f>HYPERLINK("http://twitter.com/download/iphone","Twitter for iPhone")</f>
        <v>Twitter for iPhone</v>
      </c>
      <c r="L268" s="15">
        <v>587.0</v>
      </c>
      <c r="M268" s="15">
        <v>1247.0</v>
      </c>
      <c r="N268" s="15">
        <v>18.0</v>
      </c>
      <c r="O268" s="16"/>
      <c r="P268" s="17">
        <v>41502.81628472223</v>
      </c>
      <c r="Q268" s="13"/>
      <c r="R268" s="10" t="s">
        <v>1287</v>
      </c>
      <c r="S268" s="13"/>
      <c r="T268" s="13"/>
      <c r="U268" s="18" t="str">
        <f>HYPERLINK("https://pbs.twimg.com/profile_images/1206949741826891777/iegJXg0j.jpg","View")</f>
        <v>View</v>
      </c>
      <c r="V268" s="13"/>
      <c r="W268" s="13"/>
      <c r="X268" s="13"/>
      <c r="Y268" s="13"/>
      <c r="Z268" s="13"/>
    </row>
    <row r="269">
      <c r="A269" s="8">
        <v>43848.76391203704</v>
      </c>
      <c r="B269" s="9" t="str">
        <f>HYPERLINK("https://twitter.com/djemal_ua","@djemal_ua")</f>
        <v>@djemal_ua</v>
      </c>
      <c r="C269" s="10" t="s">
        <v>1161</v>
      </c>
      <c r="D269" s="10" t="s">
        <v>1288</v>
      </c>
      <c r="E269" s="9" t="str">
        <f>HYPERLINK("https://twitter.com/djemal_ua/status/1218674439010865152","1218674439010865152")</f>
        <v>1218674439010865152</v>
      </c>
      <c r="F269" s="11" t="s">
        <v>1289</v>
      </c>
      <c r="G269" s="13"/>
      <c r="H269" s="13"/>
      <c r="I269" s="14">
        <v>0.0</v>
      </c>
      <c r="J269" s="14">
        <v>1.0</v>
      </c>
      <c r="K269" s="9" t="str">
        <f>HYPERLINK("https://www.hootsuite.com","Hootsuite Inc.")</f>
        <v>Hootsuite Inc.</v>
      </c>
      <c r="L269" s="15">
        <v>5127.0</v>
      </c>
      <c r="M269" s="15">
        <v>4724.0</v>
      </c>
      <c r="N269" s="15">
        <v>60.0</v>
      </c>
      <c r="O269" s="16"/>
      <c r="P269" s="17">
        <v>43530.25729166667</v>
      </c>
      <c r="Q269" s="10" t="s">
        <v>95</v>
      </c>
      <c r="R269" s="10" t="s">
        <v>1164</v>
      </c>
      <c r="S269" s="11" t="s">
        <v>1165</v>
      </c>
      <c r="T269" s="13"/>
      <c r="U269" s="18" t="str">
        <f>HYPERLINK("https://pbs.twimg.com/profile_images/1202978381106761728/aqUhVSTO.jpg","View")</f>
        <v>View</v>
      </c>
      <c r="V269" s="13"/>
      <c r="W269" s="13"/>
      <c r="X269" s="13"/>
      <c r="Y269" s="13"/>
      <c r="Z269" s="13"/>
    </row>
    <row r="270">
      <c r="A270" s="8">
        <v>43848.76349537037</v>
      </c>
      <c r="B270" s="9" t="str">
        <f>HYPERLINK("https://twitter.com/Nikki_Auxiliary","@Nikki_Auxiliary")</f>
        <v>@Nikki_Auxiliary</v>
      </c>
      <c r="C270" s="10" t="s">
        <v>1290</v>
      </c>
      <c r="D270" s="10" t="s">
        <v>1291</v>
      </c>
      <c r="E270" s="9" t="str">
        <f>HYPERLINK("https://twitter.com/Nikki_Auxiliary/status/1218674285537087489","1218674285537087489")</f>
        <v>1218674285537087489</v>
      </c>
      <c r="F270" s="13"/>
      <c r="G270" s="11" t="s">
        <v>1292</v>
      </c>
      <c r="H270" s="13"/>
      <c r="I270" s="14">
        <v>0.0</v>
      </c>
      <c r="J270" s="14">
        <v>4.0</v>
      </c>
      <c r="K270" s="9" t="str">
        <f>HYPERLINK("http://twitter.com/download/android","Twitter for Android")</f>
        <v>Twitter for Android</v>
      </c>
      <c r="L270" s="15">
        <v>213.0</v>
      </c>
      <c r="M270" s="15">
        <v>342.0</v>
      </c>
      <c r="N270" s="15">
        <v>2.0</v>
      </c>
      <c r="O270" s="16"/>
      <c r="P270" s="17">
        <v>43018.7880787037</v>
      </c>
      <c r="Q270" s="10" t="s">
        <v>91</v>
      </c>
      <c r="R270" s="10" t="s">
        <v>1293</v>
      </c>
      <c r="S270" s="13"/>
      <c r="T270" s="13"/>
      <c r="U270" s="18" t="str">
        <f>HYPERLINK("https://pbs.twimg.com/profile_images/1211048900137762823/Q1S4iZNv.jpg","View")</f>
        <v>View</v>
      </c>
      <c r="V270" s="13"/>
      <c r="W270" s="13"/>
      <c r="X270" s="13"/>
      <c r="Y270" s="13"/>
      <c r="Z270" s="13"/>
    </row>
    <row r="271">
      <c r="A271" s="8">
        <v>43848.763333333336</v>
      </c>
      <c r="B271" s="9" t="str">
        <f>HYPERLINK("https://twitter.com/tmj_WA_psych","@tmj_WA_psych")</f>
        <v>@tmj_WA_psych</v>
      </c>
      <c r="C271" s="10" t="s">
        <v>502</v>
      </c>
      <c r="D271" s="10" t="s">
        <v>1294</v>
      </c>
      <c r="E271" s="9" t="str">
        <f>HYPERLINK("https://twitter.com/tmj_WA_psych/status/1218674228796354560","1218674228796354560")</f>
        <v>1218674228796354560</v>
      </c>
      <c r="F271" s="13"/>
      <c r="G271" s="13"/>
      <c r="H271" s="9" t="str">
        <f>HYPERLINK("https://ctrlq.org/maps/address/#47.61,-122.33","Map")</f>
        <v>Map</v>
      </c>
      <c r="I271" s="14">
        <v>0.0</v>
      </c>
      <c r="J271" s="14">
        <v>0.0</v>
      </c>
      <c r="K271" s="9" t="str">
        <f>HYPERLINK("https://www.careerarc.com","CareerArc 2.0")</f>
        <v>CareerArc 2.0</v>
      </c>
      <c r="L271" s="15">
        <v>100.0</v>
      </c>
      <c r="M271" s="15">
        <v>79.0</v>
      </c>
      <c r="N271" s="15">
        <v>9.0</v>
      </c>
      <c r="O271" s="16"/>
      <c r="P271" s="17">
        <v>40630.909733796296</v>
      </c>
      <c r="Q271" s="10" t="s">
        <v>505</v>
      </c>
      <c r="R271" s="10" t="s">
        <v>506</v>
      </c>
      <c r="S271" s="11" t="s">
        <v>507</v>
      </c>
      <c r="T271" s="13"/>
      <c r="U271" s="18" t="str">
        <f>HYPERLINK("https://pbs.twimg.com/profile_images/715031203821273088/U0hIR2RD.jpg","View")</f>
        <v>View</v>
      </c>
      <c r="V271" s="13"/>
      <c r="W271" s="13"/>
      <c r="X271" s="13"/>
      <c r="Y271" s="13"/>
      <c r="Z271" s="13"/>
    </row>
    <row r="272">
      <c r="A272" s="8">
        <v>43848.76230324074</v>
      </c>
      <c r="B272" s="9" t="str">
        <f>HYPERLINK("https://twitter.com/mooremomentum1","@mooremomentum1")</f>
        <v>@mooremomentum1</v>
      </c>
      <c r="C272" s="10" t="s">
        <v>1295</v>
      </c>
      <c r="D272" s="10" t="s">
        <v>1296</v>
      </c>
      <c r="E272" s="9" t="str">
        <f>HYPERLINK("https://twitter.com/mooremomentum1/status/1218673853544697863","1218673853544697863")</f>
        <v>1218673853544697863</v>
      </c>
      <c r="F272" s="13"/>
      <c r="G272" s="11" t="s">
        <v>1297</v>
      </c>
      <c r="H272" s="13"/>
      <c r="I272" s="14">
        <v>0.0</v>
      </c>
      <c r="J272" s="14">
        <v>1.0</v>
      </c>
      <c r="K272" s="9" t="str">
        <f>HYPERLINK("http://twitter.com/download/iphone","Twitter for iPhone")</f>
        <v>Twitter for iPhone</v>
      </c>
      <c r="L272" s="15">
        <v>4586.0</v>
      </c>
      <c r="M272" s="15">
        <v>4849.0</v>
      </c>
      <c r="N272" s="15">
        <v>6.0</v>
      </c>
      <c r="O272" s="16"/>
      <c r="P272" s="17">
        <v>43671.90980324074</v>
      </c>
      <c r="Q272" s="10">
        <v>60201.0</v>
      </c>
      <c r="R272" s="10" t="s">
        <v>1298</v>
      </c>
      <c r="S272" s="11" t="s">
        <v>1299</v>
      </c>
      <c r="T272" s="13"/>
      <c r="U272" s="18" t="str">
        <f>HYPERLINK("https://pbs.twimg.com/profile_images/1154570271745040386/6strOZE7.jpg","View")</f>
        <v>View</v>
      </c>
      <c r="V272" s="13"/>
      <c r="W272" s="13"/>
      <c r="X272" s="13"/>
      <c r="Y272" s="13"/>
      <c r="Z272" s="13"/>
    </row>
    <row r="273">
      <c r="A273" s="8">
        <v>43848.76211805556</v>
      </c>
      <c r="B273" s="9" t="str">
        <f>HYPERLINK("https://twitter.com/MakeupManiacs","@MakeupManiacs")</f>
        <v>@MakeupManiacs</v>
      </c>
      <c r="C273" s="10" t="s">
        <v>1300</v>
      </c>
      <c r="D273" s="10" t="s">
        <v>1301</v>
      </c>
      <c r="E273" s="9" t="str">
        <f>HYPERLINK("https://twitter.com/MakeupManiacs/status/1218673788667166721","1218673788667166721")</f>
        <v>1218673788667166721</v>
      </c>
      <c r="F273" s="11" t="s">
        <v>1302</v>
      </c>
      <c r="G273" s="13"/>
      <c r="H273" s="13"/>
      <c r="I273" s="14">
        <v>0.0</v>
      </c>
      <c r="J273" s="14">
        <v>0.0</v>
      </c>
      <c r="K273" s="9" t="str">
        <f>HYPERLINK("http://instagram.com","Instagram")</f>
        <v>Instagram</v>
      </c>
      <c r="L273" s="15">
        <v>156.0</v>
      </c>
      <c r="M273" s="15">
        <v>11.0</v>
      </c>
      <c r="N273" s="15">
        <v>1.0</v>
      </c>
      <c r="O273" s="16"/>
      <c r="P273" s="17">
        <v>42691.516921296294</v>
      </c>
      <c r="Q273" s="10" t="s">
        <v>1303</v>
      </c>
      <c r="R273" s="10" t="s">
        <v>1304</v>
      </c>
      <c r="S273" s="11" t="s">
        <v>1305</v>
      </c>
      <c r="T273" s="13"/>
      <c r="U273" s="18" t="str">
        <f>HYPERLINK("https://pbs.twimg.com/profile_images/1127708748154273792/mSECyAi4.jpg","View")</f>
        <v>View</v>
      </c>
      <c r="V273" s="13"/>
      <c r="W273" s="13"/>
      <c r="X273" s="13"/>
      <c r="Y273" s="13"/>
      <c r="Z273" s="13"/>
    </row>
    <row r="274">
      <c r="A274" s="8">
        <v>43848.76203703704</v>
      </c>
      <c r="B274" s="9" t="str">
        <f>HYPERLINK("https://twitter.com/Raymond_Norman","@Raymond_Norman")</f>
        <v>@Raymond_Norman</v>
      </c>
      <c r="C274" s="10" t="s">
        <v>1306</v>
      </c>
      <c r="D274" s="22" t="s">
        <v>1307</v>
      </c>
      <c r="E274" s="9" t="str">
        <f>HYPERLINK("https://twitter.com/Raymond_Norman/status/1218673756501159947","1218673756501159947")</f>
        <v>1218673756501159947</v>
      </c>
      <c r="F274" s="11" t="s">
        <v>1308</v>
      </c>
      <c r="G274" s="11" t="s">
        <v>1309</v>
      </c>
      <c r="H274" s="13"/>
      <c r="I274" s="14">
        <v>1.0</v>
      </c>
      <c r="J274" s="14">
        <v>1.0</v>
      </c>
      <c r="K274" s="9" t="str">
        <f>HYPERLINK("https://www.socialjukebox.com","The Social Jukebox")</f>
        <v>The Social Jukebox</v>
      </c>
      <c r="L274" s="15">
        <v>49144.0</v>
      </c>
      <c r="M274" s="15">
        <v>39429.0</v>
      </c>
      <c r="N274" s="15">
        <v>2013.0</v>
      </c>
      <c r="O274" s="16"/>
      <c r="P274" s="17">
        <v>40899.92523148148</v>
      </c>
      <c r="Q274" s="10" t="s">
        <v>1310</v>
      </c>
      <c r="R274" s="10" t="s">
        <v>1311</v>
      </c>
      <c r="S274" s="13"/>
      <c r="T274" s="13"/>
      <c r="U274" s="18" t="str">
        <f>HYPERLINK("https://pbs.twimg.com/profile_images/735148166769709062/3LtWGm5r.jpg","View")</f>
        <v>View</v>
      </c>
      <c r="V274" s="13"/>
      <c r="W274" s="13"/>
      <c r="X274" s="13"/>
      <c r="Y274" s="13"/>
      <c r="Z274" s="13"/>
    </row>
    <row r="275">
      <c r="A275" s="8">
        <v>43848.76105324074</v>
      </c>
      <c r="B275" s="9" t="str">
        <f>HYPERLINK("https://twitter.com/nikxpatel","@nikxpatel")</f>
        <v>@nikxpatel</v>
      </c>
      <c r="C275" s="10" t="s">
        <v>1312</v>
      </c>
      <c r="D275" s="10" t="s">
        <v>1313</v>
      </c>
      <c r="E275" s="9" t="str">
        <f>HYPERLINK("https://twitter.com/nikxpatel/status/1218673400232783872","1218673400232783872")</f>
        <v>1218673400232783872</v>
      </c>
      <c r="F275" s="13"/>
      <c r="G275" s="13"/>
      <c r="H275" s="13"/>
      <c r="I275" s="14">
        <v>0.0</v>
      </c>
      <c r="J275" s="14">
        <v>0.0</v>
      </c>
      <c r="K275" s="9" t="str">
        <f>HYPERLINK("http://twitter.com/download/iphone","Twitter for iPhone")</f>
        <v>Twitter for iPhone</v>
      </c>
      <c r="L275" s="15">
        <v>2615.0</v>
      </c>
      <c r="M275" s="15">
        <v>1528.0</v>
      </c>
      <c r="N275" s="15">
        <v>257.0</v>
      </c>
      <c r="O275" s="16"/>
      <c r="P275" s="17">
        <v>39862.74385416666</v>
      </c>
      <c r="Q275" s="10" t="s">
        <v>1314</v>
      </c>
      <c r="R275" s="10" t="s">
        <v>1315</v>
      </c>
      <c r="S275" s="11" t="s">
        <v>1316</v>
      </c>
      <c r="T275" s="13"/>
      <c r="U275" s="18" t="str">
        <f>HYPERLINK("https://pbs.twimg.com/profile_images/841408915891970048/34mXasqi.jpg","View")</f>
        <v>View</v>
      </c>
      <c r="V275" s="13"/>
      <c r="W275" s="13"/>
      <c r="X275" s="13"/>
      <c r="Y275" s="13"/>
      <c r="Z275" s="13"/>
    </row>
    <row r="276">
      <c r="A276" s="8">
        <v>43848.760821759264</v>
      </c>
      <c r="B276" s="9" t="str">
        <f>HYPERLINK("https://twitter.com/sacredsourceb","@sacredsourceb")</f>
        <v>@sacredsourceb</v>
      </c>
      <c r="C276" s="10" t="s">
        <v>1317</v>
      </c>
      <c r="D276" s="10" t="s">
        <v>1318</v>
      </c>
      <c r="E276" s="9" t="str">
        <f>HYPERLINK("https://twitter.com/sacredsourceb/status/1218673318573809669","1218673318573809669")</f>
        <v>1218673318573809669</v>
      </c>
      <c r="F276" s="13"/>
      <c r="G276" s="11" t="s">
        <v>1319</v>
      </c>
      <c r="H276" s="13"/>
      <c r="I276" s="14">
        <v>0.0</v>
      </c>
      <c r="J276" s="14">
        <v>0.0</v>
      </c>
      <c r="K276" s="9" t="str">
        <f>HYPERLINK("https://www.later.com","LaterMedia")</f>
        <v>LaterMedia</v>
      </c>
      <c r="L276" s="15">
        <v>4.0</v>
      </c>
      <c r="M276" s="15">
        <v>0.0</v>
      </c>
      <c r="N276" s="15">
        <v>0.0</v>
      </c>
      <c r="O276" s="16"/>
      <c r="P276" s="17">
        <v>43780.7765162037</v>
      </c>
      <c r="Q276" s="13"/>
      <c r="R276" s="10" t="s">
        <v>1320</v>
      </c>
      <c r="S276" s="13"/>
      <c r="T276" s="13"/>
      <c r="U276" s="18" t="str">
        <f>HYPERLINK("https://pbs.twimg.com/profile_images/1194036727385489408/F6slqZcR.jpg","View")</f>
        <v>View</v>
      </c>
      <c r="V276" s="13"/>
      <c r="W276" s="13"/>
      <c r="X276" s="13"/>
      <c r="Y276" s="13"/>
      <c r="Z276" s="13"/>
    </row>
    <row r="277">
      <c r="A277" s="8">
        <v>43848.76047453703</v>
      </c>
      <c r="B277" s="9" t="str">
        <f>HYPERLINK("https://twitter.com/ChattingJosie","@ChattingJosie")</f>
        <v>@ChattingJosie</v>
      </c>
      <c r="C277" s="10" t="s">
        <v>1321</v>
      </c>
      <c r="D277" s="10" t="s">
        <v>1322</v>
      </c>
      <c r="E277" s="9" t="str">
        <f>HYPERLINK("https://twitter.com/ChattingJosie/status/1218673191096389632","1218673191096389632")</f>
        <v>1218673191096389632</v>
      </c>
      <c r="F277" s="13"/>
      <c r="G277" s="11" t="s">
        <v>1323</v>
      </c>
      <c r="H277" s="13"/>
      <c r="I277" s="14">
        <v>1.0</v>
      </c>
      <c r="J277" s="14">
        <v>0.0</v>
      </c>
      <c r="K277" s="9" t="str">
        <f t="shared" ref="K277:K278" si="38">HYPERLINK("https://mobile.twitter.com","Twitter Web App")</f>
        <v>Twitter Web App</v>
      </c>
      <c r="L277" s="15">
        <v>5.0</v>
      </c>
      <c r="M277" s="15">
        <v>71.0</v>
      </c>
      <c r="N277" s="15">
        <v>0.0</v>
      </c>
      <c r="O277" s="16"/>
      <c r="P277" s="17">
        <v>43848.40961805556</v>
      </c>
      <c r="Q277" s="10" t="s">
        <v>1324</v>
      </c>
      <c r="R277" s="10" t="s">
        <v>1325</v>
      </c>
      <c r="S277" s="13"/>
      <c r="T277" s="13"/>
      <c r="U277" s="18" t="str">
        <f>HYPERLINK("https://pbs.twimg.com/profile_images/1218550658514800640/7Iy6Akim.jpg","View")</f>
        <v>View</v>
      </c>
      <c r="V277" s="13"/>
      <c r="W277" s="13"/>
      <c r="X277" s="13"/>
      <c r="Y277" s="13"/>
      <c r="Z277" s="13"/>
    </row>
    <row r="278">
      <c r="A278" s="8">
        <v>43848.75923611112</v>
      </c>
      <c r="B278" s="9" t="str">
        <f>HYPERLINK("https://twitter.com/CianciaraVentu1","@CianciaraVentu1")</f>
        <v>@CianciaraVentu1</v>
      </c>
      <c r="C278" s="10" t="s">
        <v>1326</v>
      </c>
      <c r="D278" s="10" t="s">
        <v>1327</v>
      </c>
      <c r="E278" s="9" t="str">
        <f>HYPERLINK("https://twitter.com/CianciaraVentu1/status/1218672744449003520","1218672744449003520")</f>
        <v>1218672744449003520</v>
      </c>
      <c r="F278" s="13"/>
      <c r="G278" s="11" t="s">
        <v>1328</v>
      </c>
      <c r="H278" s="13"/>
      <c r="I278" s="14">
        <v>2.0</v>
      </c>
      <c r="J278" s="14">
        <v>1.0</v>
      </c>
      <c r="K278" s="9" t="str">
        <f t="shared" si="38"/>
        <v>Twitter Web App</v>
      </c>
      <c r="L278" s="15">
        <v>0.0</v>
      </c>
      <c r="M278" s="15">
        <v>0.0</v>
      </c>
      <c r="N278" s="15">
        <v>0.0</v>
      </c>
      <c r="O278" s="16"/>
      <c r="P278" s="17">
        <v>43835.53019675926</v>
      </c>
      <c r="Q278" s="13"/>
      <c r="R278" s="10" t="s">
        <v>1329</v>
      </c>
      <c r="S278" s="11" t="s">
        <v>1330</v>
      </c>
      <c r="T278" s="13"/>
      <c r="U278" s="18" t="str">
        <f>HYPERLINK("https://pbs.twimg.com/profile_images/1213879580399939585/xkWNGR8Y.jpg","View")</f>
        <v>View</v>
      </c>
      <c r="V278" s="13"/>
      <c r="W278" s="13"/>
      <c r="X278" s="13"/>
      <c r="Y278" s="13"/>
      <c r="Z278" s="13"/>
    </row>
    <row r="279">
      <c r="A279" s="8">
        <v>43848.7590625</v>
      </c>
      <c r="B279" s="9" t="str">
        <f>HYPERLINK("https://twitter.com/jvb2065","@jvb2065")</f>
        <v>@jvb2065</v>
      </c>
      <c r="C279" s="10" t="s">
        <v>1331</v>
      </c>
      <c r="D279" s="10" t="s">
        <v>238</v>
      </c>
      <c r="E279" s="9" t="str">
        <f>HYPERLINK("https://twitter.com/jvb2065/status/1218672678510317573","1218672678510317573")</f>
        <v>1218672678510317573</v>
      </c>
      <c r="F279" s="13"/>
      <c r="G279" s="13"/>
      <c r="H279" s="13"/>
      <c r="I279" s="14">
        <v>1.0</v>
      </c>
      <c r="J279" s="14">
        <v>1.0</v>
      </c>
      <c r="K279" s="9" t="str">
        <f>HYPERLINK("http://twitter.com/#!/download/ipad","Twitter for iPad")</f>
        <v>Twitter for iPad</v>
      </c>
      <c r="L279" s="15">
        <v>133.0</v>
      </c>
      <c r="M279" s="15">
        <v>242.0</v>
      </c>
      <c r="N279" s="15">
        <v>4.0</v>
      </c>
      <c r="O279" s="16"/>
      <c r="P279" s="17">
        <v>41541.35465277778</v>
      </c>
      <c r="Q279" s="10" t="s">
        <v>1332</v>
      </c>
      <c r="R279" s="10" t="s">
        <v>1333</v>
      </c>
      <c r="S279" s="13"/>
      <c r="T279" s="13"/>
      <c r="U279" s="18" t="str">
        <f>HYPERLINK("https://pbs.twimg.com/profile_images/1119225409873170432/vtOj97YF.jpg","View")</f>
        <v>View</v>
      </c>
      <c r="V279" s="13"/>
      <c r="W279" s="13"/>
      <c r="X279" s="13"/>
      <c r="Y279" s="13"/>
      <c r="Z279" s="13"/>
    </row>
    <row r="280">
      <c r="A280" s="8">
        <v>43848.75755787037</v>
      </c>
      <c r="B280" s="9" t="str">
        <f>HYPERLINK("https://twitter.com/flannelrainbows","@flannelrainbows")</f>
        <v>@flannelrainbows</v>
      </c>
      <c r="C280" s="10" t="s">
        <v>1334</v>
      </c>
      <c r="D280" s="10" t="s">
        <v>1335</v>
      </c>
      <c r="E280" s="9" t="str">
        <f>HYPERLINK("https://twitter.com/flannelrainbows/status/1218672133892648960","1218672133892648960")</f>
        <v>1218672133892648960</v>
      </c>
      <c r="F280" s="13"/>
      <c r="G280" s="13"/>
      <c r="H280" s="13"/>
      <c r="I280" s="14">
        <v>6.0</v>
      </c>
      <c r="J280" s="14">
        <v>16.0</v>
      </c>
      <c r="K280" s="9" t="str">
        <f>HYPERLINK("http://twitter.com/download/android","Twitter for Android")</f>
        <v>Twitter for Android</v>
      </c>
      <c r="L280" s="15">
        <v>7554.0</v>
      </c>
      <c r="M280" s="15">
        <v>6890.0</v>
      </c>
      <c r="N280" s="15">
        <v>7.0</v>
      </c>
      <c r="O280" s="16"/>
      <c r="P280" s="17">
        <v>43485.49912037037</v>
      </c>
      <c r="Q280" s="10" t="s">
        <v>1336</v>
      </c>
      <c r="R280" s="10" t="s">
        <v>1337</v>
      </c>
      <c r="S280" s="13"/>
      <c r="T280" s="13"/>
      <c r="U280" s="18" t="str">
        <f>HYPERLINK("https://pbs.twimg.com/profile_images/1216161835071574017/JD66ww9Y.jpg","View")</f>
        <v>View</v>
      </c>
      <c r="V280" s="13"/>
      <c r="W280" s="13"/>
      <c r="X280" s="13"/>
      <c r="Y280" s="13"/>
      <c r="Z280" s="13"/>
    </row>
    <row r="281">
      <c r="A281" s="8">
        <v>43848.757060185184</v>
      </c>
      <c r="B281" s="9" t="str">
        <f>HYPERLINK("https://twitter.com/jayyypace","@jayyypace")</f>
        <v>@jayyypace</v>
      </c>
      <c r="C281" s="10" t="s">
        <v>1338</v>
      </c>
      <c r="D281" s="10" t="s">
        <v>1339</v>
      </c>
      <c r="E281" s="9" t="str">
        <f>HYPERLINK("https://twitter.com/jayyypace/status/1218671954699411457","1218671954699411457")</f>
        <v>1218671954699411457</v>
      </c>
      <c r="F281" s="13"/>
      <c r="G281" s="13"/>
      <c r="H281" s="13"/>
      <c r="I281" s="14">
        <v>0.0</v>
      </c>
      <c r="J281" s="14">
        <v>0.0</v>
      </c>
      <c r="K281" s="9" t="str">
        <f>HYPERLINK("http://twitter.com/download/iphone","Twitter for iPhone")</f>
        <v>Twitter for iPhone</v>
      </c>
      <c r="L281" s="15">
        <v>34.0</v>
      </c>
      <c r="M281" s="15">
        <v>258.0</v>
      </c>
      <c r="N281" s="15">
        <v>2.0</v>
      </c>
      <c r="O281" s="16"/>
      <c r="P281" s="17">
        <v>42212.843923611115</v>
      </c>
      <c r="Q281" s="10" t="s">
        <v>1340</v>
      </c>
      <c r="R281" s="10" t="s">
        <v>1341</v>
      </c>
      <c r="S281" s="11" t="s">
        <v>1342</v>
      </c>
      <c r="T281" s="13"/>
      <c r="U281" s="18" t="str">
        <f>HYPERLINK("https://pbs.twimg.com/profile_images/1213958214066298880/SDSifGQJ.jpg","View")</f>
        <v>View</v>
      </c>
      <c r="V281" s="13"/>
      <c r="W281" s="13"/>
      <c r="X281" s="13"/>
      <c r="Y281" s="13"/>
      <c r="Z281" s="13"/>
    </row>
    <row r="282">
      <c r="A282" s="8">
        <v>43848.75559027778</v>
      </c>
      <c r="B282" s="9" t="str">
        <f>HYPERLINK("https://twitter.com/MiaLis79","@MiaLis79")</f>
        <v>@MiaLis79</v>
      </c>
      <c r="C282" s="10" t="s">
        <v>1343</v>
      </c>
      <c r="D282" s="10" t="s">
        <v>1344</v>
      </c>
      <c r="E282" s="9" t="str">
        <f>HYPERLINK("https://twitter.com/MiaLis79/status/1218671423188819968","1218671423188819968")</f>
        <v>1218671423188819968</v>
      </c>
      <c r="F282" s="13"/>
      <c r="G282" s="11" t="s">
        <v>1345</v>
      </c>
      <c r="H282" s="13"/>
      <c r="I282" s="14">
        <v>1.0</v>
      </c>
      <c r="J282" s="14">
        <v>0.0</v>
      </c>
      <c r="K282" s="9" t="str">
        <f>HYPERLINK("https://www.mytweetpack.com","myTweetPack")</f>
        <v>myTweetPack</v>
      </c>
      <c r="L282" s="15">
        <v>16902.0</v>
      </c>
      <c r="M282" s="15">
        <v>12466.0</v>
      </c>
      <c r="N282" s="15">
        <v>1642.0</v>
      </c>
      <c r="O282" s="16"/>
      <c r="P282" s="17">
        <v>39685.06575231481</v>
      </c>
      <c r="Q282" s="10" t="s">
        <v>1346</v>
      </c>
      <c r="R282" s="10" t="s">
        <v>1347</v>
      </c>
      <c r="S282" s="11" t="s">
        <v>1348</v>
      </c>
      <c r="T282" s="13"/>
      <c r="U282" s="18" t="str">
        <f>HYPERLINK("https://pbs.twimg.com/profile_images/729868043153723394/O1HlkXlX.jpg","View")</f>
        <v>View</v>
      </c>
      <c r="V282" s="13"/>
      <c r="W282" s="13"/>
      <c r="X282" s="13"/>
      <c r="Y282" s="13"/>
      <c r="Z282" s="13"/>
    </row>
    <row r="283">
      <c r="A283" s="8">
        <v>43848.75430555556</v>
      </c>
      <c r="B283" s="9" t="str">
        <f>HYPERLINK("https://twitter.com/ERGearing","@ERGearing")</f>
        <v>@ERGearing</v>
      </c>
      <c r="C283" s="10" t="s">
        <v>1349</v>
      </c>
      <c r="D283" s="10" t="s">
        <v>1350</v>
      </c>
      <c r="E283" s="9" t="str">
        <f>HYPERLINK("https://twitter.com/ERGearing/status/1218670956924850176","1218670956924850176")</f>
        <v>1218670956924850176</v>
      </c>
      <c r="F283" s="13"/>
      <c r="G283" s="11" t="s">
        <v>1351</v>
      </c>
      <c r="H283" s="13"/>
      <c r="I283" s="14">
        <v>3.0</v>
      </c>
      <c r="J283" s="14">
        <v>4.0</v>
      </c>
      <c r="K283" s="9" t="str">
        <f>HYPERLINK("https://mobile.twitter.com","Twitter Web App")</f>
        <v>Twitter Web App</v>
      </c>
      <c r="L283" s="15">
        <v>544.0</v>
      </c>
      <c r="M283" s="15">
        <v>1727.0</v>
      </c>
      <c r="N283" s="15">
        <v>12.0</v>
      </c>
      <c r="O283" s="16"/>
      <c r="P283" s="17">
        <v>41394.352384259255</v>
      </c>
      <c r="Q283" s="10" t="s">
        <v>161</v>
      </c>
      <c r="R283" s="10" t="s">
        <v>1352</v>
      </c>
      <c r="S283" s="11" t="s">
        <v>1353</v>
      </c>
      <c r="T283" s="13"/>
      <c r="U283" s="18" t="str">
        <f>HYPERLINK("https://pbs.twimg.com/profile_images/1083751872207429632/6rD0n_z8.jpg","View")</f>
        <v>View</v>
      </c>
      <c r="V283" s="13"/>
      <c r="W283" s="13"/>
      <c r="X283" s="13"/>
      <c r="Y283" s="13"/>
      <c r="Z283" s="13"/>
    </row>
    <row r="284">
      <c r="A284" s="8">
        <v>43848.75418981482</v>
      </c>
      <c r="B284" s="9" t="str">
        <f>HYPERLINK("https://twitter.com/laurenbsag","@laurenbsag")</f>
        <v>@laurenbsag</v>
      </c>
      <c r="C284" s="10" t="s">
        <v>1354</v>
      </c>
      <c r="D284" s="10" t="s">
        <v>1355</v>
      </c>
      <c r="E284" s="9" t="str">
        <f>HYPERLINK("https://twitter.com/laurenbsag/status/1218670912809160705","1218670912809160705")</f>
        <v>1218670912809160705</v>
      </c>
      <c r="F284" s="11" t="s">
        <v>270</v>
      </c>
      <c r="G284" s="11" t="s">
        <v>1356</v>
      </c>
      <c r="H284" s="13"/>
      <c r="I284" s="14">
        <v>1.0</v>
      </c>
      <c r="J284" s="14">
        <v>1.0</v>
      </c>
      <c r="K284" s="9" t="str">
        <f>HYPERLINK("https://buffer.com","Buffer")</f>
        <v>Buffer</v>
      </c>
      <c r="L284" s="15">
        <v>881.0</v>
      </c>
      <c r="M284" s="15">
        <v>145.0</v>
      </c>
      <c r="N284" s="15">
        <v>55.0</v>
      </c>
      <c r="O284" s="16"/>
      <c r="P284" s="17">
        <v>40545.01871527778</v>
      </c>
      <c r="Q284" s="10" t="s">
        <v>826</v>
      </c>
      <c r="R284" s="10" t="s">
        <v>1357</v>
      </c>
      <c r="S284" s="11" t="s">
        <v>1358</v>
      </c>
      <c r="T284" s="13"/>
      <c r="U284" s="18" t="str">
        <f>HYPERLINK("https://pbs.twimg.com/profile_images/1204473629729148928/OWydazez.jpg","View")</f>
        <v>View</v>
      </c>
      <c r="V284" s="13"/>
      <c r="W284" s="13"/>
      <c r="X284" s="13"/>
      <c r="Y284" s="13"/>
      <c r="Z284" s="13"/>
    </row>
    <row r="285">
      <c r="A285" s="8">
        <v>43848.753657407404</v>
      </c>
      <c r="B285" s="9" t="str">
        <f>HYPERLINK("https://twitter.com/FallerNichole","@FallerNichole")</f>
        <v>@FallerNichole</v>
      </c>
      <c r="C285" s="10" t="s">
        <v>1359</v>
      </c>
      <c r="D285" s="10" t="s">
        <v>1360</v>
      </c>
      <c r="E285" s="9" t="str">
        <f>HYPERLINK("https://twitter.com/FallerNichole/status/1218670721959743488","1218670721959743488")</f>
        <v>1218670721959743488</v>
      </c>
      <c r="F285" s="13"/>
      <c r="G285" s="13"/>
      <c r="H285" s="13"/>
      <c r="I285" s="14">
        <v>1.0</v>
      </c>
      <c r="J285" s="14">
        <v>0.0</v>
      </c>
      <c r="K285" s="9" t="str">
        <f>HYPERLINK("http://twitter.com/download/android","Twitter for Android")</f>
        <v>Twitter for Android</v>
      </c>
      <c r="L285" s="15">
        <v>114.0</v>
      </c>
      <c r="M285" s="15">
        <v>274.0</v>
      </c>
      <c r="N285" s="15">
        <v>0.0</v>
      </c>
      <c r="O285" s="16"/>
      <c r="P285" s="17">
        <v>43394.95297453704</v>
      </c>
      <c r="Q285" s="10" t="s">
        <v>1361</v>
      </c>
      <c r="R285" s="10" t="s">
        <v>1362</v>
      </c>
      <c r="S285" s="13"/>
      <c r="T285" s="13"/>
      <c r="U285" s="18" t="str">
        <f>HYPERLINK("https://pbs.twimg.com/profile_images/1198991092743409664/eKQzXTq_.jpg","View")</f>
        <v>View</v>
      </c>
      <c r="V285" s="13"/>
      <c r="W285" s="13"/>
      <c r="X285" s="13"/>
      <c r="Y285" s="13"/>
      <c r="Z285" s="13"/>
    </row>
    <row r="286">
      <c r="A286" s="8">
        <v>43848.75355324074</v>
      </c>
      <c r="B286" s="9" t="str">
        <f>HYPERLINK("https://twitter.com/RealCoachArnie","@RealCoachArnie")</f>
        <v>@RealCoachArnie</v>
      </c>
      <c r="C286" s="10" t="s">
        <v>790</v>
      </c>
      <c r="D286" s="10" t="s">
        <v>1363</v>
      </c>
      <c r="E286" s="9" t="str">
        <f>HYPERLINK("https://twitter.com/RealCoachArnie/status/1218670685049868289","1218670685049868289")</f>
        <v>1218670685049868289</v>
      </c>
      <c r="F286" s="13"/>
      <c r="G286" s="13"/>
      <c r="H286" s="13"/>
      <c r="I286" s="14">
        <v>0.0</v>
      </c>
      <c r="J286" s="14">
        <v>0.0</v>
      </c>
      <c r="K286" s="9" t="str">
        <f>HYPERLINK("http://twitter.com/download/iphone","Twitter for iPhone")</f>
        <v>Twitter for iPhone</v>
      </c>
      <c r="L286" s="15">
        <v>1397.0</v>
      </c>
      <c r="M286" s="15">
        <v>2097.0</v>
      </c>
      <c r="N286" s="15">
        <v>11.0</v>
      </c>
      <c r="O286" s="16"/>
      <c r="P286" s="17">
        <v>41075.58196759259</v>
      </c>
      <c r="Q286" s="10" t="s">
        <v>792</v>
      </c>
      <c r="R286" s="10" t="s">
        <v>793</v>
      </c>
      <c r="S286" s="11" t="s">
        <v>794</v>
      </c>
      <c r="T286" s="13"/>
      <c r="U286" s="18" t="str">
        <f>HYPERLINK("https://pbs.twimg.com/profile_images/1179206494446747653/PR6-8HMY.jpg","View")</f>
        <v>View</v>
      </c>
      <c r="V286" s="13"/>
      <c r="W286" s="13"/>
      <c r="X286" s="13"/>
      <c r="Y286" s="13"/>
      <c r="Z286" s="13"/>
    </row>
    <row r="287">
      <c r="A287" s="8">
        <v>43848.75347222222</v>
      </c>
      <c r="B287" s="9" t="str">
        <f>HYPERLINK("https://twitter.com/JPBrown5","@JPBrown5")</f>
        <v>@JPBrown5</v>
      </c>
      <c r="C287" s="10" t="s">
        <v>1364</v>
      </c>
      <c r="D287" s="10" t="s">
        <v>1365</v>
      </c>
      <c r="E287" s="9" t="str">
        <f>HYPERLINK("https://twitter.com/JPBrown5/status/1218670655526313984","1218670655526313984")</f>
        <v>1218670655526313984</v>
      </c>
      <c r="F287" s="11" t="s">
        <v>1366</v>
      </c>
      <c r="G287" s="13"/>
      <c r="H287" s="13"/>
      <c r="I287" s="14">
        <v>2.0</v>
      </c>
      <c r="J287" s="14">
        <v>13.0</v>
      </c>
      <c r="K287" s="9" t="str">
        <f>HYPERLINK("http://www.getrevue.co","Revue")</f>
        <v>Revue</v>
      </c>
      <c r="L287" s="15">
        <v>28522.0</v>
      </c>
      <c r="M287" s="15">
        <v>26101.0</v>
      </c>
      <c r="N287" s="15">
        <v>222.0</v>
      </c>
      <c r="O287" s="16"/>
      <c r="P287" s="17">
        <v>39707.93163194445</v>
      </c>
      <c r="Q287" s="10" t="s">
        <v>1367</v>
      </c>
      <c r="R287" s="10" t="s">
        <v>1368</v>
      </c>
      <c r="S287" s="11" t="s">
        <v>1369</v>
      </c>
      <c r="T287" s="13"/>
      <c r="U287" s="18" t="str">
        <f>HYPERLINK("https://pbs.twimg.com/profile_images/922806990602153984/CW3aVdVL.jpg","View")</f>
        <v>View</v>
      </c>
      <c r="V287" s="13"/>
      <c r="W287" s="13"/>
      <c r="X287" s="13"/>
      <c r="Y287" s="13"/>
      <c r="Z287" s="13"/>
    </row>
    <row r="288">
      <c r="A288" s="8">
        <v>43848.75305555556</v>
      </c>
      <c r="B288" s="9" t="str">
        <f>HYPERLINK("https://twitter.com/genet_screwed","@genet_screwed")</f>
        <v>@genet_screwed</v>
      </c>
      <c r="C288" s="10" t="s">
        <v>1370</v>
      </c>
      <c r="D288" s="10" t="s">
        <v>1371</v>
      </c>
      <c r="E288" s="9" t="str">
        <f>HYPERLINK("https://twitter.com/genet_screwed/status/1218670504153944064","1218670504153944064")</f>
        <v>1218670504153944064</v>
      </c>
      <c r="F288" s="13"/>
      <c r="G288" s="13"/>
      <c r="H288" s="13"/>
      <c r="I288" s="14">
        <v>0.0</v>
      </c>
      <c r="J288" s="14">
        <v>0.0</v>
      </c>
      <c r="K288" s="9" t="str">
        <f>HYPERLINK("http://twitter.com/download/android","Twitter for Android")</f>
        <v>Twitter for Android</v>
      </c>
      <c r="L288" s="15">
        <v>137.0</v>
      </c>
      <c r="M288" s="15">
        <v>479.0</v>
      </c>
      <c r="N288" s="15">
        <v>1.0</v>
      </c>
      <c r="O288" s="16"/>
      <c r="P288" s="17">
        <v>43124.348645833335</v>
      </c>
      <c r="Q288" s="10" t="s">
        <v>1372</v>
      </c>
      <c r="R288" s="10" t="s">
        <v>1373</v>
      </c>
      <c r="S288" s="13"/>
      <c r="T288" s="13"/>
      <c r="U288" s="18" t="str">
        <f>HYPERLINK("https://pbs.twimg.com/profile_images/1218375619207143424/rKxa_S8O.jpg","View")</f>
        <v>View</v>
      </c>
      <c r="V288" s="13"/>
      <c r="W288" s="13"/>
      <c r="X288" s="13"/>
      <c r="Y288" s="13"/>
      <c r="Z288" s="13"/>
    </row>
    <row r="289">
      <c r="A289" s="8">
        <v>43848.75259259259</v>
      </c>
      <c r="B289" s="9" t="str">
        <f>HYPERLINK("https://twitter.com/eye_weather","@eye_weather")</f>
        <v>@eye_weather</v>
      </c>
      <c r="C289" s="10" t="s">
        <v>1374</v>
      </c>
      <c r="D289" s="10" t="s">
        <v>1375</v>
      </c>
      <c r="E289" s="9" t="str">
        <f>HYPERLINK("https://twitter.com/eye_weather/status/1218670334393618434","1218670334393618434")</f>
        <v>1218670334393618434</v>
      </c>
      <c r="F289" s="11" t="s">
        <v>1376</v>
      </c>
      <c r="G289" s="13"/>
      <c r="H289" s="13"/>
      <c r="I289" s="14">
        <v>3.0</v>
      </c>
      <c r="J289" s="14">
        <v>1.0</v>
      </c>
      <c r="K289" s="9" t="str">
        <f>HYPERLINK("http://twitter.com/download/iphone","Twitter for iPhone")</f>
        <v>Twitter for iPhone</v>
      </c>
      <c r="L289" s="15">
        <v>169.0</v>
      </c>
      <c r="M289" s="15">
        <v>821.0</v>
      </c>
      <c r="N289" s="15">
        <v>0.0</v>
      </c>
      <c r="O289" s="16"/>
      <c r="P289" s="17">
        <v>42844.280231481476</v>
      </c>
      <c r="Q289" s="10" t="s">
        <v>1377</v>
      </c>
      <c r="R289" s="10" t="s">
        <v>1378</v>
      </c>
      <c r="S289" s="13"/>
      <c r="T289" s="13"/>
      <c r="U289" s="18" t="str">
        <f>HYPERLINK("https://pbs.twimg.com/profile_images/1172869994964799488/geFFXIvh.jpg","View")</f>
        <v>View</v>
      </c>
      <c r="V289" s="13"/>
      <c r="W289" s="13"/>
      <c r="X289" s="13"/>
      <c r="Y289" s="13"/>
      <c r="Z289" s="13"/>
    </row>
    <row r="290">
      <c r="A290" s="8">
        <v>43848.75197916667</v>
      </c>
      <c r="B290" s="9" t="str">
        <f>HYPERLINK("https://twitter.com/Cosblas","@Cosblas")</f>
        <v>@Cosblas</v>
      </c>
      <c r="C290" s="10" t="s">
        <v>1379</v>
      </c>
      <c r="D290" s="10" t="s">
        <v>1380</v>
      </c>
      <c r="E290" s="9" t="str">
        <f>HYPERLINK("https://twitter.com/Cosblas/status/1218670113697779715","1218670113697779715")</f>
        <v>1218670113697779715</v>
      </c>
      <c r="F290" s="11" t="s">
        <v>1381</v>
      </c>
      <c r="G290" s="13"/>
      <c r="H290" s="13"/>
      <c r="I290" s="14">
        <v>0.0</v>
      </c>
      <c r="J290" s="14">
        <v>1.0</v>
      </c>
      <c r="K290" s="9" t="str">
        <f>HYPERLINK("http://www.linkedin.com/","LinkedIn")</f>
        <v>LinkedIn</v>
      </c>
      <c r="L290" s="15">
        <v>414.0</v>
      </c>
      <c r="M290" s="15">
        <v>475.0</v>
      </c>
      <c r="N290" s="15">
        <v>3.0</v>
      </c>
      <c r="O290" s="16"/>
      <c r="P290" s="17">
        <v>40931.14560185185</v>
      </c>
      <c r="Q290" s="10" t="s">
        <v>1382</v>
      </c>
      <c r="R290" s="10" t="s">
        <v>1383</v>
      </c>
      <c r="S290" s="11" t="s">
        <v>1384</v>
      </c>
      <c r="T290" s="13"/>
      <c r="U290" s="18" t="str">
        <f>HYPERLINK("https://pbs.twimg.com/profile_images/1120005637583310849/LxezsA8u.jpg","View")</f>
        <v>View</v>
      </c>
      <c r="V290" s="13"/>
      <c r="W290" s="13"/>
      <c r="X290" s="13"/>
      <c r="Y290" s="13"/>
      <c r="Z290" s="13"/>
    </row>
    <row r="291">
      <c r="A291" s="8">
        <v>43848.75159722222</v>
      </c>
      <c r="B291" s="9" t="str">
        <f>HYPERLINK("https://twitter.com/ReverePhotos","@ReverePhotos")</f>
        <v>@ReverePhotos</v>
      </c>
      <c r="C291" s="10" t="s">
        <v>1385</v>
      </c>
      <c r="D291" s="10" t="s">
        <v>1386</v>
      </c>
      <c r="E291" s="9" t="str">
        <f>HYPERLINK("https://twitter.com/ReverePhotos/status/1218669973905772545","1218669973905772545")</f>
        <v>1218669973905772545</v>
      </c>
      <c r="F291" s="11" t="s">
        <v>1387</v>
      </c>
      <c r="G291" s="11" t="s">
        <v>1388</v>
      </c>
      <c r="H291" s="13"/>
      <c r="I291" s="14">
        <v>0.0</v>
      </c>
      <c r="J291" s="14">
        <v>1.0</v>
      </c>
      <c r="K291" s="9" t="str">
        <f>HYPERLINK("http://www.etsy.com","Etsy")</f>
        <v>Etsy</v>
      </c>
      <c r="L291" s="15">
        <v>7.0</v>
      </c>
      <c r="M291" s="15">
        <v>18.0</v>
      </c>
      <c r="N291" s="15">
        <v>0.0</v>
      </c>
      <c r="O291" s="16"/>
      <c r="P291" s="17">
        <v>42596.679143518515</v>
      </c>
      <c r="Q291" s="13"/>
      <c r="R291" s="10" t="s">
        <v>1389</v>
      </c>
      <c r="S291" s="11" t="s">
        <v>1390</v>
      </c>
      <c r="T291" s="13"/>
      <c r="U291" s="18" t="str">
        <f>HYPERLINK("https://pbs.twimg.com/profile_images/815752396043325440/kPHpqI3y.jpg","View")</f>
        <v>View</v>
      </c>
      <c r="V291" s="13"/>
      <c r="W291" s="13"/>
      <c r="X291" s="13"/>
      <c r="Y291" s="13"/>
      <c r="Z291" s="13"/>
    </row>
    <row r="292">
      <c r="A292" s="8">
        <v>43848.75159722222</v>
      </c>
      <c r="B292" s="9" t="str">
        <f>HYPERLINK("https://twitter.com/shattered2386","@shattered2386")</f>
        <v>@shattered2386</v>
      </c>
      <c r="C292" s="10" t="s">
        <v>1391</v>
      </c>
      <c r="D292" s="10" t="s">
        <v>1392</v>
      </c>
      <c r="E292" s="9" t="str">
        <f>HYPERLINK("https://twitter.com/shattered2386/status/1218669973826084866","1218669973826084866")</f>
        <v>1218669973826084866</v>
      </c>
      <c r="F292" s="13"/>
      <c r="G292" s="11" t="s">
        <v>1393</v>
      </c>
      <c r="H292" s="13"/>
      <c r="I292" s="14">
        <v>0.0</v>
      </c>
      <c r="J292" s="14">
        <v>2.0</v>
      </c>
      <c r="K292" s="9" t="str">
        <f>HYPERLINK("http://twitter.com/download/android","Twitter for Android")</f>
        <v>Twitter for Android</v>
      </c>
      <c r="L292" s="15">
        <v>17.0</v>
      </c>
      <c r="M292" s="15">
        <v>40.0</v>
      </c>
      <c r="N292" s="15">
        <v>0.0</v>
      </c>
      <c r="O292" s="16"/>
      <c r="P292" s="17">
        <v>43692.600011574075</v>
      </c>
      <c r="Q292" s="13"/>
      <c r="R292" s="10" t="s">
        <v>1394</v>
      </c>
      <c r="S292" s="13"/>
      <c r="T292" s="13"/>
      <c r="U292" s="18" t="str">
        <f>HYPERLINK("https://pbs.twimg.com/profile_images/1162068159056240641/OV62CzBX.jpg","View")</f>
        <v>View</v>
      </c>
      <c r="V292" s="13"/>
      <c r="W292" s="13"/>
      <c r="X292" s="13"/>
      <c r="Y292" s="13"/>
      <c r="Z292" s="13"/>
    </row>
    <row r="293">
      <c r="A293" s="8">
        <v>43848.751446759255</v>
      </c>
      <c r="B293" s="9" t="str">
        <f>HYPERLINK("https://twitter.com/NavigateCare","@NavigateCare")</f>
        <v>@NavigateCare</v>
      </c>
      <c r="C293" s="10" t="s">
        <v>1395</v>
      </c>
      <c r="D293" s="10" t="s">
        <v>1396</v>
      </c>
      <c r="E293" s="9" t="str">
        <f>HYPERLINK("https://twitter.com/NavigateCare/status/1218669919467794434","1218669919467794434")</f>
        <v>1218669919467794434</v>
      </c>
      <c r="F293" s="11" t="s">
        <v>1397</v>
      </c>
      <c r="G293" s="13"/>
      <c r="H293" s="13"/>
      <c r="I293" s="14">
        <v>0.0</v>
      </c>
      <c r="J293" s="14">
        <v>0.0</v>
      </c>
      <c r="K293" s="9" t="str">
        <f t="shared" ref="K293:K295" si="39">HYPERLINK("http://twitter.com/download/iphone","Twitter for iPhone")</f>
        <v>Twitter for iPhone</v>
      </c>
      <c r="L293" s="15">
        <v>357.0</v>
      </c>
      <c r="M293" s="15">
        <v>1231.0</v>
      </c>
      <c r="N293" s="15">
        <v>3.0</v>
      </c>
      <c r="O293" s="16"/>
      <c r="P293" s="17">
        <v>41408.73762731481</v>
      </c>
      <c r="Q293" s="10" t="s">
        <v>1398</v>
      </c>
      <c r="R293" s="10" t="s">
        <v>1399</v>
      </c>
      <c r="S293" s="11" t="s">
        <v>1400</v>
      </c>
      <c r="T293" s="13"/>
      <c r="U293" s="18" t="str">
        <f>HYPERLINK("https://pbs.twimg.com/profile_images/3660059702/4a9114f0679f64e0ec7635bdb81386a4.jpeg","View")</f>
        <v>View</v>
      </c>
      <c r="V293" s="13"/>
      <c r="W293" s="13"/>
      <c r="X293" s="13"/>
      <c r="Y293" s="13"/>
      <c r="Z293" s="13"/>
    </row>
    <row r="294">
      <c r="A294" s="8">
        <v>43848.75136574074</v>
      </c>
      <c r="B294" s="9" t="str">
        <f>HYPERLINK("https://twitter.com/CommonSense_MH","@CommonSense_MH")</f>
        <v>@CommonSense_MH</v>
      </c>
      <c r="C294" s="10" t="s">
        <v>1401</v>
      </c>
      <c r="D294" s="10" t="s">
        <v>1402</v>
      </c>
      <c r="E294" s="9" t="str">
        <f>HYPERLINK("https://twitter.com/CommonSense_MH/status/1218669890703368192","1218669890703368192")</f>
        <v>1218669890703368192</v>
      </c>
      <c r="F294" s="13"/>
      <c r="G294" s="11" t="s">
        <v>1403</v>
      </c>
      <c r="H294" s="13"/>
      <c r="I294" s="14">
        <v>0.0</v>
      </c>
      <c r="J294" s="14">
        <v>0.0</v>
      </c>
      <c r="K294" s="9" t="str">
        <f t="shared" si="39"/>
        <v>Twitter for iPhone</v>
      </c>
      <c r="L294" s="15">
        <v>358.0</v>
      </c>
      <c r="M294" s="15">
        <v>395.0</v>
      </c>
      <c r="N294" s="15">
        <v>0.0</v>
      </c>
      <c r="O294" s="16"/>
      <c r="P294" s="17">
        <v>43317.458599537036</v>
      </c>
      <c r="Q294" s="10" t="s">
        <v>1404</v>
      </c>
      <c r="R294" s="10" t="s">
        <v>1405</v>
      </c>
      <c r="S294" s="11" t="s">
        <v>1406</v>
      </c>
      <c r="T294" s="13"/>
      <c r="U294" s="18" t="str">
        <f>HYPERLINK("https://pbs.twimg.com/profile_images/1196612574764306432/tnXuQ-HC.jpg","View")</f>
        <v>View</v>
      </c>
      <c r="V294" s="13"/>
      <c r="W294" s="13"/>
      <c r="X294" s="13"/>
      <c r="Y294" s="13"/>
      <c r="Z294" s="13"/>
    </row>
    <row r="295">
      <c r="A295" s="8">
        <v>43848.75134259259</v>
      </c>
      <c r="B295" s="9" t="str">
        <f>HYPERLINK("https://twitter.com/kleinruth1","@kleinruth1")</f>
        <v>@kleinruth1</v>
      </c>
      <c r="C295" s="10" t="s">
        <v>1407</v>
      </c>
      <c r="D295" s="10" t="s">
        <v>1408</v>
      </c>
      <c r="E295" s="9" t="str">
        <f>HYPERLINK("https://twitter.com/kleinruth1/status/1218669882151178241","1218669882151178241")</f>
        <v>1218669882151178241</v>
      </c>
      <c r="F295" s="10" t="s">
        <v>1409</v>
      </c>
      <c r="G295" s="11" t="s">
        <v>1410</v>
      </c>
      <c r="H295" s="13"/>
      <c r="I295" s="14">
        <v>0.0</v>
      </c>
      <c r="J295" s="14">
        <v>0.0</v>
      </c>
      <c r="K295" s="9" t="str">
        <f t="shared" si="39"/>
        <v>Twitter for iPhone</v>
      </c>
      <c r="L295" s="15">
        <v>33.0</v>
      </c>
      <c r="M295" s="15">
        <v>94.0</v>
      </c>
      <c r="N295" s="15">
        <v>1.0</v>
      </c>
      <c r="O295" s="16"/>
      <c r="P295" s="17">
        <v>41468.0093287037</v>
      </c>
      <c r="Q295" s="10" t="s">
        <v>1411</v>
      </c>
      <c r="R295" s="10" t="s">
        <v>1412</v>
      </c>
      <c r="S295" s="11" t="s">
        <v>1413</v>
      </c>
      <c r="T295" s="13"/>
      <c r="U295" s="18" t="str">
        <f>HYPERLINK("https://pbs.twimg.com/profile_images/906307600957923329/yPPklT-l.jpg","View")</f>
        <v>View</v>
      </c>
      <c r="V295" s="13"/>
      <c r="W295" s="13"/>
      <c r="X295" s="13"/>
      <c r="Y295" s="13"/>
      <c r="Z295" s="13"/>
    </row>
    <row r="296">
      <c r="A296" s="8">
        <v>43848.75087962963</v>
      </c>
      <c r="B296" s="9" t="str">
        <f>HYPERLINK("https://twitter.com/ShehanneMoore","@ShehanneMoore")</f>
        <v>@ShehanneMoore</v>
      </c>
      <c r="C296" s="10" t="s">
        <v>1414</v>
      </c>
      <c r="D296" s="10" t="s">
        <v>1415</v>
      </c>
      <c r="E296" s="9" t="str">
        <f>HYPERLINK("https://twitter.com/ShehanneMoore/status/1218669714089684993","1218669714089684993")</f>
        <v>1218669714089684993</v>
      </c>
      <c r="F296" s="11" t="s">
        <v>1416</v>
      </c>
      <c r="G296" s="13"/>
      <c r="H296" s="13"/>
      <c r="I296" s="14">
        <v>2.0</v>
      </c>
      <c r="J296" s="14">
        <v>2.0</v>
      </c>
      <c r="K296" s="9" t="str">
        <f>HYPERLINK("http://twitter.com","Twitter Web Client")</f>
        <v>Twitter Web Client</v>
      </c>
      <c r="L296" s="15">
        <v>10036.0</v>
      </c>
      <c r="M296" s="15">
        <v>9036.0</v>
      </c>
      <c r="N296" s="15">
        <v>292.0</v>
      </c>
      <c r="O296" s="16"/>
      <c r="P296" s="17">
        <v>41117.283680555556</v>
      </c>
      <c r="Q296" s="10" t="s">
        <v>1417</v>
      </c>
      <c r="R296" s="10" t="s">
        <v>1418</v>
      </c>
      <c r="S296" s="11" t="s">
        <v>1419</v>
      </c>
      <c r="T296" s="13"/>
      <c r="U296" s="18" t="str">
        <f>HYPERLINK("https://pbs.twimg.com/profile_images/691036123196432385/hvSMjKQR.png","View")</f>
        <v>View</v>
      </c>
      <c r="V296" s="13"/>
      <c r="W296" s="13"/>
      <c r="X296" s="13"/>
      <c r="Y296" s="13"/>
      <c r="Z296" s="13"/>
    </row>
    <row r="297">
      <c r="A297" s="8">
        <v>43848.75068287037</v>
      </c>
      <c r="B297" s="9" t="str">
        <f>HYPERLINK("https://twitter.com/talk2lauren","@talk2lauren")</f>
        <v>@talk2lauren</v>
      </c>
      <c r="C297" s="10" t="s">
        <v>1420</v>
      </c>
      <c r="D297" s="10" t="s">
        <v>1421</v>
      </c>
      <c r="E297" s="9" t="str">
        <f>HYPERLINK("https://twitter.com/talk2lauren/status/1218669645114331139","1218669645114331139")</f>
        <v>1218669645114331139</v>
      </c>
      <c r="F297" s="13"/>
      <c r="G297" s="11" t="s">
        <v>1422</v>
      </c>
      <c r="H297" s="13"/>
      <c r="I297" s="14">
        <v>0.0</v>
      </c>
      <c r="J297" s="14">
        <v>0.0</v>
      </c>
      <c r="K297" s="9" t="str">
        <f>HYPERLINK("https://www.later.com","LaterMedia")</f>
        <v>LaterMedia</v>
      </c>
      <c r="L297" s="15">
        <v>21.0</v>
      </c>
      <c r="M297" s="15">
        <v>22.0</v>
      </c>
      <c r="N297" s="15">
        <v>0.0</v>
      </c>
      <c r="O297" s="16"/>
      <c r="P297" s="17">
        <v>43780.329780092594</v>
      </c>
      <c r="Q297" s="10" t="s">
        <v>1423</v>
      </c>
      <c r="R297" s="10" t="s">
        <v>1424</v>
      </c>
      <c r="S297" s="11" t="s">
        <v>1425</v>
      </c>
      <c r="T297" s="13"/>
      <c r="U297" s="18" t="str">
        <f>HYPERLINK("https://pbs.twimg.com/profile_images/1197296201957163008/xNA2L0B6.jpg","View")</f>
        <v>View</v>
      </c>
      <c r="V297" s="13"/>
      <c r="W297" s="13"/>
      <c r="X297" s="13"/>
      <c r="Y297" s="13"/>
      <c r="Z297" s="13"/>
    </row>
    <row r="298">
      <c r="A298" s="8">
        <v>43848.75050925926</v>
      </c>
      <c r="B298" s="9" t="str">
        <f>HYPERLINK("https://twitter.com/MattBodnar","@MattBodnar")</f>
        <v>@MattBodnar</v>
      </c>
      <c r="C298" s="10" t="s">
        <v>1426</v>
      </c>
      <c r="D298" s="10" t="s">
        <v>1427</v>
      </c>
      <c r="E298" s="9" t="str">
        <f>HYPERLINK("https://twitter.com/MattBodnar/status/1218669580043870208","1218669580043870208")</f>
        <v>1218669580043870208</v>
      </c>
      <c r="F298" s="11" t="s">
        <v>1428</v>
      </c>
      <c r="G298" s="11" t="s">
        <v>1429</v>
      </c>
      <c r="H298" s="13"/>
      <c r="I298" s="14">
        <v>0.0</v>
      </c>
      <c r="J298" s="14">
        <v>0.0</v>
      </c>
      <c r="K298" s="9" t="str">
        <f>HYPERLINK("https://www.socialjukebox.com","The Social Jukebox")</f>
        <v>The Social Jukebox</v>
      </c>
      <c r="L298" s="15">
        <v>15144.0</v>
      </c>
      <c r="M298" s="15">
        <v>2418.0</v>
      </c>
      <c r="N298" s="15">
        <v>311.0</v>
      </c>
      <c r="O298" s="16"/>
      <c r="P298" s="17">
        <v>40430.926354166666</v>
      </c>
      <c r="Q298" s="10" t="s">
        <v>1430</v>
      </c>
      <c r="R298" s="10" t="s">
        <v>1431</v>
      </c>
      <c r="S298" s="11" t="s">
        <v>1432</v>
      </c>
      <c r="T298" s="13"/>
      <c r="U298" s="18" t="str">
        <f>HYPERLINK("https://pbs.twimg.com/profile_images/1164538414013779973/-mgK_X6L.jpg","View")</f>
        <v>View</v>
      </c>
      <c r="V298" s="13"/>
      <c r="W298" s="13"/>
      <c r="X298" s="13"/>
      <c r="Y298" s="13"/>
      <c r="Z298" s="13"/>
    </row>
    <row r="299">
      <c r="A299" s="8">
        <v>43848.75050925926</v>
      </c>
      <c r="B299" s="9" t="str">
        <f>HYPERLINK("https://twitter.com/arttherapyproj","@arttherapyproj")</f>
        <v>@arttherapyproj</v>
      </c>
      <c r="C299" s="10" t="s">
        <v>1433</v>
      </c>
      <c r="D299" s="10" t="s">
        <v>1434</v>
      </c>
      <c r="E299" s="9" t="str">
        <f>HYPERLINK("https://twitter.com/arttherapyproj/status/1218669579821617152","1218669579821617152")</f>
        <v>1218669579821617152</v>
      </c>
      <c r="F299" s="11" t="s">
        <v>1435</v>
      </c>
      <c r="G299" s="13"/>
      <c r="H299" s="13"/>
      <c r="I299" s="14">
        <v>0.0</v>
      </c>
      <c r="J299" s="14">
        <v>0.0</v>
      </c>
      <c r="K299" s="9" t="str">
        <f t="shared" ref="K299:K301" si="40">HYPERLINK("https://www.hootsuite.com","Hootsuite Inc.")</f>
        <v>Hootsuite Inc.</v>
      </c>
      <c r="L299" s="15">
        <v>1573.0</v>
      </c>
      <c r="M299" s="15">
        <v>321.0</v>
      </c>
      <c r="N299" s="15">
        <v>120.0</v>
      </c>
      <c r="O299" s="16"/>
      <c r="P299" s="17">
        <v>40855.44755787037</v>
      </c>
      <c r="Q299" s="10" t="s">
        <v>1436</v>
      </c>
      <c r="R299" s="10" t="s">
        <v>1437</v>
      </c>
      <c r="S299" s="11" t="s">
        <v>1438</v>
      </c>
      <c r="T299" s="13"/>
      <c r="U299" s="18" t="str">
        <f>HYPERLINK("https://pbs.twimg.com/profile_images/790932370136457217/ca6UnaF7.jpg","View")</f>
        <v>View</v>
      </c>
      <c r="V299" s="13"/>
      <c r="W299" s="13"/>
      <c r="X299" s="13"/>
      <c r="Y299" s="13"/>
      <c r="Z299" s="13"/>
    </row>
    <row r="300">
      <c r="A300" s="8">
        <v>43848.75046296296</v>
      </c>
      <c r="B300" s="9" t="str">
        <f>HYPERLINK("https://twitter.com/Mind_Mosaic_16","@Mind_Mosaic_16")</f>
        <v>@Mind_Mosaic_16</v>
      </c>
      <c r="C300" s="10" t="s">
        <v>1439</v>
      </c>
      <c r="D300" s="10" t="s">
        <v>1440</v>
      </c>
      <c r="E300" s="9" t="str">
        <f>HYPERLINK("https://twitter.com/Mind_Mosaic_16/status/1218669564277526533","1218669564277526533")</f>
        <v>1218669564277526533</v>
      </c>
      <c r="F300" s="13"/>
      <c r="G300" s="11" t="s">
        <v>1441</v>
      </c>
      <c r="H300" s="13"/>
      <c r="I300" s="14">
        <v>7.0</v>
      </c>
      <c r="J300" s="14">
        <v>5.0</v>
      </c>
      <c r="K300" s="9" t="str">
        <f t="shared" si="40"/>
        <v>Hootsuite Inc.</v>
      </c>
      <c r="L300" s="15">
        <v>230.0</v>
      </c>
      <c r="M300" s="15">
        <v>108.0</v>
      </c>
      <c r="N300" s="15">
        <v>1.0</v>
      </c>
      <c r="O300" s="16"/>
      <c r="P300" s="17">
        <v>42654.619305555556</v>
      </c>
      <c r="Q300" s="10" t="s">
        <v>1442</v>
      </c>
      <c r="R300" s="10" t="s">
        <v>1443</v>
      </c>
      <c r="S300" s="11" t="s">
        <v>1444</v>
      </c>
      <c r="T300" s="13"/>
      <c r="U300" s="18" t="str">
        <f>HYPERLINK("https://pbs.twimg.com/profile_images/1058341515502764032/MSc7-rJh.jpg","View")</f>
        <v>View</v>
      </c>
      <c r="V300" s="13"/>
      <c r="W300" s="13"/>
      <c r="X300" s="13"/>
      <c r="Y300" s="13"/>
      <c r="Z300" s="13"/>
    </row>
    <row r="301">
      <c r="A301" s="8">
        <v>43848.7503587963</v>
      </c>
      <c r="B301" s="9" t="str">
        <f>HYPERLINK("https://twitter.com/BYUPathwayWorld","@BYUPathwayWorld")</f>
        <v>@BYUPathwayWorld</v>
      </c>
      <c r="C301" s="10" t="s">
        <v>1445</v>
      </c>
      <c r="D301" s="10" t="s">
        <v>1446</v>
      </c>
      <c r="E301" s="9" t="str">
        <f>HYPERLINK("https://twitter.com/BYUPathwayWorld/status/1218669527921238021","1218669527921238021")</f>
        <v>1218669527921238021</v>
      </c>
      <c r="F301" s="13"/>
      <c r="G301" s="11" t="s">
        <v>1447</v>
      </c>
      <c r="H301" s="13"/>
      <c r="I301" s="14">
        <v>2.0</v>
      </c>
      <c r="J301" s="14">
        <v>1.0</v>
      </c>
      <c r="K301" s="9" t="str">
        <f t="shared" si="40"/>
        <v>Hootsuite Inc.</v>
      </c>
      <c r="L301" s="15">
        <v>3357.0</v>
      </c>
      <c r="M301" s="15">
        <v>32.0</v>
      </c>
      <c r="N301" s="15">
        <v>30.0</v>
      </c>
      <c r="O301" s="16"/>
      <c r="P301" s="17">
        <v>40093.06726851852</v>
      </c>
      <c r="Q301" s="10" t="s">
        <v>1448</v>
      </c>
      <c r="R301" s="10" t="s">
        <v>1449</v>
      </c>
      <c r="S301" s="11" t="s">
        <v>1450</v>
      </c>
      <c r="T301" s="13"/>
      <c r="U301" s="18" t="str">
        <f>HYPERLINK("https://pbs.twimg.com/profile_images/958487326451163141/TgxroVxq.jpg","View")</f>
        <v>View</v>
      </c>
      <c r="V301" s="13"/>
      <c r="W301" s="13"/>
      <c r="X301" s="13"/>
      <c r="Y301" s="13"/>
      <c r="Z301" s="13"/>
    </row>
    <row r="302">
      <c r="A302" s="8">
        <v>43848.75030092592</v>
      </c>
      <c r="B302" s="9" t="str">
        <f>HYPERLINK("https://twitter.com/Kit_Novak","@Kit_Novak")</f>
        <v>@Kit_Novak</v>
      </c>
      <c r="C302" s="10" t="s">
        <v>1451</v>
      </c>
      <c r="D302" s="10" t="s">
        <v>1452</v>
      </c>
      <c r="E302" s="9" t="str">
        <f>HYPERLINK("https://twitter.com/Kit_Novak/status/1218669504173047815","1218669504173047815")</f>
        <v>1218669504173047815</v>
      </c>
      <c r="F302" s="11" t="s">
        <v>1453</v>
      </c>
      <c r="G302" s="13"/>
      <c r="H302" s="13"/>
      <c r="I302" s="14">
        <v>0.0</v>
      </c>
      <c r="J302" s="14">
        <v>0.0</v>
      </c>
      <c r="K302" s="9" t="str">
        <f>HYPERLINK("https://mobile.twitter.com","Twitter Web App")</f>
        <v>Twitter Web App</v>
      </c>
      <c r="L302" s="15">
        <v>441.0</v>
      </c>
      <c r="M302" s="15">
        <v>599.0</v>
      </c>
      <c r="N302" s="15">
        <v>7.0</v>
      </c>
      <c r="O302" s="16"/>
      <c r="P302" s="17">
        <v>40855.646840277775</v>
      </c>
      <c r="Q302" s="10" t="s">
        <v>1454</v>
      </c>
      <c r="R302" s="10" t="s">
        <v>1455</v>
      </c>
      <c r="S302" s="11" t="s">
        <v>1456</v>
      </c>
      <c r="T302" s="13"/>
      <c r="U302" s="18" t="str">
        <f>HYPERLINK("https://pbs.twimg.com/profile_images/1205578805215186944/D_mHF7MC.jpg","View")</f>
        <v>View</v>
      </c>
      <c r="V302" s="13"/>
      <c r="W302" s="13"/>
      <c r="X302" s="13"/>
      <c r="Y302" s="13"/>
      <c r="Z302" s="13"/>
    </row>
    <row r="303">
      <c r="A303" s="8">
        <v>43848.75009259259</v>
      </c>
      <c r="B303" s="9" t="str">
        <f>HYPERLINK("https://twitter.com/HealthyPlace","@HealthyPlace")</f>
        <v>@HealthyPlace</v>
      </c>
      <c r="C303" s="10" t="s">
        <v>1457</v>
      </c>
      <c r="D303" s="10" t="s">
        <v>1458</v>
      </c>
      <c r="E303" s="9" t="str">
        <f>HYPERLINK("https://twitter.com/HealthyPlace/status/1218669431867441153","1218669431867441153")</f>
        <v>1218669431867441153</v>
      </c>
      <c r="F303" s="13"/>
      <c r="G303" s="11" t="s">
        <v>1459</v>
      </c>
      <c r="H303" s="13"/>
      <c r="I303" s="14">
        <v>0.0</v>
      </c>
      <c r="J303" s="14">
        <v>0.0</v>
      </c>
      <c r="K303" s="9" t="str">
        <f>HYPERLINK("https://sproutsocial.com","Sprout Social")</f>
        <v>Sprout Social</v>
      </c>
      <c r="L303" s="15">
        <v>64943.0</v>
      </c>
      <c r="M303" s="15">
        <v>25049.0</v>
      </c>
      <c r="N303" s="15">
        <v>1710.0</v>
      </c>
      <c r="O303" s="16"/>
      <c r="P303" s="17">
        <v>39681.03928240741</v>
      </c>
      <c r="Q303" s="10" t="s">
        <v>1460</v>
      </c>
      <c r="R303" s="10" t="s">
        <v>1461</v>
      </c>
      <c r="S303" s="11" t="s">
        <v>1462</v>
      </c>
      <c r="T303" s="13"/>
      <c r="U303" s="18" t="str">
        <f>HYPERLINK("https://pbs.twimg.com/profile_images/753613454083252225/i5pr2xny.jpg","View")</f>
        <v>View</v>
      </c>
      <c r="V303" s="13"/>
      <c r="W303" s="13"/>
      <c r="X303" s="13"/>
      <c r="Y303" s="13"/>
      <c r="Z303" s="13"/>
    </row>
    <row r="304">
      <c r="A304" s="8">
        <v>43848.749560185184</v>
      </c>
      <c r="B304" s="9" t="str">
        <f>HYPERLINK("https://twitter.com/DreamingPanda1","@DreamingPanda1")</f>
        <v>@DreamingPanda1</v>
      </c>
      <c r="C304" s="10" t="s">
        <v>1463</v>
      </c>
      <c r="D304" s="10" t="s">
        <v>1464</v>
      </c>
      <c r="E304" s="9" t="str">
        <f>HYPERLINK("https://twitter.com/DreamingPanda1/status/1218669238774267905","1218669238774267905")</f>
        <v>1218669238774267905</v>
      </c>
      <c r="F304" s="13"/>
      <c r="G304" s="13"/>
      <c r="H304" s="13"/>
      <c r="I304" s="14">
        <v>0.0</v>
      </c>
      <c r="J304" s="14">
        <v>1.0</v>
      </c>
      <c r="K304" s="9" t="str">
        <f>HYPERLINK("https://mobile.twitter.com","Twitter Web App")</f>
        <v>Twitter Web App</v>
      </c>
      <c r="L304" s="15">
        <v>538.0</v>
      </c>
      <c r="M304" s="15">
        <v>568.0</v>
      </c>
      <c r="N304" s="15">
        <v>4.0</v>
      </c>
      <c r="O304" s="16"/>
      <c r="P304" s="17">
        <v>42149.961435185185</v>
      </c>
      <c r="Q304" s="10" t="s">
        <v>24</v>
      </c>
      <c r="R304" s="10" t="s">
        <v>1465</v>
      </c>
      <c r="S304" s="11" t="s">
        <v>1466</v>
      </c>
      <c r="T304" s="13"/>
      <c r="U304" s="18" t="str">
        <f>HYPERLINK("https://pbs.twimg.com/profile_images/1072384493355454466/C4jtsW3G.jpg","View")</f>
        <v>View</v>
      </c>
      <c r="V304" s="13"/>
      <c r="W304" s="13"/>
      <c r="X304" s="13"/>
      <c r="Y304" s="13"/>
      <c r="Z304" s="13"/>
    </row>
    <row r="305">
      <c r="A305" s="8">
        <v>43848.74915509259</v>
      </c>
      <c r="B305" s="9" t="str">
        <f>HYPERLINK("https://twitter.com/JayHollingshed","@JayHollingshed")</f>
        <v>@JayHollingshed</v>
      </c>
      <c r="C305" s="10" t="s">
        <v>592</v>
      </c>
      <c r="D305" s="10" t="s">
        <v>593</v>
      </c>
      <c r="E305" s="9" t="str">
        <f>HYPERLINK("https://twitter.com/JayHollingshed/status/1218669088353943554","1218669088353943554")</f>
        <v>1218669088353943554</v>
      </c>
      <c r="F305" s="13"/>
      <c r="G305" s="11" t="s">
        <v>1467</v>
      </c>
      <c r="H305" s="13"/>
      <c r="I305" s="14">
        <v>0.0</v>
      </c>
      <c r="J305" s="14">
        <v>0.0</v>
      </c>
      <c r="K305" s="9" t="str">
        <f t="shared" ref="K305:K306" si="41">HYPERLINK("http://twitter.com/download/iphone","Twitter for iPhone")</f>
        <v>Twitter for iPhone</v>
      </c>
      <c r="L305" s="15">
        <v>900.0</v>
      </c>
      <c r="M305" s="15">
        <v>1448.0</v>
      </c>
      <c r="N305" s="15">
        <v>47.0</v>
      </c>
      <c r="O305" s="16"/>
      <c r="P305" s="17">
        <v>42066.47707175926</v>
      </c>
      <c r="Q305" s="10" t="s">
        <v>595</v>
      </c>
      <c r="R305" s="10" t="s">
        <v>596</v>
      </c>
      <c r="S305" s="11" t="s">
        <v>597</v>
      </c>
      <c r="T305" s="13"/>
      <c r="U305" s="18" t="str">
        <f>HYPERLINK("https://pbs.twimg.com/profile_images/1145534655560585216/-J1bWgqf.jpg","View")</f>
        <v>View</v>
      </c>
      <c r="V305" s="13"/>
      <c r="W305" s="13"/>
      <c r="X305" s="13"/>
      <c r="Y305" s="13"/>
      <c r="Z305" s="13"/>
    </row>
    <row r="306">
      <c r="A306" s="8">
        <v>43848.74878472222</v>
      </c>
      <c r="B306" s="9" t="str">
        <f>HYPERLINK("https://twitter.com/MmantiUmoh","@MmantiUmoh")</f>
        <v>@MmantiUmoh</v>
      </c>
      <c r="C306" s="10" t="s">
        <v>1468</v>
      </c>
      <c r="D306" s="10" t="s">
        <v>1469</v>
      </c>
      <c r="E306" s="9" t="str">
        <f>HYPERLINK("https://twitter.com/MmantiUmoh/status/1218668954677338112","1218668954677338112")</f>
        <v>1218668954677338112</v>
      </c>
      <c r="F306" s="13"/>
      <c r="G306" s="11" t="s">
        <v>1470</v>
      </c>
      <c r="H306" s="13"/>
      <c r="I306" s="14">
        <v>1.0</v>
      </c>
      <c r="J306" s="14">
        <v>0.0</v>
      </c>
      <c r="K306" s="9" t="str">
        <f t="shared" si="41"/>
        <v>Twitter for iPhone</v>
      </c>
      <c r="L306" s="15">
        <v>3947.0</v>
      </c>
      <c r="M306" s="15">
        <v>918.0</v>
      </c>
      <c r="N306" s="15">
        <v>69.0</v>
      </c>
      <c r="O306" s="16"/>
      <c r="P306" s="17">
        <v>40736.295381944445</v>
      </c>
      <c r="Q306" s="13"/>
      <c r="R306" s="10" t="s">
        <v>1471</v>
      </c>
      <c r="S306" s="11" t="s">
        <v>1472</v>
      </c>
      <c r="T306" s="13"/>
      <c r="U306" s="18" t="str">
        <f>HYPERLINK("https://pbs.twimg.com/profile_images/1217564910135193601/Vt2damA0.jpg","View")</f>
        <v>View</v>
      </c>
      <c r="V306" s="13"/>
      <c r="W306" s="13"/>
      <c r="X306" s="13"/>
      <c r="Y306" s="13"/>
      <c r="Z306" s="13"/>
    </row>
    <row r="307">
      <c r="A307" s="8">
        <v>43848.74799768519</v>
      </c>
      <c r="B307" s="9" t="str">
        <f>HYPERLINK("https://twitter.com/LatestNewsAU","@LatestNewsAU")</f>
        <v>@LatestNewsAU</v>
      </c>
      <c r="C307" s="11" t="s">
        <v>400</v>
      </c>
      <c r="D307" s="10" t="s">
        <v>1473</v>
      </c>
      <c r="E307" s="9" t="str">
        <f>HYPERLINK("https://twitter.com/LatestNewsAU/status/1218668670060244995","1218668670060244995")</f>
        <v>1218668670060244995</v>
      </c>
      <c r="F307" s="11" t="s">
        <v>1474</v>
      </c>
      <c r="G307" s="11" t="s">
        <v>1475</v>
      </c>
      <c r="H307" s="13"/>
      <c r="I307" s="14">
        <v>0.0</v>
      </c>
      <c r="J307" s="14">
        <v>0.0</v>
      </c>
      <c r="K307" s="9" t="str">
        <f>HYPERLINK("https://twittimer.com","Twittimer")</f>
        <v>Twittimer</v>
      </c>
      <c r="L307" s="15">
        <v>3749.0</v>
      </c>
      <c r="M307" s="15">
        <v>3140.0</v>
      </c>
      <c r="N307" s="15">
        <v>122.0</v>
      </c>
      <c r="O307" s="16"/>
      <c r="P307" s="17">
        <v>42050.339097222226</v>
      </c>
      <c r="Q307" s="10" t="s">
        <v>404</v>
      </c>
      <c r="R307" s="10" t="s">
        <v>405</v>
      </c>
      <c r="S307" s="11" t="s">
        <v>406</v>
      </c>
      <c r="T307" s="13"/>
      <c r="U307" s="18" t="str">
        <f>HYPERLINK("https://pbs.twimg.com/profile_images/1132520198672592898/84JxYnvT.png","View")</f>
        <v>View</v>
      </c>
      <c r="V307" s="13"/>
      <c r="W307" s="13"/>
      <c r="X307" s="13"/>
      <c r="Y307" s="13"/>
      <c r="Z307" s="13"/>
    </row>
    <row r="308">
      <c r="A308" s="8">
        <v>43848.747766203705</v>
      </c>
      <c r="B308" s="9" t="str">
        <f>HYPERLINK("https://twitter.com/Wonderboy25","@Wonderboy25")</f>
        <v>@Wonderboy25</v>
      </c>
      <c r="C308" s="10" t="s">
        <v>1476</v>
      </c>
      <c r="D308" s="10" t="s">
        <v>1477</v>
      </c>
      <c r="E308" s="9" t="str">
        <f>HYPERLINK("https://twitter.com/Wonderboy25/status/1218668584832053254","1218668584832053254")</f>
        <v>1218668584832053254</v>
      </c>
      <c r="F308" s="11" t="s">
        <v>1478</v>
      </c>
      <c r="G308" s="13"/>
      <c r="H308" s="13"/>
      <c r="I308" s="14">
        <v>0.0</v>
      </c>
      <c r="J308" s="14">
        <v>0.0</v>
      </c>
      <c r="K308" s="9" t="str">
        <f>HYPERLINK("http://twitter.com/download/android","Twitter for Android")</f>
        <v>Twitter for Android</v>
      </c>
      <c r="L308" s="15">
        <v>725.0</v>
      </c>
      <c r="M308" s="15">
        <v>1582.0</v>
      </c>
      <c r="N308" s="15">
        <v>9.0</v>
      </c>
      <c r="O308" s="16"/>
      <c r="P308" s="17">
        <v>39890.4762962963</v>
      </c>
      <c r="Q308" s="10" t="s">
        <v>1479</v>
      </c>
      <c r="R308" s="10" t="s">
        <v>1480</v>
      </c>
      <c r="S308" s="13"/>
      <c r="T308" s="13"/>
      <c r="U308" s="18" t="str">
        <f>HYPERLINK("https://pbs.twimg.com/profile_images/1212156813312974848/revT1fHo.jpg","View")</f>
        <v>View</v>
      </c>
      <c r="V308" s="13"/>
      <c r="W308" s="13"/>
      <c r="X308" s="13"/>
      <c r="Y308" s="13"/>
      <c r="Z308" s="13"/>
    </row>
    <row r="309">
      <c r="A309" s="8">
        <v>43848.747557870374</v>
      </c>
      <c r="B309" s="9" t="str">
        <f>HYPERLINK("https://twitter.com/MentalSnapback","@MentalSnapback")</f>
        <v>@MentalSnapback</v>
      </c>
      <c r="C309" s="10" t="s">
        <v>952</v>
      </c>
      <c r="D309" s="10" t="s">
        <v>1481</v>
      </c>
      <c r="E309" s="9" t="str">
        <f>HYPERLINK("https://twitter.com/MentalSnapback/status/1218668509225537536","1218668509225537536")</f>
        <v>1218668509225537536</v>
      </c>
      <c r="F309" s="13"/>
      <c r="G309" s="11" t="s">
        <v>1482</v>
      </c>
      <c r="H309" s="13"/>
      <c r="I309" s="14">
        <v>0.0</v>
      </c>
      <c r="J309" s="14">
        <v>0.0</v>
      </c>
      <c r="K309" s="9" t="str">
        <f>HYPERLINK("https://mobile.twitter.com","Twitter Web App")</f>
        <v>Twitter Web App</v>
      </c>
      <c r="L309" s="15">
        <v>427.0</v>
      </c>
      <c r="M309" s="15">
        <v>881.0</v>
      </c>
      <c r="N309" s="15">
        <v>1.0</v>
      </c>
      <c r="O309" s="16"/>
      <c r="P309" s="17">
        <v>40922.921273148146</v>
      </c>
      <c r="Q309" s="10" t="s">
        <v>954</v>
      </c>
      <c r="R309" s="10" t="s">
        <v>955</v>
      </c>
      <c r="S309" s="11" t="s">
        <v>956</v>
      </c>
      <c r="T309" s="13"/>
      <c r="U309" s="18" t="str">
        <f>HYPERLINK("https://pbs.twimg.com/profile_images/1217489601448890368/w7X58piW.jpg","View")</f>
        <v>View</v>
      </c>
      <c r="V309" s="13"/>
      <c r="W309" s="13"/>
      <c r="X309" s="13"/>
      <c r="Y309" s="13"/>
      <c r="Z309" s="13"/>
    </row>
    <row r="310">
      <c r="A310" s="8">
        <v>43848.74741898148</v>
      </c>
      <c r="B310" s="9" t="str">
        <f>HYPERLINK("https://twitter.com/TheDevinaKaur","@TheDevinaKaur")</f>
        <v>@TheDevinaKaur</v>
      </c>
      <c r="C310" s="10" t="s">
        <v>295</v>
      </c>
      <c r="D310" s="10" t="s">
        <v>1483</v>
      </c>
      <c r="E310" s="9" t="str">
        <f>HYPERLINK("https://twitter.com/TheDevinaKaur/status/1218668460995153920","1218668460995153920")</f>
        <v>1218668460995153920</v>
      </c>
      <c r="F310" s="11" t="s">
        <v>1484</v>
      </c>
      <c r="G310" s="11" t="s">
        <v>1485</v>
      </c>
      <c r="H310" s="13"/>
      <c r="I310" s="14">
        <v>2.0</v>
      </c>
      <c r="J310" s="14">
        <v>2.0</v>
      </c>
      <c r="K310" s="9" t="str">
        <f>HYPERLINK("https://postfity.com","Postfity.com")</f>
        <v>Postfity.com</v>
      </c>
      <c r="L310" s="15">
        <v>7406.0</v>
      </c>
      <c r="M310" s="15">
        <v>3869.0</v>
      </c>
      <c r="N310" s="15">
        <v>36.0</v>
      </c>
      <c r="O310" s="16"/>
      <c r="P310" s="17">
        <v>42815.69490740741</v>
      </c>
      <c r="Q310" s="10" t="s">
        <v>177</v>
      </c>
      <c r="R310" s="10" t="s">
        <v>299</v>
      </c>
      <c r="S310" s="11" t="s">
        <v>297</v>
      </c>
      <c r="T310" s="13"/>
      <c r="U310" s="18" t="str">
        <f>HYPERLINK("https://pbs.twimg.com/profile_images/1147663141389656064/dg9XFyFN.jpg","View")</f>
        <v>View</v>
      </c>
      <c r="V310" s="13"/>
      <c r="W310" s="13"/>
      <c r="X310" s="13"/>
      <c r="Y310" s="13"/>
      <c r="Z310" s="13"/>
    </row>
    <row r="311">
      <c r="A311" s="8">
        <v>43848.74725694444</v>
      </c>
      <c r="B311" s="9" t="str">
        <f>HYPERLINK("https://twitter.com/hanna_higher","@hanna_higher")</f>
        <v>@hanna_higher</v>
      </c>
      <c r="C311" s="10" t="s">
        <v>1486</v>
      </c>
      <c r="D311" s="10" t="s">
        <v>1487</v>
      </c>
      <c r="E311" s="9" t="str">
        <f>HYPERLINK("https://twitter.com/hanna_higher/status/1218668400706236417","1218668400706236417")</f>
        <v>1218668400706236417</v>
      </c>
      <c r="F311" s="11" t="s">
        <v>1488</v>
      </c>
      <c r="G311" s="13"/>
      <c r="H311" s="13"/>
      <c r="I311" s="14">
        <v>1.0</v>
      </c>
      <c r="J311" s="14">
        <v>1.0</v>
      </c>
      <c r="K311" s="9" t="str">
        <f>HYPERLINK("https://coschedule.com","CoSchedule")</f>
        <v>CoSchedule</v>
      </c>
      <c r="L311" s="15">
        <v>32622.0</v>
      </c>
      <c r="M311" s="15">
        <v>22883.0</v>
      </c>
      <c r="N311" s="15">
        <v>321.0</v>
      </c>
      <c r="O311" s="16"/>
      <c r="P311" s="17">
        <v>42464.42574074074</v>
      </c>
      <c r="Q311" s="10" t="s">
        <v>382</v>
      </c>
      <c r="R311" s="10" t="s">
        <v>1489</v>
      </c>
      <c r="S311" s="11" t="s">
        <v>1490</v>
      </c>
      <c r="T311" s="13"/>
      <c r="U311" s="18" t="str">
        <f>HYPERLINK("https://pbs.twimg.com/profile_images/1170703917379928066/9Wzw-O1O.jpg","View")</f>
        <v>View</v>
      </c>
      <c r="V311" s="13"/>
      <c r="W311" s="13"/>
      <c r="X311" s="13"/>
      <c r="Y311" s="13"/>
      <c r="Z311" s="13"/>
    </row>
    <row r="312">
      <c r="A312" s="8">
        <v>43848.74715277778</v>
      </c>
      <c r="B312" s="9" t="str">
        <f>HYPERLINK("https://twitter.com/ChronicNSingle","@ChronicNSingle")</f>
        <v>@ChronicNSingle</v>
      </c>
      <c r="C312" s="10" t="s">
        <v>1491</v>
      </c>
      <c r="D312" s="10" t="s">
        <v>1492</v>
      </c>
      <c r="E312" s="9" t="str">
        <f>HYPERLINK("https://twitter.com/ChronicNSingle/status/1218668364681203713","1218668364681203713")</f>
        <v>1218668364681203713</v>
      </c>
      <c r="F312" s="13"/>
      <c r="G312" s="13"/>
      <c r="H312" s="13"/>
      <c r="I312" s="14">
        <v>0.0</v>
      </c>
      <c r="J312" s="14">
        <v>0.0</v>
      </c>
      <c r="K312" s="9" t="str">
        <f>HYPERLINK("http://twitter.com/download/iphone","Twitter for iPhone")</f>
        <v>Twitter for iPhone</v>
      </c>
      <c r="L312" s="15">
        <v>46.0</v>
      </c>
      <c r="M312" s="15">
        <v>193.0</v>
      </c>
      <c r="N312" s="15">
        <v>0.0</v>
      </c>
      <c r="O312" s="16"/>
      <c r="P312" s="17">
        <v>43547.67454861111</v>
      </c>
      <c r="Q312" s="10" t="s">
        <v>1493</v>
      </c>
      <c r="R312" s="10" t="s">
        <v>1494</v>
      </c>
      <c r="S312" s="13"/>
      <c r="T312" s="13"/>
      <c r="U312" s="18" t="str">
        <f>HYPERLINK("https://pbs.twimg.com/profile_images/1109550204691189760/L92U5J3n.jpg","View")</f>
        <v>View</v>
      </c>
      <c r="V312" s="13"/>
      <c r="W312" s="13"/>
      <c r="X312" s="13"/>
      <c r="Y312" s="13"/>
      <c r="Z312" s="13"/>
    </row>
    <row r="313">
      <c r="A313" s="8">
        <v>43848.74659722223</v>
      </c>
      <c r="B313" s="9" t="str">
        <f>HYPERLINK("https://twitter.com/EveryInkSpot","@EveryInkSpot")</f>
        <v>@EveryInkSpot</v>
      </c>
      <c r="C313" s="10" t="s">
        <v>1495</v>
      </c>
      <c r="D313" s="10" t="s">
        <v>1496</v>
      </c>
      <c r="E313" s="9" t="str">
        <f>HYPERLINK("https://twitter.com/EveryInkSpot/status/1218668161488297985","1218668161488297985")</f>
        <v>1218668161488297985</v>
      </c>
      <c r="F313" s="13"/>
      <c r="G313" s="13"/>
      <c r="H313" s="13"/>
      <c r="I313" s="14">
        <v>0.0</v>
      </c>
      <c r="J313" s="14">
        <v>1.0</v>
      </c>
      <c r="K313" s="9" t="str">
        <f>HYPERLINK("https://mobile.twitter.com","Twitter Web App")</f>
        <v>Twitter Web App</v>
      </c>
      <c r="L313" s="15">
        <v>525.0</v>
      </c>
      <c r="M313" s="15">
        <v>557.0</v>
      </c>
      <c r="N313" s="15">
        <v>71.0</v>
      </c>
      <c r="O313" s="16"/>
      <c r="P313" s="17">
        <v>40498.694131944445</v>
      </c>
      <c r="Q313" s="13"/>
      <c r="R313" s="10" t="s">
        <v>1497</v>
      </c>
      <c r="S313" s="13"/>
      <c r="T313" s="13"/>
      <c r="U313" s="18" t="str">
        <f>HYPERLINK("https://pbs.twimg.com/profile_images/1173036803512832000/PACHchvr.jpg","View")</f>
        <v>View</v>
      </c>
      <c r="V313" s="13"/>
      <c r="W313" s="13"/>
      <c r="X313" s="13"/>
      <c r="Y313" s="13"/>
      <c r="Z313" s="13"/>
    </row>
    <row r="314">
      <c r="A314" s="8">
        <v>43848.74652777778</v>
      </c>
      <c r="B314" s="9" t="str">
        <f>HYPERLINK("https://twitter.com/SkypeTherapist","@SkypeTherapist")</f>
        <v>@SkypeTherapist</v>
      </c>
      <c r="C314" s="10" t="s">
        <v>39</v>
      </c>
      <c r="D314" s="10" t="s">
        <v>1498</v>
      </c>
      <c r="E314" s="9" t="str">
        <f>HYPERLINK("https://twitter.com/SkypeTherapist/status/1218668139266879488","1218668139266879488")</f>
        <v>1218668139266879488</v>
      </c>
      <c r="F314" s="11" t="s">
        <v>43</v>
      </c>
      <c r="G314" s="13"/>
      <c r="H314" s="13"/>
      <c r="I314" s="14">
        <v>0.0</v>
      </c>
      <c r="J314" s="14">
        <v>0.0</v>
      </c>
      <c r="K314" s="9" t="str">
        <f>HYPERLINK("https://buffer.com","Buffer")</f>
        <v>Buffer</v>
      </c>
      <c r="L314" s="15">
        <v>31074.0</v>
      </c>
      <c r="M314" s="15">
        <v>29180.0</v>
      </c>
      <c r="N314" s="15">
        <v>397.0</v>
      </c>
      <c r="O314" s="16"/>
      <c r="P314" s="17">
        <v>40131.457777777774</v>
      </c>
      <c r="Q314" s="10" t="s">
        <v>46</v>
      </c>
      <c r="R314" s="10" t="s">
        <v>47</v>
      </c>
      <c r="S314" s="11" t="s">
        <v>43</v>
      </c>
      <c r="T314" s="13"/>
      <c r="U314" s="18" t="str">
        <f>HYPERLINK("https://pbs.twimg.com/profile_images/1093911234120798208/G4lphODU.jpg","View")</f>
        <v>View</v>
      </c>
      <c r="V314" s="13"/>
      <c r="W314" s="13"/>
      <c r="X314" s="13"/>
      <c r="Y314" s="13"/>
      <c r="Z314" s="13"/>
    </row>
    <row r="315">
      <c r="A315" s="8">
        <v>43848.746145833335</v>
      </c>
      <c r="B315" s="9" t="str">
        <f>HYPERLINK("https://twitter.com/KylaHamman","@KylaHamman")</f>
        <v>@KylaHamman</v>
      </c>
      <c r="C315" s="10" t="s">
        <v>1499</v>
      </c>
      <c r="D315" s="10" t="s">
        <v>1500</v>
      </c>
      <c r="E315" s="9" t="str">
        <f>HYPERLINK("https://twitter.com/KylaHamman/status/1218667999839891458","1218667999839891458")</f>
        <v>1218667999839891458</v>
      </c>
      <c r="F315" s="13"/>
      <c r="G315" s="13"/>
      <c r="H315" s="13"/>
      <c r="I315" s="14">
        <v>0.0</v>
      </c>
      <c r="J315" s="14">
        <v>0.0</v>
      </c>
      <c r="K315" s="9" t="str">
        <f>HYPERLINK("http://twitter.com/download/iphone","Twitter for iPhone")</f>
        <v>Twitter for iPhone</v>
      </c>
      <c r="L315" s="15">
        <v>46.0</v>
      </c>
      <c r="M315" s="15">
        <v>157.0</v>
      </c>
      <c r="N315" s="15">
        <v>0.0</v>
      </c>
      <c r="O315" s="16"/>
      <c r="P315" s="17">
        <v>43677.895787037036</v>
      </c>
      <c r="Q315" s="13"/>
      <c r="R315" s="10" t="s">
        <v>1501</v>
      </c>
      <c r="S315" s="13"/>
      <c r="T315" s="13"/>
      <c r="U315" s="18" t="str">
        <f>HYPERLINK("https://pbs.twimg.com/profile_images/1156739055914278912/M2-tR8hX.jpg","View")</f>
        <v>View</v>
      </c>
      <c r="V315" s="13"/>
      <c r="W315" s="13"/>
      <c r="X315" s="13"/>
      <c r="Y315" s="13"/>
      <c r="Z315" s="13"/>
    </row>
    <row r="316">
      <c r="A316" s="8">
        <v>43848.74561342593</v>
      </c>
      <c r="B316" s="9" t="str">
        <f>HYPERLINK("https://twitter.com/AllNottsArentWe","@AllNottsArentWe")</f>
        <v>@AllNottsArentWe</v>
      </c>
      <c r="C316" s="10" t="s">
        <v>1502</v>
      </c>
      <c r="D316" s="10" t="s">
        <v>1503</v>
      </c>
      <c r="E316" s="9" t="str">
        <f>HYPERLINK("https://twitter.com/AllNottsArentWe/status/1218667808596406274","1218667808596406274")</f>
        <v>1218667808596406274</v>
      </c>
      <c r="F316" s="13"/>
      <c r="G316" s="13"/>
      <c r="H316" s="13"/>
      <c r="I316" s="14">
        <v>0.0</v>
      </c>
      <c r="J316" s="14">
        <v>2.0</v>
      </c>
      <c r="K316" s="9" t="str">
        <f t="shared" ref="K316:K318" si="42">HYPERLINK("http://twitter.com/download/android","Twitter for Android")</f>
        <v>Twitter for Android</v>
      </c>
      <c r="L316" s="15">
        <v>717.0</v>
      </c>
      <c r="M316" s="15">
        <v>1107.0</v>
      </c>
      <c r="N316" s="15">
        <v>1.0</v>
      </c>
      <c r="O316" s="16"/>
      <c r="P316" s="17">
        <v>43435.301504629635</v>
      </c>
      <c r="Q316" s="13"/>
      <c r="R316" s="10" t="s">
        <v>1504</v>
      </c>
      <c r="S316" s="13"/>
      <c r="T316" s="13"/>
      <c r="U316" s="18" t="str">
        <f>HYPERLINK("https://pbs.twimg.com/profile_images/1161422502976995329/TVnBZiVk.jpg","View")</f>
        <v>View</v>
      </c>
      <c r="V316" s="13"/>
      <c r="W316" s="13"/>
      <c r="X316" s="13"/>
      <c r="Y316" s="13"/>
      <c r="Z316" s="13"/>
    </row>
    <row r="317">
      <c r="A317" s="8">
        <v>43848.74541666667</v>
      </c>
      <c r="B317" s="9" t="str">
        <f>HYPERLINK("https://twitter.com/meginfj1","@meginfj1")</f>
        <v>@meginfj1</v>
      </c>
      <c r="C317" s="10" t="s">
        <v>1505</v>
      </c>
      <c r="D317" s="10" t="s">
        <v>1506</v>
      </c>
      <c r="E317" s="9" t="str">
        <f>HYPERLINK("https://twitter.com/meginfj1/status/1218667733996507142","1218667733996507142")</f>
        <v>1218667733996507142</v>
      </c>
      <c r="F317" s="13"/>
      <c r="G317" s="13"/>
      <c r="H317" s="13"/>
      <c r="I317" s="14">
        <v>0.0</v>
      </c>
      <c r="J317" s="14">
        <v>5.0</v>
      </c>
      <c r="K317" s="9" t="str">
        <f t="shared" si="42"/>
        <v>Twitter for Android</v>
      </c>
      <c r="L317" s="15">
        <v>269.0</v>
      </c>
      <c r="M317" s="15">
        <v>570.0</v>
      </c>
      <c r="N317" s="15">
        <v>1.0</v>
      </c>
      <c r="O317" s="16"/>
      <c r="P317" s="17">
        <v>43629.466215277775</v>
      </c>
      <c r="Q317" s="10" t="s">
        <v>1507</v>
      </c>
      <c r="R317" s="10" t="s">
        <v>1508</v>
      </c>
      <c r="S317" s="11" t="s">
        <v>1509</v>
      </c>
      <c r="T317" s="13"/>
      <c r="U317" s="18" t="str">
        <f>HYPERLINK("https://pbs.twimg.com/profile_images/1210967531080605696/sFwkBymb.jpg","View")</f>
        <v>View</v>
      </c>
      <c r="V317" s="13"/>
      <c r="W317" s="13"/>
      <c r="X317" s="13"/>
      <c r="Y317" s="13"/>
      <c r="Z317" s="13"/>
    </row>
    <row r="318">
      <c r="A318" s="8">
        <v>43848.74517361111</v>
      </c>
      <c r="B318" s="9" t="str">
        <f>HYPERLINK("https://twitter.com/authordeblina","@authordeblina")</f>
        <v>@authordeblina</v>
      </c>
      <c r="C318" s="10" t="s">
        <v>1510</v>
      </c>
      <c r="D318" s="10" t="s">
        <v>1511</v>
      </c>
      <c r="E318" s="9" t="str">
        <f>HYPERLINK("https://twitter.com/authordeblina/status/1218667646251438080","1218667646251438080")</f>
        <v>1218667646251438080</v>
      </c>
      <c r="F318" s="13"/>
      <c r="G318" s="11" t="s">
        <v>1512</v>
      </c>
      <c r="H318" s="13"/>
      <c r="I318" s="14">
        <v>0.0</v>
      </c>
      <c r="J318" s="14">
        <v>4.0</v>
      </c>
      <c r="K318" s="9" t="str">
        <f t="shared" si="42"/>
        <v>Twitter for Android</v>
      </c>
      <c r="L318" s="15">
        <v>4002.0</v>
      </c>
      <c r="M318" s="15">
        <v>4992.0</v>
      </c>
      <c r="N318" s="15">
        <v>70.0</v>
      </c>
      <c r="O318" s="16"/>
      <c r="P318" s="17">
        <v>42861.10810185185</v>
      </c>
      <c r="Q318" s="10" t="s">
        <v>1513</v>
      </c>
      <c r="R318" s="10" t="s">
        <v>1514</v>
      </c>
      <c r="S318" s="11" t="s">
        <v>1515</v>
      </c>
      <c r="T318" s="13"/>
      <c r="U318" s="18" t="str">
        <f>HYPERLINK("https://pbs.twimg.com/profile_images/1217853594298286080/R_L-DpCI.jpg","View")</f>
        <v>View</v>
      </c>
      <c r="V318" s="13"/>
      <c r="W318" s="13"/>
      <c r="X318" s="13"/>
      <c r="Y318" s="13"/>
      <c r="Z318" s="13"/>
    </row>
    <row r="319">
      <c r="A319" s="8">
        <v>43848.74371527778</v>
      </c>
      <c r="B319" s="9" t="str">
        <f>HYPERLINK("https://twitter.com/rustywolf2019","@rustywolf2019")</f>
        <v>@rustywolf2019</v>
      </c>
      <c r="C319" s="10" t="s">
        <v>1516</v>
      </c>
      <c r="D319" s="10" t="s">
        <v>1517</v>
      </c>
      <c r="E319" s="9" t="str">
        <f>HYPERLINK("https://twitter.com/rustywolf2019/status/1218667118583042048","1218667118583042048")</f>
        <v>1218667118583042048</v>
      </c>
      <c r="F319" s="11" t="s">
        <v>1518</v>
      </c>
      <c r="G319" s="13"/>
      <c r="H319" s="13"/>
      <c r="I319" s="14">
        <v>0.0</v>
      </c>
      <c r="J319" s="14">
        <v>0.0</v>
      </c>
      <c r="K319" s="9" t="str">
        <f>HYPERLINK("http://twitter.com","Twitter Web Client")</f>
        <v>Twitter Web Client</v>
      </c>
      <c r="L319" s="15">
        <v>847.0</v>
      </c>
      <c r="M319" s="15">
        <v>1154.0</v>
      </c>
      <c r="N319" s="15">
        <v>9.0</v>
      </c>
      <c r="O319" s="16"/>
      <c r="P319" s="17">
        <v>43683.42271990741</v>
      </c>
      <c r="Q319" s="10" t="s">
        <v>1519</v>
      </c>
      <c r="R319" s="10" t="s">
        <v>1520</v>
      </c>
      <c r="S319" s="11" t="s">
        <v>1521</v>
      </c>
      <c r="T319" s="13"/>
      <c r="U319" s="18" t="str">
        <f>HYPERLINK("https://pbs.twimg.com/profile_images/1183487894448693250/5CX5L74D.jpg","View")</f>
        <v>View</v>
      </c>
      <c r="V319" s="13"/>
      <c r="W319" s="13"/>
      <c r="X319" s="13"/>
      <c r="Y319" s="13"/>
      <c r="Z319" s="13"/>
    </row>
    <row r="320">
      <c r="A320" s="8">
        <v>43848.74344907407</v>
      </c>
      <c r="B320" s="9" t="str">
        <f>HYPERLINK("https://twitter.com/lm_findlay","@lm_findlay")</f>
        <v>@lm_findlay</v>
      </c>
      <c r="C320" s="10" t="s">
        <v>1522</v>
      </c>
      <c r="D320" s="10" t="s">
        <v>1523</v>
      </c>
      <c r="E320" s="9" t="str">
        <f>HYPERLINK("https://twitter.com/lm_findlay/status/1218667023007391745","1218667023007391745")</f>
        <v>1218667023007391745</v>
      </c>
      <c r="F320" s="13"/>
      <c r="G320" s="13"/>
      <c r="H320" s="13"/>
      <c r="I320" s="14">
        <v>0.0</v>
      </c>
      <c r="J320" s="14">
        <v>8.0</v>
      </c>
      <c r="K320" s="9" t="str">
        <f>HYPERLINK("http://twitter.com/download/android","Twitter for Android")</f>
        <v>Twitter for Android</v>
      </c>
      <c r="L320" s="15">
        <v>1947.0</v>
      </c>
      <c r="M320" s="15">
        <v>990.0</v>
      </c>
      <c r="N320" s="15">
        <v>39.0</v>
      </c>
      <c r="O320" s="16"/>
      <c r="P320" s="17">
        <v>42425.35184027778</v>
      </c>
      <c r="Q320" s="10" t="s">
        <v>1244</v>
      </c>
      <c r="R320" s="10" t="s">
        <v>1524</v>
      </c>
      <c r="S320" s="11" t="s">
        <v>1525</v>
      </c>
      <c r="T320" s="13"/>
      <c r="U320" s="18" t="str">
        <f>HYPERLINK("https://pbs.twimg.com/profile_images/811328513273892864/5PN3oUAg.jpg","View")</f>
        <v>View</v>
      </c>
      <c r="V320" s="13"/>
      <c r="W320" s="13"/>
      <c r="X320" s="13"/>
      <c r="Y320" s="13"/>
      <c r="Z320" s="13"/>
    </row>
    <row r="321">
      <c r="A321" s="8">
        <v>43848.743425925924</v>
      </c>
      <c r="B321" s="9" t="str">
        <f>HYPERLINK("https://twitter.com/dr_metzner","@dr_metzner")</f>
        <v>@dr_metzner</v>
      </c>
      <c r="C321" s="10" t="s">
        <v>1526</v>
      </c>
      <c r="D321" s="10" t="s">
        <v>1527</v>
      </c>
      <c r="E321" s="9" t="str">
        <f>HYPERLINK("https://twitter.com/dr_metzner/status/1218667013867888640","1218667013867888640")</f>
        <v>1218667013867888640</v>
      </c>
      <c r="F321" s="11" t="s">
        <v>1528</v>
      </c>
      <c r="G321" s="13"/>
      <c r="H321" s="13"/>
      <c r="I321" s="14">
        <v>1.0</v>
      </c>
      <c r="J321" s="14">
        <v>1.0</v>
      </c>
      <c r="K321" s="9" t="str">
        <f>HYPERLINK("https://apps.twitter.com","Twitty4Dave")</f>
        <v>Twitty4Dave</v>
      </c>
      <c r="L321" s="15">
        <v>8261.0</v>
      </c>
      <c r="M321" s="15">
        <v>4146.0</v>
      </c>
      <c r="N321" s="15">
        <v>390.0</v>
      </c>
      <c r="O321" s="16"/>
      <c r="P321" s="17">
        <v>41990.31606481482</v>
      </c>
      <c r="Q321" s="10" t="s">
        <v>266</v>
      </c>
      <c r="R321" s="10" t="s">
        <v>1529</v>
      </c>
      <c r="S321" s="11" t="s">
        <v>1530</v>
      </c>
      <c r="T321" s="13"/>
      <c r="U321" s="18" t="str">
        <f>HYPERLINK("https://pbs.twimg.com/profile_images/545196276417974272/6qcohW0K.jpeg","View")</f>
        <v>View</v>
      </c>
      <c r="V321" s="13"/>
      <c r="W321" s="13"/>
      <c r="X321" s="13"/>
      <c r="Y321" s="13"/>
      <c r="Z321" s="13"/>
    </row>
    <row r="322">
      <c r="A322" s="8">
        <v>43848.743263888886</v>
      </c>
      <c r="B322" s="9" t="str">
        <f>HYPERLINK("https://twitter.com/testisfidelis","@testisfidelis")</f>
        <v>@testisfidelis</v>
      </c>
      <c r="C322" s="10" t="s">
        <v>1531</v>
      </c>
      <c r="D322" s="10" t="s">
        <v>1532</v>
      </c>
      <c r="E322" s="9" t="str">
        <f>HYPERLINK("https://twitter.com/testisfidelis/status/1218666953134542848","1218666953134542848")</f>
        <v>1218666953134542848</v>
      </c>
      <c r="F322" s="11" t="s">
        <v>1533</v>
      </c>
      <c r="G322" s="11" t="s">
        <v>1534</v>
      </c>
      <c r="H322" s="13"/>
      <c r="I322" s="14">
        <v>1.0</v>
      </c>
      <c r="J322" s="14">
        <v>0.0</v>
      </c>
      <c r="K322" s="9" t="str">
        <f>HYPERLINK("https://www.socialjukebox.com","The Social Jukebox")</f>
        <v>The Social Jukebox</v>
      </c>
      <c r="L322" s="15">
        <v>20976.0</v>
      </c>
      <c r="M322" s="15">
        <v>16655.0</v>
      </c>
      <c r="N322" s="15">
        <v>586.0</v>
      </c>
      <c r="O322" s="16"/>
      <c r="P322" s="17">
        <v>40941.93686342593</v>
      </c>
      <c r="Q322" s="10" t="s">
        <v>1535</v>
      </c>
      <c r="R322" s="10" t="s">
        <v>1536</v>
      </c>
      <c r="S322" s="11" t="s">
        <v>1537</v>
      </c>
      <c r="T322" s="13"/>
      <c r="U322" s="18" t="str">
        <f>HYPERLINK("https://pbs.twimg.com/profile_images/1165718786017845249/UYH6MJ4F.jpg","View")</f>
        <v>View</v>
      </c>
      <c r="V322" s="13"/>
      <c r="W322" s="13"/>
      <c r="X322" s="13"/>
      <c r="Y322" s="13"/>
      <c r="Z322" s="13"/>
    </row>
    <row r="323">
      <c r="A323" s="8">
        <v>43848.7430787037</v>
      </c>
      <c r="B323" s="9" t="str">
        <f>HYPERLINK("https://twitter.com/TheCrazyLifePod","@TheCrazyLifePod")</f>
        <v>@TheCrazyLifePod</v>
      </c>
      <c r="C323" s="10" t="s">
        <v>1538</v>
      </c>
      <c r="D323" s="10" t="s">
        <v>1539</v>
      </c>
      <c r="E323" s="9" t="str">
        <f>HYPERLINK("https://twitter.com/TheCrazyLifePod/status/1218666887548211200","1218666887548211200")</f>
        <v>1218666887548211200</v>
      </c>
      <c r="F323" s="11" t="s">
        <v>1540</v>
      </c>
      <c r="G323" s="11" t="s">
        <v>1541</v>
      </c>
      <c r="H323" s="13"/>
      <c r="I323" s="14">
        <v>1.0</v>
      </c>
      <c r="J323" s="14">
        <v>0.0</v>
      </c>
      <c r="K323" s="9" t="str">
        <f>HYPERLINK("https://buffer.com","Buffer")</f>
        <v>Buffer</v>
      </c>
      <c r="L323" s="15">
        <v>895.0</v>
      </c>
      <c r="M323" s="15">
        <v>547.0</v>
      </c>
      <c r="N323" s="15">
        <v>30.0</v>
      </c>
      <c r="O323" s="16"/>
      <c r="P323" s="17">
        <v>42213.11717592593</v>
      </c>
      <c r="Q323" s="13"/>
      <c r="R323" s="10" t="s">
        <v>1542</v>
      </c>
      <c r="S323" s="11" t="s">
        <v>1543</v>
      </c>
      <c r="T323" s="13"/>
      <c r="U323" s="18" t="str">
        <f>HYPERLINK("https://pbs.twimg.com/profile_images/625921600110632960/7O2lPjco.jpg","View")</f>
        <v>View</v>
      </c>
      <c r="V323" s="13"/>
      <c r="W323" s="13"/>
      <c r="X323" s="13"/>
      <c r="Y323" s="13"/>
      <c r="Z323" s="13"/>
    </row>
    <row r="324">
      <c r="A324" s="8">
        <v>43848.742361111115</v>
      </c>
      <c r="B324" s="9" t="str">
        <f>HYPERLINK("https://twitter.com/Cskoyles","@Cskoyles")</f>
        <v>@Cskoyles</v>
      </c>
      <c r="C324" s="10" t="s">
        <v>1544</v>
      </c>
      <c r="D324" s="10" t="s">
        <v>1545</v>
      </c>
      <c r="E324" s="9" t="str">
        <f>HYPERLINK("https://twitter.com/Cskoyles/status/1218666626733576193","1218666626733576193")</f>
        <v>1218666626733576193</v>
      </c>
      <c r="F324" s="11" t="s">
        <v>1546</v>
      </c>
      <c r="G324" s="13"/>
      <c r="H324" s="13"/>
      <c r="I324" s="14">
        <v>0.0</v>
      </c>
      <c r="J324" s="14">
        <v>1.0</v>
      </c>
      <c r="K324" s="9" t="str">
        <f>HYPERLINK("https://about.twitter.com/products/tweetdeck","TweetDeck")</f>
        <v>TweetDeck</v>
      </c>
      <c r="L324" s="15">
        <v>1267.0</v>
      </c>
      <c r="M324" s="15">
        <v>78.0</v>
      </c>
      <c r="N324" s="15">
        <v>56.0</v>
      </c>
      <c r="O324" s="16"/>
      <c r="P324" s="17">
        <v>39808.22982638889</v>
      </c>
      <c r="Q324" s="10" t="s">
        <v>1547</v>
      </c>
      <c r="R324" s="10" t="s">
        <v>1548</v>
      </c>
      <c r="S324" s="11" t="s">
        <v>1549</v>
      </c>
      <c r="T324" s="13"/>
      <c r="U324" s="18" t="str">
        <f>HYPERLINK("https://pbs.twimg.com/profile_images/976477043738234881/BXhC4C0m.jpg","View")</f>
        <v>View</v>
      </c>
      <c r="V324" s="13"/>
      <c r="W324" s="13"/>
      <c r="X324" s="13"/>
      <c r="Y324" s="13"/>
      <c r="Z324" s="13"/>
    </row>
    <row r="325">
      <c r="A325" s="8">
        <v>43848.74232638889</v>
      </c>
      <c r="B325" s="9" t="str">
        <f>HYPERLINK("https://twitter.com/SOLFcanada","@SOLFcanada")</f>
        <v>@SOLFcanada</v>
      </c>
      <c r="C325" s="10" t="s">
        <v>1550</v>
      </c>
      <c r="D325" s="10" t="s">
        <v>1551</v>
      </c>
      <c r="E325" s="9" t="str">
        <f>HYPERLINK("https://twitter.com/SOLFcanada/status/1218666613479596033","1218666613479596033")</f>
        <v>1218666613479596033</v>
      </c>
      <c r="F325" s="13"/>
      <c r="G325" s="11" t="s">
        <v>1552</v>
      </c>
      <c r="H325" s="13"/>
      <c r="I325" s="14">
        <v>0.0</v>
      </c>
      <c r="J325" s="14">
        <v>1.0</v>
      </c>
      <c r="K325" s="9" t="str">
        <f>HYPERLINK("http://twitter.com/download/iphone","Twitter for iPhone")</f>
        <v>Twitter for iPhone</v>
      </c>
      <c r="L325" s="15">
        <v>39.0</v>
      </c>
      <c r="M325" s="15">
        <v>35.0</v>
      </c>
      <c r="N325" s="15">
        <v>0.0</v>
      </c>
      <c r="O325" s="16"/>
      <c r="P325" s="17">
        <v>43782.91611111111</v>
      </c>
      <c r="Q325" s="10" t="s">
        <v>650</v>
      </c>
      <c r="R325" s="10" t="s">
        <v>1553</v>
      </c>
      <c r="S325" s="11" t="s">
        <v>1554</v>
      </c>
      <c r="T325" s="13"/>
      <c r="U325" s="18" t="str">
        <f>HYPERLINK("https://pbs.twimg.com/profile_images/1194813049644998656/Y9VOyhFt.jpg","View")</f>
        <v>View</v>
      </c>
      <c r="V325" s="13"/>
      <c r="W325" s="13"/>
      <c r="X325" s="13"/>
      <c r="Y325" s="13"/>
      <c r="Z325" s="13"/>
    </row>
    <row r="326">
      <c r="A326" s="8">
        <v>43848.74223379629</v>
      </c>
      <c r="B326" s="9" t="str">
        <f>HYPERLINK("https://twitter.com/altstatesundone","@altstatesundone")</f>
        <v>@altstatesundone</v>
      </c>
      <c r="C326" s="10" t="s">
        <v>1555</v>
      </c>
      <c r="D326" s="10" t="s">
        <v>1556</v>
      </c>
      <c r="E326" s="9" t="str">
        <f>HYPERLINK("https://twitter.com/altstatesundone/status/1218666581124841473","1218666581124841473")</f>
        <v>1218666581124841473</v>
      </c>
      <c r="F326" s="11" t="s">
        <v>1557</v>
      </c>
      <c r="G326" s="13"/>
      <c r="H326" s="13"/>
      <c r="I326" s="14">
        <v>0.0</v>
      </c>
      <c r="J326" s="14">
        <v>0.0</v>
      </c>
      <c r="K326" s="9" t="str">
        <f t="shared" ref="K326:K327" si="43">HYPERLINK("https://mobile.twitter.com","Twitter Web App")</f>
        <v>Twitter Web App</v>
      </c>
      <c r="L326" s="15">
        <v>0.0</v>
      </c>
      <c r="M326" s="15">
        <v>0.0</v>
      </c>
      <c r="N326" s="15">
        <v>0.0</v>
      </c>
      <c r="O326" s="16"/>
      <c r="P326" s="17">
        <v>43848.68251157408</v>
      </c>
      <c r="Q326" s="13"/>
      <c r="R326" s="10" t="s">
        <v>1558</v>
      </c>
      <c r="S326" s="13"/>
      <c r="T326" s="13"/>
      <c r="U326" s="21" t="s">
        <v>292</v>
      </c>
      <c r="V326" s="13"/>
      <c r="W326" s="13"/>
      <c r="X326" s="13"/>
      <c r="Y326" s="13"/>
      <c r="Z326" s="13"/>
    </row>
    <row r="327">
      <c r="A327" s="8">
        <v>43848.74202546296</v>
      </c>
      <c r="B327" s="9" t="str">
        <f>HYPERLINK("https://twitter.com/ReverePhotos","@ReverePhotos")</f>
        <v>@ReverePhotos</v>
      </c>
      <c r="C327" s="10" t="s">
        <v>1385</v>
      </c>
      <c r="D327" s="10" t="s">
        <v>1559</v>
      </c>
      <c r="E327" s="9" t="str">
        <f>HYPERLINK("https://twitter.com/ReverePhotos/status/1218666504377569282","1218666504377569282")</f>
        <v>1218666504377569282</v>
      </c>
      <c r="F327" s="11" t="s">
        <v>1560</v>
      </c>
      <c r="G327" s="13"/>
      <c r="H327" s="13"/>
      <c r="I327" s="14">
        <v>0.0</v>
      </c>
      <c r="J327" s="14">
        <v>1.0</v>
      </c>
      <c r="K327" s="9" t="str">
        <f t="shared" si="43"/>
        <v>Twitter Web App</v>
      </c>
      <c r="L327" s="15">
        <v>7.0</v>
      </c>
      <c r="M327" s="15">
        <v>18.0</v>
      </c>
      <c r="N327" s="15">
        <v>0.0</v>
      </c>
      <c r="O327" s="16"/>
      <c r="P327" s="17">
        <v>42596.679143518515</v>
      </c>
      <c r="Q327" s="13"/>
      <c r="R327" s="10" t="s">
        <v>1389</v>
      </c>
      <c r="S327" s="11" t="s">
        <v>1390</v>
      </c>
      <c r="T327" s="13"/>
      <c r="U327" s="18" t="str">
        <f>HYPERLINK("https://pbs.twimg.com/profile_images/815752396043325440/kPHpqI3y.jpg","View")</f>
        <v>View</v>
      </c>
      <c r="V327" s="13"/>
      <c r="W327" s="13"/>
      <c r="X327" s="13"/>
      <c r="Y327" s="13"/>
      <c r="Z327" s="13"/>
    </row>
    <row r="328">
      <c r="A328" s="8">
        <v>43848.74193287037</v>
      </c>
      <c r="B328" s="9" t="str">
        <f>HYPERLINK("https://twitter.com/magalileyvav","@magalileyvav")</f>
        <v>@magalileyvav</v>
      </c>
      <c r="C328" s="10" t="s">
        <v>1561</v>
      </c>
      <c r="D328" s="10" t="s">
        <v>1562</v>
      </c>
      <c r="E328" s="9" t="str">
        <f>HYPERLINK("https://twitter.com/magalileyvav/status/1218666471691190273","1218666471691190273")</f>
        <v>1218666471691190273</v>
      </c>
      <c r="F328" s="13"/>
      <c r="G328" s="13"/>
      <c r="H328" s="13"/>
      <c r="I328" s="14">
        <v>0.0</v>
      </c>
      <c r="J328" s="14">
        <v>6.0</v>
      </c>
      <c r="K328" s="9" t="str">
        <f>HYPERLINK("http://twitter.com/download/iphone","Twitter for iPhone")</f>
        <v>Twitter for iPhone</v>
      </c>
      <c r="L328" s="15">
        <v>488.0</v>
      </c>
      <c r="M328" s="15">
        <v>493.0</v>
      </c>
      <c r="N328" s="15">
        <v>0.0</v>
      </c>
      <c r="O328" s="16"/>
      <c r="P328" s="17">
        <v>41640.58121527778</v>
      </c>
      <c r="Q328" s="13"/>
      <c r="R328" s="10" t="s">
        <v>1563</v>
      </c>
      <c r="S328" s="13"/>
      <c r="T328" s="13"/>
      <c r="U328" s="18" t="str">
        <f>HYPERLINK("https://pbs.twimg.com/profile_images/1215413234485719040/7lx8nMG1.jpg","View")</f>
        <v>View</v>
      </c>
      <c r="V328" s="13"/>
      <c r="W328" s="13"/>
      <c r="X328" s="13"/>
      <c r="Y328" s="13"/>
      <c r="Z328" s="13"/>
    </row>
    <row r="329">
      <c r="A329" s="8">
        <v>43848.7397800926</v>
      </c>
      <c r="B329" s="9" t="str">
        <f>HYPERLINK("https://twitter.com/jennyflorence1","@jennyflorence1")</f>
        <v>@jennyflorence1</v>
      </c>
      <c r="C329" s="10" t="s">
        <v>1020</v>
      </c>
      <c r="D329" s="10" t="s">
        <v>1564</v>
      </c>
      <c r="E329" s="9" t="str">
        <f>HYPERLINK("https://twitter.com/jennyflorence1/status/1218665691324329984","1218665691324329984")</f>
        <v>1218665691324329984</v>
      </c>
      <c r="F329" s="11" t="s">
        <v>1026</v>
      </c>
      <c r="G329" s="11" t="s">
        <v>1565</v>
      </c>
      <c r="H329" s="13"/>
      <c r="I329" s="14">
        <v>0.0</v>
      </c>
      <c r="J329" s="14">
        <v>1.0</v>
      </c>
      <c r="K329" s="9" t="str">
        <f>HYPERLINK("https://www.socialjukebox.com","The Social Jukebox")</f>
        <v>The Social Jukebox</v>
      </c>
      <c r="L329" s="15">
        <v>1564.0</v>
      </c>
      <c r="M329" s="15">
        <v>920.0</v>
      </c>
      <c r="N329" s="15">
        <v>119.0</v>
      </c>
      <c r="O329" s="16"/>
      <c r="P329" s="17">
        <v>41852.31606481482</v>
      </c>
      <c r="Q329" s="10" t="s">
        <v>1024</v>
      </c>
      <c r="R329" s="10" t="s">
        <v>1025</v>
      </c>
      <c r="S329" s="11" t="s">
        <v>1026</v>
      </c>
      <c r="T329" s="13"/>
      <c r="U329" s="18" t="str">
        <f>HYPERLINK("https://pbs.twimg.com/profile_images/997424009309405184/EJZO7eXe.jpg","View")</f>
        <v>View</v>
      </c>
      <c r="V329" s="13"/>
      <c r="W329" s="13"/>
      <c r="X329" s="13"/>
      <c r="Y329" s="13"/>
      <c r="Z329" s="13"/>
    </row>
    <row r="330">
      <c r="A330" s="8">
        <v>43848.739652777775</v>
      </c>
      <c r="B330" s="9" t="str">
        <f>HYPERLINK("https://twitter.com/teamsters362","@teamsters362")</f>
        <v>@teamsters362</v>
      </c>
      <c r="C330" s="10" t="s">
        <v>1566</v>
      </c>
      <c r="D330" s="10" t="s">
        <v>1567</v>
      </c>
      <c r="E330" s="9" t="str">
        <f>HYPERLINK("https://twitter.com/teamsters362/status/1218665646839533569","1218665646839533569")</f>
        <v>1218665646839533569</v>
      </c>
      <c r="F330" s="11" t="s">
        <v>1568</v>
      </c>
      <c r="G330" s="13"/>
      <c r="H330" s="13"/>
      <c r="I330" s="14">
        <v>0.0</v>
      </c>
      <c r="J330" s="14">
        <v>0.0</v>
      </c>
      <c r="K330" s="9" t="str">
        <f>HYPERLINK("https://www.hootsuite.com","Hootsuite Inc.")</f>
        <v>Hootsuite Inc.</v>
      </c>
      <c r="L330" s="15">
        <v>1984.0</v>
      </c>
      <c r="M330" s="15">
        <v>1568.0</v>
      </c>
      <c r="N330" s="15">
        <v>51.0</v>
      </c>
      <c r="O330" s="16"/>
      <c r="P330" s="17">
        <v>41659.88280092592</v>
      </c>
      <c r="Q330" s="10" t="s">
        <v>1569</v>
      </c>
      <c r="R330" s="10" t="s">
        <v>1570</v>
      </c>
      <c r="S330" s="11" t="s">
        <v>1571</v>
      </c>
      <c r="T330" s="13"/>
      <c r="U330" s="18" t="str">
        <f>HYPERLINK("https://pbs.twimg.com/profile_images/469578284104036353/2rPokfxo.jpeg","View")</f>
        <v>View</v>
      </c>
      <c r="V330" s="13"/>
      <c r="W330" s="13"/>
      <c r="X330" s="13"/>
      <c r="Y330" s="13"/>
      <c r="Z330" s="13"/>
    </row>
    <row r="331">
      <c r="A331" s="8">
        <v>43848.73958333333</v>
      </c>
      <c r="B331" s="9" t="str">
        <f>HYPERLINK("https://twitter.com/KylaHamman","@KylaHamman")</f>
        <v>@KylaHamman</v>
      </c>
      <c r="C331" s="10" t="s">
        <v>1499</v>
      </c>
      <c r="D331" s="10" t="s">
        <v>1572</v>
      </c>
      <c r="E331" s="9" t="str">
        <f>HYPERLINK("https://twitter.com/KylaHamman/status/1218665621468086273","1218665621468086273")</f>
        <v>1218665621468086273</v>
      </c>
      <c r="F331" s="13"/>
      <c r="G331" s="13"/>
      <c r="H331" s="13"/>
      <c r="I331" s="14">
        <v>0.0</v>
      </c>
      <c r="J331" s="14">
        <v>0.0</v>
      </c>
      <c r="K331" s="9" t="str">
        <f>HYPERLINK("http://twitter.com/download/iphone","Twitter for iPhone")</f>
        <v>Twitter for iPhone</v>
      </c>
      <c r="L331" s="15">
        <v>46.0</v>
      </c>
      <c r="M331" s="15">
        <v>157.0</v>
      </c>
      <c r="N331" s="15">
        <v>0.0</v>
      </c>
      <c r="O331" s="16"/>
      <c r="P331" s="17">
        <v>43677.895787037036</v>
      </c>
      <c r="Q331" s="13"/>
      <c r="R331" s="10" t="s">
        <v>1501</v>
      </c>
      <c r="S331" s="13"/>
      <c r="T331" s="13"/>
      <c r="U331" s="18" t="str">
        <f>HYPERLINK("https://pbs.twimg.com/profile_images/1156739055914278912/M2-tR8hX.jpg","View")</f>
        <v>View</v>
      </c>
      <c r="V331" s="13"/>
      <c r="W331" s="13"/>
      <c r="X331" s="13"/>
      <c r="Y331" s="13"/>
      <c r="Z331" s="13"/>
    </row>
    <row r="332">
      <c r="A332" s="8">
        <v>43848.73949074074</v>
      </c>
      <c r="B332" s="9" t="str">
        <f>HYPERLINK("https://twitter.com/ParentsVoiceWor","@ParentsVoiceWor")</f>
        <v>@ParentsVoiceWor</v>
      </c>
      <c r="C332" s="10" t="s">
        <v>1573</v>
      </c>
      <c r="D332" s="10" t="s">
        <v>1574</v>
      </c>
      <c r="E332" s="9" t="str">
        <f>HYPERLINK("https://twitter.com/ParentsVoiceWor/status/1218665587406184449","1218665587406184449")</f>
        <v>1218665587406184449</v>
      </c>
      <c r="F332" s="11" t="s">
        <v>1575</v>
      </c>
      <c r="G332" s="13"/>
      <c r="H332" s="13"/>
      <c r="I332" s="14">
        <v>0.0</v>
      </c>
      <c r="J332" s="14">
        <v>0.0</v>
      </c>
      <c r="K332" s="9" t="str">
        <f>HYPERLINK("https://mobile.twitter.com","Twitter Web App")</f>
        <v>Twitter Web App</v>
      </c>
      <c r="L332" s="15">
        <v>6822.0</v>
      </c>
      <c r="M332" s="15">
        <v>7009.0</v>
      </c>
      <c r="N332" s="15">
        <v>0.0</v>
      </c>
      <c r="O332" s="16"/>
      <c r="P332" s="17">
        <v>40221.271006944444</v>
      </c>
      <c r="Q332" s="10" t="s">
        <v>1576</v>
      </c>
      <c r="R332" s="10" t="s">
        <v>1577</v>
      </c>
      <c r="S332" s="11" t="s">
        <v>1578</v>
      </c>
      <c r="T332" s="13"/>
      <c r="U332" s="18" t="str">
        <f>HYPERLINK("https://pbs.twimg.com/profile_images/768356754/parents__voice_logo_small.jpg","View")</f>
        <v>View</v>
      </c>
      <c r="V332" s="13"/>
      <c r="W332" s="13"/>
      <c r="X332" s="13"/>
      <c r="Y332" s="13"/>
      <c r="Z332" s="13"/>
    </row>
    <row r="333">
      <c r="A333" s="8">
        <v>43848.739224537036</v>
      </c>
      <c r="B333" s="9" t="str">
        <f>HYPERLINK("https://twitter.com/The_Anxiety_Guy","@The_Anxiety_Guy")</f>
        <v>@The_Anxiety_Guy</v>
      </c>
      <c r="C333" s="10" t="s">
        <v>1579</v>
      </c>
      <c r="D333" s="10" t="s">
        <v>1580</v>
      </c>
      <c r="E333" s="9" t="str">
        <f>HYPERLINK("https://twitter.com/The_Anxiety_Guy/status/1218665493256556546","1218665493256556546")</f>
        <v>1218665493256556546</v>
      </c>
      <c r="F333" s="13"/>
      <c r="G333" s="11" t="s">
        <v>1581</v>
      </c>
      <c r="H333" s="13"/>
      <c r="I333" s="14">
        <v>1.0</v>
      </c>
      <c r="J333" s="14">
        <v>4.0</v>
      </c>
      <c r="K333" s="9" t="str">
        <f>HYPERLINK("http://twitter.com/download/iphone","Twitter for iPhone")</f>
        <v>Twitter for iPhone</v>
      </c>
      <c r="L333" s="15">
        <v>4193.0</v>
      </c>
      <c r="M333" s="15">
        <v>2776.0</v>
      </c>
      <c r="N333" s="15">
        <v>133.0</v>
      </c>
      <c r="O333" s="16"/>
      <c r="P333" s="17">
        <v>42396.91480324074</v>
      </c>
      <c r="Q333" s="13"/>
      <c r="R333" s="10" t="s">
        <v>1582</v>
      </c>
      <c r="S333" s="11" t="s">
        <v>1583</v>
      </c>
      <c r="T333" s="13"/>
      <c r="U333" s="18" t="str">
        <f>HYPERLINK("https://pbs.twimg.com/profile_images/1111328476953370624/K1x8bHnE.jpg","View")</f>
        <v>View</v>
      </c>
      <c r="V333" s="13"/>
      <c r="W333" s="13"/>
      <c r="X333" s="13"/>
      <c r="Y333" s="13"/>
      <c r="Z333" s="13"/>
    </row>
    <row r="334">
      <c r="A334" s="8">
        <v>43848.738912037035</v>
      </c>
      <c r="B334" s="9" t="str">
        <f>HYPERLINK("https://twitter.com/MiaLis79","@MiaLis79")</f>
        <v>@MiaLis79</v>
      </c>
      <c r="C334" s="10" t="s">
        <v>1343</v>
      </c>
      <c r="D334" s="10" t="s">
        <v>1584</v>
      </c>
      <c r="E334" s="9" t="str">
        <f>HYPERLINK("https://twitter.com/MiaLis79/status/1218665377611296768","1218665377611296768")</f>
        <v>1218665377611296768</v>
      </c>
      <c r="F334" s="11" t="s">
        <v>1585</v>
      </c>
      <c r="G334" s="13"/>
      <c r="H334" s="13"/>
      <c r="I334" s="14">
        <v>1.0</v>
      </c>
      <c r="J334" s="14">
        <v>0.0</v>
      </c>
      <c r="K334" s="9" t="str">
        <f>HYPERLINK("https://www.mytweetpack.com","myTweetPack")</f>
        <v>myTweetPack</v>
      </c>
      <c r="L334" s="15">
        <v>16902.0</v>
      </c>
      <c r="M334" s="15">
        <v>12466.0</v>
      </c>
      <c r="N334" s="15">
        <v>1642.0</v>
      </c>
      <c r="O334" s="16"/>
      <c r="P334" s="17">
        <v>39685.06575231481</v>
      </c>
      <c r="Q334" s="10" t="s">
        <v>1346</v>
      </c>
      <c r="R334" s="10" t="s">
        <v>1347</v>
      </c>
      <c r="S334" s="11" t="s">
        <v>1348</v>
      </c>
      <c r="T334" s="13"/>
      <c r="U334" s="18" t="str">
        <f>HYPERLINK("https://pbs.twimg.com/profile_images/729868043153723394/O1HlkXlX.jpg","View")</f>
        <v>View</v>
      </c>
      <c r="V334" s="13"/>
      <c r="W334" s="13"/>
      <c r="X334" s="13"/>
      <c r="Y334" s="13"/>
      <c r="Z334" s="13"/>
    </row>
    <row r="335">
      <c r="A335" s="8">
        <v>43848.73888888889</v>
      </c>
      <c r="B335" s="9" t="str">
        <f>HYPERLINK("https://twitter.com/YalePediatrics","@YalePediatrics")</f>
        <v>@YalePediatrics</v>
      </c>
      <c r="C335" s="10" t="s">
        <v>1586</v>
      </c>
      <c r="D335" s="10" t="s">
        <v>1587</v>
      </c>
      <c r="E335" s="9" t="str">
        <f>HYPERLINK("https://twitter.com/YalePediatrics/status/1218665368715059201","1218665368715059201")</f>
        <v>1218665368715059201</v>
      </c>
      <c r="F335" s="11" t="s">
        <v>1588</v>
      </c>
      <c r="G335" s="13"/>
      <c r="H335" s="13"/>
      <c r="I335" s="14">
        <v>1.0</v>
      </c>
      <c r="J335" s="14">
        <v>1.0</v>
      </c>
      <c r="K335" s="9" t="str">
        <f>HYPERLINK("https://about.twitter.com/products/tweetdeck","TweetDeck")</f>
        <v>TweetDeck</v>
      </c>
      <c r="L335" s="15">
        <v>326.0</v>
      </c>
      <c r="M335" s="15">
        <v>1178.0</v>
      </c>
      <c r="N335" s="15">
        <v>3.0</v>
      </c>
      <c r="O335" s="16"/>
      <c r="P335" s="17">
        <v>43445.64771990741</v>
      </c>
      <c r="Q335" s="10" t="s">
        <v>1589</v>
      </c>
      <c r="R335" s="10" t="s">
        <v>1590</v>
      </c>
      <c r="S335" s="11" t="s">
        <v>1591</v>
      </c>
      <c r="T335" s="13"/>
      <c r="U335" s="18" t="str">
        <f>HYPERLINK("https://pbs.twimg.com/profile_images/1196872150830874624/dD5R4-wk.jpg","View")</f>
        <v>View</v>
      </c>
      <c r="V335" s="13"/>
      <c r="W335" s="13"/>
      <c r="X335" s="13"/>
      <c r="Y335" s="13"/>
      <c r="Z335" s="13"/>
    </row>
    <row r="336">
      <c r="A336" s="8">
        <v>43848.73815972223</v>
      </c>
      <c r="B336" s="9" t="str">
        <f t="shared" ref="B336:B337" si="44">HYPERLINK("https://twitter.com/VSCA","@VSCA")</f>
        <v>@VSCA</v>
      </c>
      <c r="C336" s="10" t="s">
        <v>1592</v>
      </c>
      <c r="D336" s="10" t="s">
        <v>1593</v>
      </c>
      <c r="E336" s="9" t="str">
        <f>HYPERLINK("https://twitter.com/VSCA/status/1218665105770131456","1218665105770131456")</f>
        <v>1218665105770131456</v>
      </c>
      <c r="F336" s="13"/>
      <c r="G336" s="11" t="s">
        <v>1594</v>
      </c>
      <c r="H336" s="13"/>
      <c r="I336" s="14">
        <v>0.0</v>
      </c>
      <c r="J336" s="14">
        <v>3.0</v>
      </c>
      <c r="K336" s="9" t="str">
        <f t="shared" ref="K336:K337" si="45">HYPERLINK("http://twitter.com/download/iphone","Twitter for iPhone")</f>
        <v>Twitter for iPhone</v>
      </c>
      <c r="L336" s="15">
        <v>3903.0</v>
      </c>
      <c r="M336" s="15">
        <v>431.0</v>
      </c>
      <c r="N336" s="15">
        <v>54.0</v>
      </c>
      <c r="O336" s="16"/>
      <c r="P336" s="17">
        <v>39991.710497685184</v>
      </c>
      <c r="Q336" s="10" t="s">
        <v>1595</v>
      </c>
      <c r="R336" s="10" t="s">
        <v>1596</v>
      </c>
      <c r="S336" s="11" t="s">
        <v>1597</v>
      </c>
      <c r="T336" s="13"/>
      <c r="U336" s="18" t="str">
        <f t="shared" ref="U336:U337" si="46">HYPERLINK("https://pbs.twimg.com/profile_images/969735818049925121/FVBoMx15.jpg","View")</f>
        <v>View</v>
      </c>
      <c r="V336" s="13"/>
      <c r="W336" s="13"/>
      <c r="X336" s="13"/>
      <c r="Y336" s="13"/>
      <c r="Z336" s="13"/>
    </row>
    <row r="337">
      <c r="A337" s="8">
        <v>43848.737442129626</v>
      </c>
      <c r="B337" s="9" t="str">
        <f t="shared" si="44"/>
        <v>@VSCA</v>
      </c>
      <c r="C337" s="10" t="s">
        <v>1592</v>
      </c>
      <c r="D337" s="10" t="s">
        <v>1598</v>
      </c>
      <c r="E337" s="9" t="str">
        <f>HYPERLINK("https://twitter.com/VSCA/status/1218664844309778433","1218664844309778433")</f>
        <v>1218664844309778433</v>
      </c>
      <c r="F337" s="13"/>
      <c r="G337" s="11" t="s">
        <v>1599</v>
      </c>
      <c r="H337" s="13"/>
      <c r="I337" s="14">
        <v>0.0</v>
      </c>
      <c r="J337" s="14">
        <v>3.0</v>
      </c>
      <c r="K337" s="9" t="str">
        <f t="shared" si="45"/>
        <v>Twitter for iPhone</v>
      </c>
      <c r="L337" s="15">
        <v>3903.0</v>
      </c>
      <c r="M337" s="15">
        <v>431.0</v>
      </c>
      <c r="N337" s="15">
        <v>54.0</v>
      </c>
      <c r="O337" s="16"/>
      <c r="P337" s="17">
        <v>39991.710497685184</v>
      </c>
      <c r="Q337" s="10" t="s">
        <v>1595</v>
      </c>
      <c r="R337" s="10" t="s">
        <v>1596</v>
      </c>
      <c r="S337" s="11" t="s">
        <v>1597</v>
      </c>
      <c r="T337" s="13"/>
      <c r="U337" s="18" t="str">
        <f t="shared" si="46"/>
        <v>View</v>
      </c>
      <c r="V337" s="13"/>
      <c r="W337" s="13"/>
      <c r="X337" s="13"/>
      <c r="Y337" s="13"/>
      <c r="Z337" s="13"/>
    </row>
    <row r="338">
      <c r="A338" s="8">
        <v>43848.73734953704</v>
      </c>
      <c r="B338" s="9" t="str">
        <f>HYPERLINK("https://twitter.com/IzzySlick","@IzzySlick")</f>
        <v>@IzzySlick</v>
      </c>
      <c r="C338" s="10" t="s">
        <v>1600</v>
      </c>
      <c r="D338" s="10" t="s">
        <v>1601</v>
      </c>
      <c r="E338" s="9" t="str">
        <f>HYPERLINK("https://twitter.com/IzzySlick/status/1218664812638560256","1218664812638560256")</f>
        <v>1218664812638560256</v>
      </c>
      <c r="F338" s="13"/>
      <c r="G338" s="13"/>
      <c r="H338" s="13"/>
      <c r="I338" s="14">
        <v>0.0</v>
      </c>
      <c r="J338" s="14">
        <v>0.0</v>
      </c>
      <c r="K338" s="9" t="str">
        <f>HYPERLINK("http://twitter.com/download/android","Twitter for Android")</f>
        <v>Twitter for Android</v>
      </c>
      <c r="L338" s="15">
        <v>1512.0</v>
      </c>
      <c r="M338" s="15">
        <v>5003.0</v>
      </c>
      <c r="N338" s="15">
        <v>10.0</v>
      </c>
      <c r="O338" s="16"/>
      <c r="P338" s="17">
        <v>43656.10997685185</v>
      </c>
      <c r="Q338" s="10" t="s">
        <v>1602</v>
      </c>
      <c r="R338" s="10" t="s">
        <v>1603</v>
      </c>
      <c r="S338" s="11" t="s">
        <v>1604</v>
      </c>
      <c r="T338" s="13"/>
      <c r="U338" s="18" t="str">
        <f>HYPERLINK("https://pbs.twimg.com/profile_images/1210307883923070976/RlqMDLRc.jpg","View")</f>
        <v>View</v>
      </c>
      <c r="V338" s="13"/>
      <c r="W338" s="13"/>
      <c r="X338" s="13"/>
      <c r="Y338" s="13"/>
      <c r="Z338" s="13"/>
    </row>
    <row r="339">
      <c r="A339" s="8">
        <v>43848.736168981486</v>
      </c>
      <c r="B339" s="9" t="str">
        <f>HYPERLINK("https://twitter.com/djemal_ua","@djemal_ua")</f>
        <v>@djemal_ua</v>
      </c>
      <c r="C339" s="10" t="s">
        <v>1161</v>
      </c>
      <c r="D339" s="10" t="s">
        <v>1605</v>
      </c>
      <c r="E339" s="9" t="str">
        <f>HYPERLINK("https://twitter.com/djemal_ua/status/1218664383720632320","1218664383720632320")</f>
        <v>1218664383720632320</v>
      </c>
      <c r="F339" s="11" t="s">
        <v>1606</v>
      </c>
      <c r="G339" s="13"/>
      <c r="H339" s="13"/>
      <c r="I339" s="14">
        <v>0.0</v>
      </c>
      <c r="J339" s="14">
        <v>0.0</v>
      </c>
      <c r="K339" s="9" t="str">
        <f t="shared" ref="K339:K340" si="47">HYPERLINK("https://www.hootsuite.com","Hootsuite Inc.")</f>
        <v>Hootsuite Inc.</v>
      </c>
      <c r="L339" s="15">
        <v>5127.0</v>
      </c>
      <c r="M339" s="15">
        <v>4724.0</v>
      </c>
      <c r="N339" s="15">
        <v>60.0</v>
      </c>
      <c r="O339" s="16"/>
      <c r="P339" s="17">
        <v>43530.25729166667</v>
      </c>
      <c r="Q339" s="10" t="s">
        <v>95</v>
      </c>
      <c r="R339" s="10" t="s">
        <v>1164</v>
      </c>
      <c r="S339" s="11" t="s">
        <v>1165</v>
      </c>
      <c r="T339" s="13"/>
      <c r="U339" s="18" t="str">
        <f>HYPERLINK("https://pbs.twimg.com/profile_images/1202978381106761728/aqUhVSTO.jpg","View")</f>
        <v>View</v>
      </c>
      <c r="V339" s="13"/>
      <c r="W339" s="13"/>
      <c r="X339" s="13"/>
      <c r="Y339" s="13"/>
      <c r="Z339" s="13"/>
    </row>
    <row r="340">
      <c r="A340" s="8">
        <v>43848.73613425926</v>
      </c>
      <c r="B340" s="9" t="str">
        <f>HYPERLINK("https://twitter.com/DrHyken","@DrHyken")</f>
        <v>@DrHyken</v>
      </c>
      <c r="C340" s="10" t="s">
        <v>1607</v>
      </c>
      <c r="D340" s="10" t="s">
        <v>1608</v>
      </c>
      <c r="E340" s="9" t="str">
        <f>HYPERLINK("https://twitter.com/DrHyken/status/1218664371024515073","1218664371024515073")</f>
        <v>1218664371024515073</v>
      </c>
      <c r="F340" s="11" t="s">
        <v>1609</v>
      </c>
      <c r="G340" s="13"/>
      <c r="H340" s="13"/>
      <c r="I340" s="14">
        <v>0.0</v>
      </c>
      <c r="J340" s="14">
        <v>0.0</v>
      </c>
      <c r="K340" s="9" t="str">
        <f t="shared" si="47"/>
        <v>Hootsuite Inc.</v>
      </c>
      <c r="L340" s="15">
        <v>20094.0</v>
      </c>
      <c r="M340" s="15">
        <v>7758.0</v>
      </c>
      <c r="N340" s="15">
        <v>455.0</v>
      </c>
      <c r="O340" s="16"/>
      <c r="P340" s="17">
        <v>40020.89127314815</v>
      </c>
      <c r="Q340" s="10" t="s">
        <v>1610</v>
      </c>
      <c r="R340" s="10" t="s">
        <v>1611</v>
      </c>
      <c r="S340" s="11" t="s">
        <v>1612</v>
      </c>
      <c r="T340" s="13"/>
      <c r="U340" s="18" t="str">
        <f>HYPERLINK("https://pbs.twimg.com/profile_images/1193920759304990721/1P39cwRb.jpg","View")</f>
        <v>View</v>
      </c>
      <c r="V340" s="13"/>
      <c r="W340" s="13"/>
      <c r="X340" s="13"/>
      <c r="Y340" s="13"/>
      <c r="Z340" s="13"/>
    </row>
    <row r="341">
      <c r="A341" s="8">
        <v>43848.73604166666</v>
      </c>
      <c r="B341" s="9" t="str">
        <f t="shared" ref="B341:B342" si="48">HYPERLINK("https://twitter.com/LovingSanders","@LovingSanders")</f>
        <v>@LovingSanders</v>
      </c>
      <c r="C341" s="10" t="s">
        <v>70</v>
      </c>
      <c r="D341" s="10" t="s">
        <v>1613</v>
      </c>
      <c r="E341" s="9" t="str">
        <f>HYPERLINK("https://twitter.com/LovingSanders/status/1218664337251782656","1218664337251782656")</f>
        <v>1218664337251782656</v>
      </c>
      <c r="F341" s="11" t="s">
        <v>1614</v>
      </c>
      <c r="G341" s="13"/>
      <c r="H341" s="13"/>
      <c r="I341" s="14">
        <v>0.0</v>
      </c>
      <c r="J341" s="14">
        <v>0.0</v>
      </c>
      <c r="K341" s="9" t="str">
        <f t="shared" ref="K341:K342" si="49">HYPERLINK("https://plus.google.com/102104104608814339564","ZolushkaLaura")</f>
        <v>ZolushkaLaura</v>
      </c>
      <c r="L341" s="15">
        <v>8205.0</v>
      </c>
      <c r="M341" s="15">
        <v>5631.0</v>
      </c>
      <c r="N341" s="15">
        <v>555.0</v>
      </c>
      <c r="O341" s="16"/>
      <c r="P341" s="17">
        <v>41611.270844907405</v>
      </c>
      <c r="Q341" s="10" t="s">
        <v>73</v>
      </c>
      <c r="R341" s="10" t="s">
        <v>74</v>
      </c>
      <c r="S341" s="11" t="s">
        <v>75</v>
      </c>
      <c r="T341" s="13"/>
      <c r="U341" s="18" t="str">
        <f t="shared" ref="U341:U342" si="50">HYPERLINK("https://pbs.twimg.com/profile_images/953034378275377152/PI2tXfLU.jpg","View")</f>
        <v>View</v>
      </c>
      <c r="V341" s="13"/>
      <c r="W341" s="13"/>
      <c r="X341" s="13"/>
      <c r="Y341" s="13"/>
      <c r="Z341" s="13"/>
    </row>
    <row r="342">
      <c r="A342" s="8">
        <v>43848.73600694444</v>
      </c>
      <c r="B342" s="9" t="str">
        <f t="shared" si="48"/>
        <v>@LovingSanders</v>
      </c>
      <c r="C342" s="10" t="s">
        <v>70</v>
      </c>
      <c r="D342" s="10" t="s">
        <v>1615</v>
      </c>
      <c r="E342" s="9" t="str">
        <f>HYPERLINK("https://twitter.com/LovingSanders/status/1218664323540631557","1218664323540631557")</f>
        <v>1218664323540631557</v>
      </c>
      <c r="F342" s="11" t="s">
        <v>1616</v>
      </c>
      <c r="G342" s="13"/>
      <c r="H342" s="13"/>
      <c r="I342" s="14">
        <v>0.0</v>
      </c>
      <c r="J342" s="14">
        <v>0.0</v>
      </c>
      <c r="K342" s="9" t="str">
        <f t="shared" si="49"/>
        <v>ZolushkaLaura</v>
      </c>
      <c r="L342" s="15">
        <v>8205.0</v>
      </c>
      <c r="M342" s="15">
        <v>5631.0</v>
      </c>
      <c r="N342" s="15">
        <v>555.0</v>
      </c>
      <c r="O342" s="16"/>
      <c r="P342" s="17">
        <v>41611.270844907405</v>
      </c>
      <c r="Q342" s="10" t="s">
        <v>73</v>
      </c>
      <c r="R342" s="10" t="s">
        <v>74</v>
      </c>
      <c r="S342" s="11" t="s">
        <v>75</v>
      </c>
      <c r="T342" s="13"/>
      <c r="U342" s="18" t="str">
        <f t="shared" si="50"/>
        <v>View</v>
      </c>
      <c r="V342" s="13"/>
      <c r="W342" s="13"/>
      <c r="X342" s="13"/>
      <c r="Y342" s="13"/>
      <c r="Z342" s="13"/>
    </row>
    <row r="343">
      <c r="A343" s="8">
        <v>43848.73578703703</v>
      </c>
      <c r="B343" s="9" t="str">
        <f>HYPERLINK("https://twitter.com/TaiGrice","@TaiGrice")</f>
        <v>@TaiGrice</v>
      </c>
      <c r="C343" s="10" t="s">
        <v>1617</v>
      </c>
      <c r="D343" s="10" t="s">
        <v>1618</v>
      </c>
      <c r="E343" s="9" t="str">
        <f>HYPERLINK("https://twitter.com/TaiGrice/status/1218664245811806208","1218664245811806208")</f>
        <v>1218664245811806208</v>
      </c>
      <c r="F343" s="13"/>
      <c r="G343" s="11" t="s">
        <v>1619</v>
      </c>
      <c r="H343" s="13"/>
      <c r="I343" s="14">
        <v>0.0</v>
      </c>
      <c r="J343" s="14">
        <v>1.0</v>
      </c>
      <c r="K343" s="9" t="str">
        <f>HYPERLINK("https://mobile.twitter.com","Twitter Web App")</f>
        <v>Twitter Web App</v>
      </c>
      <c r="L343" s="15">
        <v>2930.0</v>
      </c>
      <c r="M343" s="15">
        <v>2153.0</v>
      </c>
      <c r="N343" s="15">
        <v>21.0</v>
      </c>
      <c r="O343" s="16"/>
      <c r="P343" s="17">
        <v>43674.73736111111</v>
      </c>
      <c r="Q343" s="10" t="s">
        <v>1620</v>
      </c>
      <c r="R343" s="10" t="s">
        <v>1621</v>
      </c>
      <c r="S343" s="13"/>
      <c r="T343" s="13"/>
      <c r="U343" s="18" t="str">
        <f>HYPERLINK("https://pbs.twimg.com/profile_images/1188996394457001985/wNsCJ0x6.jpg","View")</f>
        <v>View</v>
      </c>
      <c r="V343" s="13"/>
      <c r="W343" s="13"/>
      <c r="X343" s="13"/>
      <c r="Y343" s="13"/>
      <c r="Z343" s="13"/>
    </row>
    <row r="344">
      <c r="A344" s="8">
        <v>43848.735543981486</v>
      </c>
      <c r="B344" s="9" t="str">
        <f>HYPERLINK("https://twitter.com/Sensandsenspod","@Sensandsenspod")</f>
        <v>@Sensandsenspod</v>
      </c>
      <c r="C344" s="10" t="s">
        <v>1622</v>
      </c>
      <c r="D344" s="10" t="s">
        <v>1623</v>
      </c>
      <c r="E344" s="9" t="str">
        <f>HYPERLINK("https://twitter.com/Sensandsenspod/status/1218664155546255360","1218664155546255360")</f>
        <v>1218664155546255360</v>
      </c>
      <c r="F344" s="13"/>
      <c r="G344" s="13"/>
      <c r="H344" s="13"/>
      <c r="I344" s="14">
        <v>0.0</v>
      </c>
      <c r="J344" s="14">
        <v>0.0</v>
      </c>
      <c r="K344" s="9" t="str">
        <f>HYPERLINK("http://twitter.com/download/android","Twitter for Android")</f>
        <v>Twitter for Android</v>
      </c>
      <c r="L344" s="15">
        <v>127.0</v>
      </c>
      <c r="M344" s="15">
        <v>196.0</v>
      </c>
      <c r="N344" s="15">
        <v>1.0</v>
      </c>
      <c r="O344" s="16"/>
      <c r="P344" s="17">
        <v>43719.94805555556</v>
      </c>
      <c r="Q344" s="10" t="s">
        <v>1624</v>
      </c>
      <c r="R344" s="10" t="s">
        <v>1625</v>
      </c>
      <c r="S344" s="11" t="s">
        <v>1626</v>
      </c>
      <c r="T344" s="13"/>
      <c r="U344" s="18" t="str">
        <f>HYPERLINK("https://pbs.twimg.com/profile_images/1171978098050572289/xoy5VARK.jpg","View")</f>
        <v>View</v>
      </c>
      <c r="V344" s="13"/>
      <c r="W344" s="13"/>
      <c r="X344" s="13"/>
      <c r="Y344" s="13"/>
      <c r="Z344" s="13"/>
    </row>
    <row r="345">
      <c r="A345" s="8">
        <v>43848.734930555554</v>
      </c>
      <c r="B345" s="9" t="str">
        <f>HYPERLINK("https://twitter.com/DevonJHall","@DevonJHall")</f>
        <v>@DevonJHall</v>
      </c>
      <c r="C345" s="10" t="s">
        <v>1627</v>
      </c>
      <c r="D345" s="10" t="s">
        <v>1628</v>
      </c>
      <c r="E345" s="9" t="str">
        <f>HYPERLINK("https://twitter.com/DevonJHall/status/1218663935177641984","1218663935177641984")</f>
        <v>1218663935177641984</v>
      </c>
      <c r="F345" s="11" t="s">
        <v>1629</v>
      </c>
      <c r="G345" s="11" t="s">
        <v>1630</v>
      </c>
      <c r="H345" s="13"/>
      <c r="I345" s="14">
        <v>1.0</v>
      </c>
      <c r="J345" s="14">
        <v>0.0</v>
      </c>
      <c r="K345" s="9" t="str">
        <f>HYPERLINK("http://publicize.wp.com/","WordPress.com")</f>
        <v>WordPress.com</v>
      </c>
      <c r="L345" s="15">
        <v>1630.0</v>
      </c>
      <c r="M345" s="15">
        <v>544.0</v>
      </c>
      <c r="N345" s="15">
        <v>190.0</v>
      </c>
      <c r="O345" s="16"/>
      <c r="P345" s="17">
        <v>41323.153287037036</v>
      </c>
      <c r="Q345" s="10" t="s">
        <v>1631</v>
      </c>
      <c r="R345" s="10" t="s">
        <v>1632</v>
      </c>
      <c r="S345" s="11" t="s">
        <v>1633</v>
      </c>
      <c r="T345" s="13"/>
      <c r="U345" s="18" t="str">
        <f>HYPERLINK("https://pbs.twimg.com/profile_images/1207775340237447168/V_gdKfdZ.jpg","View")</f>
        <v>View</v>
      </c>
      <c r="V345" s="13"/>
      <c r="W345" s="13"/>
      <c r="X345" s="13"/>
      <c r="Y345" s="13"/>
      <c r="Z345" s="13"/>
    </row>
    <row r="346">
      <c r="A346" s="8">
        <v>43848.73452546296</v>
      </c>
      <c r="B346" s="9" t="str">
        <f>HYPERLINK("https://twitter.com/chrichri_","@chrichri_")</f>
        <v>@chrichri_</v>
      </c>
      <c r="C346" s="10" t="s">
        <v>1634</v>
      </c>
      <c r="D346" s="10" t="s">
        <v>1635</v>
      </c>
      <c r="E346" s="9" t="str">
        <f>HYPERLINK("https://twitter.com/chrichri_/status/1218663790537035776","1218663790537035776")</f>
        <v>1218663790537035776</v>
      </c>
      <c r="F346" s="13"/>
      <c r="G346" s="13"/>
      <c r="H346" s="13"/>
      <c r="I346" s="14">
        <v>0.0</v>
      </c>
      <c r="J346" s="14">
        <v>0.0</v>
      </c>
      <c r="K346" s="9" t="str">
        <f>HYPERLINK("http://twitter.com/download/iphone","Twitter for iPhone")</f>
        <v>Twitter for iPhone</v>
      </c>
      <c r="L346" s="15">
        <v>70.0</v>
      </c>
      <c r="M346" s="15">
        <v>316.0</v>
      </c>
      <c r="N346" s="15">
        <v>0.0</v>
      </c>
      <c r="O346" s="16"/>
      <c r="P346" s="17">
        <v>42931.82126157408</v>
      </c>
      <c r="Q346" s="10" t="s">
        <v>856</v>
      </c>
      <c r="R346" s="10" t="s">
        <v>1636</v>
      </c>
      <c r="S346" s="13"/>
      <c r="T346" s="13"/>
      <c r="U346" s="18" t="str">
        <f>HYPERLINK("https://pbs.twimg.com/profile_images/1217597463504347137/cPDqWaLp.jpg","View")</f>
        <v>View</v>
      </c>
      <c r="V346" s="13"/>
      <c r="W346" s="13"/>
      <c r="X346" s="13"/>
      <c r="Y346" s="13"/>
      <c r="Z346" s="13"/>
    </row>
    <row r="347">
      <c r="A347" s="8">
        <v>43848.73409722222</v>
      </c>
      <c r="B347" s="9" t="str">
        <f>HYPERLINK("https://twitter.com/ThePathOfMe","@ThePathOfMe")</f>
        <v>@ThePathOfMe</v>
      </c>
      <c r="C347" s="10" t="s">
        <v>1637</v>
      </c>
      <c r="D347" s="10" t="s">
        <v>1638</v>
      </c>
      <c r="E347" s="9" t="str">
        <f>HYPERLINK("https://twitter.com/ThePathOfMe/status/1218663633175052288","1218663633175052288")</f>
        <v>1218663633175052288</v>
      </c>
      <c r="F347" s="11" t="s">
        <v>1639</v>
      </c>
      <c r="G347" s="13"/>
      <c r="H347" s="13"/>
      <c r="I347" s="14">
        <v>0.0</v>
      </c>
      <c r="J347" s="14">
        <v>1.0</v>
      </c>
      <c r="K347" s="9" t="str">
        <f>HYPERLINK("https://www.socialoomph.com","SocialOomph")</f>
        <v>SocialOomph</v>
      </c>
      <c r="L347" s="15">
        <v>13130.0</v>
      </c>
      <c r="M347" s="15">
        <v>11638.0</v>
      </c>
      <c r="N347" s="15">
        <v>580.0</v>
      </c>
      <c r="O347" s="16"/>
      <c r="P347" s="17">
        <v>41567.04141203704</v>
      </c>
      <c r="Q347" s="10" t="s">
        <v>1099</v>
      </c>
      <c r="R347" s="10" t="s">
        <v>1640</v>
      </c>
      <c r="S347" s="11" t="s">
        <v>1641</v>
      </c>
      <c r="T347" s="13"/>
      <c r="U347" s="18" t="str">
        <f>HYPERLINK("https://pbs.twimg.com/profile_images/1088560942126952449/0WtZpiss.jpg","View")</f>
        <v>View</v>
      </c>
      <c r="V347" s="13"/>
      <c r="W347" s="13"/>
      <c r="X347" s="13"/>
      <c r="Y347" s="13"/>
      <c r="Z347" s="13"/>
    </row>
    <row r="348">
      <c r="A348" s="8">
        <v>43848.73403935185</v>
      </c>
      <c r="B348" s="9" t="str">
        <f>HYPERLINK("https://twitter.com/mtoro_h","@mtoro_h")</f>
        <v>@mtoro_h</v>
      </c>
      <c r="C348" s="10" t="s">
        <v>1642</v>
      </c>
      <c r="D348" s="10" t="s">
        <v>1643</v>
      </c>
      <c r="E348" s="9" t="str">
        <f>HYPERLINK("https://twitter.com/mtoro_h/status/1218663611360534528","1218663611360534528")</f>
        <v>1218663611360534528</v>
      </c>
      <c r="F348" s="13"/>
      <c r="G348" s="13"/>
      <c r="H348" s="13"/>
      <c r="I348" s="14">
        <v>0.0</v>
      </c>
      <c r="J348" s="14">
        <v>2.0</v>
      </c>
      <c r="K348" s="9" t="str">
        <f>HYPERLINK("http://twitter.com/download/android","Twitter for Android")</f>
        <v>Twitter for Android</v>
      </c>
      <c r="L348" s="15">
        <v>351.0</v>
      </c>
      <c r="M348" s="15">
        <v>637.0</v>
      </c>
      <c r="N348" s="15">
        <v>0.0</v>
      </c>
      <c r="O348" s="16"/>
      <c r="P348" s="17">
        <v>43527.70226851852</v>
      </c>
      <c r="Q348" s="10" t="s">
        <v>1644</v>
      </c>
      <c r="R348" s="10" t="s">
        <v>1645</v>
      </c>
      <c r="S348" s="13"/>
      <c r="T348" s="13"/>
      <c r="U348" s="18" t="str">
        <f>HYPERLINK("https://pbs.twimg.com/profile_images/1201301503753015299/ggOx82n9.jpg","View")</f>
        <v>View</v>
      </c>
      <c r="V348" s="13"/>
      <c r="W348" s="13"/>
      <c r="X348" s="13"/>
      <c r="Y348" s="13"/>
      <c r="Z348" s="13"/>
    </row>
    <row r="349">
      <c r="A349" s="8">
        <v>43848.73398148148</v>
      </c>
      <c r="B349" s="9" t="str">
        <f>HYPERLINK("https://twitter.com/DanielEDawes","@DanielEDawes")</f>
        <v>@DanielEDawes</v>
      </c>
      <c r="C349" s="10" t="s">
        <v>1646</v>
      </c>
      <c r="D349" s="10" t="s">
        <v>1647</v>
      </c>
      <c r="E349" s="9" t="str">
        <f>HYPERLINK("https://twitter.com/DanielEDawes/status/1218663591609536512","1218663591609536512")</f>
        <v>1218663591609536512</v>
      </c>
      <c r="F349" s="11" t="s">
        <v>1648</v>
      </c>
      <c r="G349" s="13"/>
      <c r="H349" s="13"/>
      <c r="I349" s="14">
        <v>0.0</v>
      </c>
      <c r="J349" s="14">
        <v>3.0</v>
      </c>
      <c r="K349" s="9" t="str">
        <f>HYPERLINK("http://twitter.com/download/iphone","Twitter for iPhone")</f>
        <v>Twitter for iPhone</v>
      </c>
      <c r="L349" s="15">
        <v>1145.0</v>
      </c>
      <c r="M349" s="15">
        <v>784.0</v>
      </c>
      <c r="N349" s="15">
        <v>30.0</v>
      </c>
      <c r="O349" s="16"/>
      <c r="P349" s="17">
        <v>42172.052881944444</v>
      </c>
      <c r="Q349" s="10" t="s">
        <v>1649</v>
      </c>
      <c r="R349" s="10" t="s">
        <v>1650</v>
      </c>
      <c r="S349" s="11" t="s">
        <v>1651</v>
      </c>
      <c r="T349" s="13"/>
      <c r="U349" s="18" t="str">
        <f>HYPERLINK("https://pbs.twimg.com/profile_images/687736562419904514/NtcJ-n6F.jpg","View")</f>
        <v>View</v>
      </c>
      <c r="V349" s="13"/>
      <c r="W349" s="13"/>
      <c r="X349" s="13"/>
      <c r="Y349" s="13"/>
      <c r="Z349" s="13"/>
    </row>
    <row r="350">
      <c r="A350" s="8">
        <v>43848.73375</v>
      </c>
      <c r="B350" s="9" t="str">
        <f>HYPERLINK("https://twitter.com/djdavelive","@djdavelive")</f>
        <v>@djdavelive</v>
      </c>
      <c r="C350" s="11" t="s">
        <v>1652</v>
      </c>
      <c r="D350" s="10" t="s">
        <v>1653</v>
      </c>
      <c r="E350" s="9" t="str">
        <f>HYPERLINK("https://twitter.com/djdavelive/status/1218663505580216322","1218663505580216322")</f>
        <v>1218663505580216322</v>
      </c>
      <c r="F350" s="11" t="s">
        <v>1654</v>
      </c>
      <c r="G350" s="13"/>
      <c r="H350" s="13"/>
      <c r="I350" s="14">
        <v>0.0</v>
      </c>
      <c r="J350" s="14">
        <v>0.0</v>
      </c>
      <c r="K350" s="9" t="str">
        <f>HYPERLINK("http://www.DynamicTweets.com","Dynamic Tweets")</f>
        <v>Dynamic Tweets</v>
      </c>
      <c r="L350" s="15">
        <v>5462.0</v>
      </c>
      <c r="M350" s="15">
        <v>5137.0</v>
      </c>
      <c r="N350" s="15">
        <v>204.0</v>
      </c>
      <c r="O350" s="16"/>
      <c r="P350" s="17">
        <v>40413.89355324074</v>
      </c>
      <c r="Q350" s="10" t="s">
        <v>245</v>
      </c>
      <c r="R350" s="10" t="s">
        <v>1655</v>
      </c>
      <c r="S350" s="11" t="s">
        <v>1656</v>
      </c>
      <c r="T350" s="13"/>
      <c r="U350" s="18" t="str">
        <f>HYPERLINK("https://pbs.twimg.com/profile_images/933351548951838725/KfUxqarF.jpg","View")</f>
        <v>View</v>
      </c>
      <c r="V350" s="13"/>
      <c r="W350" s="13"/>
      <c r="X350" s="13"/>
      <c r="Y350" s="13"/>
      <c r="Z350" s="13"/>
    </row>
    <row r="351">
      <c r="A351" s="8">
        <v>43848.73302083333</v>
      </c>
      <c r="B351" s="9" t="str">
        <f>HYPERLINK("https://twitter.com/newmee24","@newmee24")</f>
        <v>@newmee24</v>
      </c>
      <c r="C351" s="10" t="s">
        <v>1657</v>
      </c>
      <c r="D351" s="10" t="s">
        <v>1658</v>
      </c>
      <c r="E351" s="9" t="str">
        <f>HYPERLINK("https://twitter.com/newmee24/status/1218663244904255494","1218663244904255494")</f>
        <v>1218663244904255494</v>
      </c>
      <c r="F351" s="13"/>
      <c r="G351" s="13"/>
      <c r="H351" s="13"/>
      <c r="I351" s="14">
        <v>0.0</v>
      </c>
      <c r="J351" s="14">
        <v>1.0</v>
      </c>
      <c r="K351" s="9" t="str">
        <f>HYPERLINK("http://twitter.com/download/iphone","Twitter for iPhone")</f>
        <v>Twitter for iPhone</v>
      </c>
      <c r="L351" s="15">
        <v>106.0</v>
      </c>
      <c r="M351" s="15">
        <v>219.0</v>
      </c>
      <c r="N351" s="15">
        <v>2.0</v>
      </c>
      <c r="O351" s="16"/>
      <c r="P351" s="17">
        <v>40597.44863425926</v>
      </c>
      <c r="Q351" s="10" t="s">
        <v>1659</v>
      </c>
      <c r="R351" s="10" t="s">
        <v>1660</v>
      </c>
      <c r="S351" s="13"/>
      <c r="T351" s="13"/>
      <c r="U351" s="18" t="str">
        <f>HYPERLINK("https://pbs.twimg.com/profile_images/1190061283359498244/A5H8ojj6.jpg","View")</f>
        <v>View</v>
      </c>
      <c r="V351" s="13"/>
      <c r="W351" s="13"/>
      <c r="X351" s="13"/>
      <c r="Y351" s="13"/>
      <c r="Z351" s="13"/>
    </row>
    <row r="352">
      <c r="A352" s="8">
        <v>43848.731840277775</v>
      </c>
      <c r="B352" s="9" t="str">
        <f>HYPERLINK("https://twitter.com/GeraldLMcgee","@GeraldLMcgee")</f>
        <v>@GeraldLMcgee</v>
      </c>
      <c r="C352" s="10" t="s">
        <v>1661</v>
      </c>
      <c r="D352" s="10" t="s">
        <v>1662</v>
      </c>
      <c r="E352" s="9" t="str">
        <f>HYPERLINK("https://twitter.com/GeraldLMcgee/status/1218662815193608192","1218662815193608192")</f>
        <v>1218662815193608192</v>
      </c>
      <c r="F352" s="13"/>
      <c r="G352" s="13"/>
      <c r="H352" s="13"/>
      <c r="I352" s="14">
        <v>0.0</v>
      </c>
      <c r="J352" s="14">
        <v>2.0</v>
      </c>
      <c r="K352" s="9" t="str">
        <f t="shared" ref="K352:K353" si="51">HYPERLINK("http://twitter.com/download/android","Twitter for Android")</f>
        <v>Twitter for Android</v>
      </c>
      <c r="L352" s="15">
        <v>260.0</v>
      </c>
      <c r="M352" s="15">
        <v>13.0</v>
      </c>
      <c r="N352" s="15">
        <v>7.0</v>
      </c>
      <c r="O352" s="16"/>
      <c r="P352" s="17">
        <v>40120.5862962963</v>
      </c>
      <c r="Q352" s="10" t="s">
        <v>24</v>
      </c>
      <c r="R352" s="10" t="s">
        <v>1663</v>
      </c>
      <c r="S352" s="11" t="s">
        <v>1664</v>
      </c>
      <c r="T352" s="13"/>
      <c r="U352" s="18" t="str">
        <f>HYPERLINK("https://pbs.twimg.com/profile_images/1108368614728630272/9Iu38dBO.jpg","View")</f>
        <v>View</v>
      </c>
      <c r="V352" s="13"/>
      <c r="W352" s="13"/>
      <c r="X352" s="13"/>
      <c r="Y352" s="13"/>
      <c r="Z352" s="13"/>
    </row>
    <row r="353">
      <c r="A353" s="8">
        <v>43848.73112268519</v>
      </c>
      <c r="B353" s="9" t="str">
        <f>HYPERLINK("https://twitter.com/SwitchUpNotts","@SwitchUpNotts")</f>
        <v>@SwitchUpNotts</v>
      </c>
      <c r="C353" s="10" t="s">
        <v>1665</v>
      </c>
      <c r="D353" s="10" t="s">
        <v>1666</v>
      </c>
      <c r="E353" s="9" t="str">
        <f>HYPERLINK("https://twitter.com/SwitchUpNotts/status/1218662556425949184","1218662556425949184")</f>
        <v>1218662556425949184</v>
      </c>
      <c r="F353" s="13"/>
      <c r="G353" s="13"/>
      <c r="H353" s="13"/>
      <c r="I353" s="14">
        <v>0.0</v>
      </c>
      <c r="J353" s="14">
        <v>3.0</v>
      </c>
      <c r="K353" s="9" t="str">
        <f t="shared" si="51"/>
        <v>Twitter for Android</v>
      </c>
      <c r="L353" s="15">
        <v>730.0</v>
      </c>
      <c r="M353" s="15">
        <v>99.0</v>
      </c>
      <c r="N353" s="15">
        <v>16.0</v>
      </c>
      <c r="O353" s="16"/>
      <c r="P353" s="17">
        <v>41771.788356481484</v>
      </c>
      <c r="Q353" s="10" t="s">
        <v>1667</v>
      </c>
      <c r="R353" s="10" t="s">
        <v>1668</v>
      </c>
      <c r="S353" s="11" t="s">
        <v>1669</v>
      </c>
      <c r="T353" s="13"/>
      <c r="U353" s="18" t="str">
        <f>HYPERLINK("https://pbs.twimg.com/profile_images/465989574670303232/4Fm7nsiU.jpeg","View")</f>
        <v>View</v>
      </c>
      <c r="V353" s="13"/>
      <c r="W353" s="13"/>
      <c r="X353" s="13"/>
      <c r="Y353" s="13"/>
      <c r="Z353" s="13"/>
    </row>
    <row r="354">
      <c r="A354" s="8">
        <v>43848.73094907407</v>
      </c>
      <c r="B354" s="9" t="str">
        <f>HYPERLINK("https://twitter.com/grouptherapy33","@grouptherapy33")</f>
        <v>@grouptherapy33</v>
      </c>
      <c r="C354" s="10" t="s">
        <v>831</v>
      </c>
      <c r="D354" s="10" t="s">
        <v>1670</v>
      </c>
      <c r="E354" s="9" t="str">
        <f>HYPERLINK("https://twitter.com/grouptherapy33/status/1218662493192630272","1218662493192630272")</f>
        <v>1218662493192630272</v>
      </c>
      <c r="F354" s="13"/>
      <c r="G354" s="13"/>
      <c r="H354" s="13"/>
      <c r="I354" s="14">
        <v>0.0</v>
      </c>
      <c r="J354" s="14">
        <v>0.0</v>
      </c>
      <c r="K354" s="9" t="str">
        <f>HYPERLINK("http://www.DynamicTweets.com","Dynamic Tweets")</f>
        <v>Dynamic Tweets</v>
      </c>
      <c r="L354" s="15">
        <v>4053.0</v>
      </c>
      <c r="M354" s="15">
        <v>3517.0</v>
      </c>
      <c r="N354" s="15">
        <v>74.0</v>
      </c>
      <c r="O354" s="16"/>
      <c r="P354" s="17">
        <v>42375.45542824074</v>
      </c>
      <c r="Q354" s="13"/>
      <c r="R354" s="13"/>
      <c r="S354" s="11" t="s">
        <v>833</v>
      </c>
      <c r="T354" s="13"/>
      <c r="U354" s="18" t="str">
        <f>HYPERLINK("https://pbs.twimg.com/profile_images/773354507157671941/wE10yy8j.jpg","View")</f>
        <v>View</v>
      </c>
      <c r="V354" s="13"/>
      <c r="W354" s="13"/>
      <c r="X354" s="13"/>
      <c r="Y354" s="13"/>
      <c r="Z354" s="13"/>
    </row>
    <row r="355">
      <c r="A355" s="8">
        <v>43848.73068287037</v>
      </c>
      <c r="B355" s="9" t="str">
        <f>HYPERLINK("https://twitter.com/TheTwinPowers","@TheTwinPowers")</f>
        <v>@TheTwinPowers</v>
      </c>
      <c r="C355" s="10" t="s">
        <v>1671</v>
      </c>
      <c r="D355" s="10" t="s">
        <v>1672</v>
      </c>
      <c r="E355" s="9" t="str">
        <f>HYPERLINK("https://twitter.com/TheTwinPowers/status/1218662395075186688","1218662395075186688")</f>
        <v>1218662395075186688</v>
      </c>
      <c r="F355" s="13"/>
      <c r="G355" s="11" t="s">
        <v>1673</v>
      </c>
      <c r="H355" s="13"/>
      <c r="I355" s="14">
        <v>1.0</v>
      </c>
      <c r="J355" s="14">
        <v>1.0</v>
      </c>
      <c r="K355" s="9" t="str">
        <f>HYPERLINK("https://mobile.twitter.com","Twitter Web App")</f>
        <v>Twitter Web App</v>
      </c>
      <c r="L355" s="15">
        <v>36874.0</v>
      </c>
      <c r="M355" s="15">
        <v>37397.0</v>
      </c>
      <c r="N355" s="15">
        <v>1037.0</v>
      </c>
      <c r="O355" s="16"/>
      <c r="P355" s="17">
        <v>41247.414988425924</v>
      </c>
      <c r="Q355" s="10" t="s">
        <v>1674</v>
      </c>
      <c r="R355" s="10" t="s">
        <v>1675</v>
      </c>
      <c r="S355" s="11" t="s">
        <v>1676</v>
      </c>
      <c r="T355" s="13"/>
      <c r="U355" s="18" t="str">
        <f>HYPERLINK("https://pbs.twimg.com/profile_images/940502152933400576/N6-Lb9yH.jpg","View")</f>
        <v>View</v>
      </c>
      <c r="V355" s="13"/>
      <c r="W355" s="13"/>
      <c r="X355" s="13"/>
      <c r="Y355" s="13"/>
      <c r="Z355" s="13"/>
    </row>
    <row r="356">
      <c r="A356" s="8">
        <v>43848.73030092593</v>
      </c>
      <c r="B356" s="9" t="str">
        <f>HYPERLINK("https://twitter.com/MAhealthforkids","@MAhealthforkids")</f>
        <v>@MAhealthforkids</v>
      </c>
      <c r="C356" s="10" t="s">
        <v>1677</v>
      </c>
      <c r="D356" s="10" t="s">
        <v>1678</v>
      </c>
      <c r="E356" s="9" t="str">
        <f>HYPERLINK("https://twitter.com/MAhealthforkids/status/1218662256826863616","1218662256826863616")</f>
        <v>1218662256826863616</v>
      </c>
      <c r="F356" s="11" t="s">
        <v>1679</v>
      </c>
      <c r="G356" s="13"/>
      <c r="H356" s="13"/>
      <c r="I356" s="14">
        <v>2.0</v>
      </c>
      <c r="J356" s="14">
        <v>4.0</v>
      </c>
      <c r="K356" s="9" t="str">
        <f>HYPERLINK("http://twitter.com/download/iphone","Twitter for iPhone")</f>
        <v>Twitter for iPhone</v>
      </c>
      <c r="L356" s="15">
        <v>5775.0</v>
      </c>
      <c r="M356" s="15">
        <v>3953.0</v>
      </c>
      <c r="N356" s="15">
        <v>75.0</v>
      </c>
      <c r="O356" s="16"/>
      <c r="P356" s="17">
        <v>42852.40210648148</v>
      </c>
      <c r="Q356" s="10" t="s">
        <v>1680</v>
      </c>
      <c r="R356" s="10" t="s">
        <v>1681</v>
      </c>
      <c r="S356" s="13"/>
      <c r="T356" s="13"/>
      <c r="U356" s="18" t="str">
        <f>HYPERLINK("https://pbs.twimg.com/profile_images/1063796751549624320/8pKZ9rsh.jpg","View")</f>
        <v>View</v>
      </c>
      <c r="V356" s="13"/>
      <c r="W356" s="13"/>
      <c r="X356" s="13"/>
      <c r="Y356" s="13"/>
      <c r="Z356" s="13"/>
    </row>
    <row r="357">
      <c r="A357" s="8">
        <v>43848.73028935185</v>
      </c>
      <c r="B357" s="9" t="str">
        <f>HYPERLINK("https://twitter.com/theshamrockpix1","@theshamrockpix1")</f>
        <v>@theshamrockpix1</v>
      </c>
      <c r="C357" s="10" t="s">
        <v>1682</v>
      </c>
      <c r="D357" s="10" t="s">
        <v>1683</v>
      </c>
      <c r="E357" s="9" t="str">
        <f>HYPERLINK("https://twitter.com/theshamrockpix1/status/1218662251793723392","1218662251793723392")</f>
        <v>1218662251793723392</v>
      </c>
      <c r="F357" s="11" t="s">
        <v>1684</v>
      </c>
      <c r="G357" s="13"/>
      <c r="H357" s="13"/>
      <c r="I357" s="14">
        <v>0.0</v>
      </c>
      <c r="J357" s="14">
        <v>0.0</v>
      </c>
      <c r="K357" s="9" t="str">
        <f>HYPERLINK("https://mobile.twitter.com","Twitter Web App")</f>
        <v>Twitter Web App</v>
      </c>
      <c r="L357" s="15">
        <v>12.0</v>
      </c>
      <c r="M357" s="15">
        <v>30.0</v>
      </c>
      <c r="N357" s="15">
        <v>0.0</v>
      </c>
      <c r="O357" s="16"/>
      <c r="P357" s="17">
        <v>43409.5084375</v>
      </c>
      <c r="Q357" s="13"/>
      <c r="R357" s="10" t="s">
        <v>1685</v>
      </c>
      <c r="S357" s="11" t="s">
        <v>1686</v>
      </c>
      <c r="T357" s="13"/>
      <c r="U357" s="18" t="str">
        <f>HYPERLINK("https://pbs.twimg.com/profile_images/1071772004066516993/y2O0hERp.jpg","View")</f>
        <v>View</v>
      </c>
      <c r="V357" s="13"/>
      <c r="W357" s="13"/>
      <c r="X357" s="13"/>
      <c r="Y357" s="13"/>
      <c r="Z357" s="13"/>
    </row>
    <row r="358">
      <c r="A358" s="8">
        <v>43848.730219907404</v>
      </c>
      <c r="B358" s="9" t="str">
        <f>HYPERLINK("https://twitter.com/AlexanderTheKim","@AlexanderTheKim")</f>
        <v>@AlexanderTheKim</v>
      </c>
      <c r="C358" s="10" t="s">
        <v>1687</v>
      </c>
      <c r="D358" s="10" t="s">
        <v>1688</v>
      </c>
      <c r="E358" s="9" t="str">
        <f>HYPERLINK("https://twitter.com/AlexanderTheKim/status/1218662226862592000","1218662226862592000")</f>
        <v>1218662226862592000</v>
      </c>
      <c r="F358" s="11" t="s">
        <v>1689</v>
      </c>
      <c r="G358" s="13"/>
      <c r="H358" s="13"/>
      <c r="I358" s="14">
        <v>0.0</v>
      </c>
      <c r="J358" s="14">
        <v>0.0</v>
      </c>
      <c r="K358" s="9" t="str">
        <f>HYPERLINK("http://twitter.com/download/iphone","Twitter for iPhone")</f>
        <v>Twitter for iPhone</v>
      </c>
      <c r="L358" s="15">
        <v>637.0</v>
      </c>
      <c r="M358" s="15">
        <v>679.0</v>
      </c>
      <c r="N358" s="15">
        <v>19.0</v>
      </c>
      <c r="O358" s="16"/>
      <c r="P358" s="17">
        <v>41119.67853009259</v>
      </c>
      <c r="Q358" s="10" t="s">
        <v>1690</v>
      </c>
      <c r="R358" s="10" t="s">
        <v>1691</v>
      </c>
      <c r="S358" s="11" t="s">
        <v>1692</v>
      </c>
      <c r="T358" s="13"/>
      <c r="U358" s="18" t="str">
        <f>HYPERLINK("https://pbs.twimg.com/profile_images/926849936620011520/rBLyJDWq.jpg","View")</f>
        <v>View</v>
      </c>
      <c r="V358" s="13"/>
      <c r="W358" s="13"/>
      <c r="X358" s="13"/>
      <c r="Y358" s="13"/>
      <c r="Z358" s="13"/>
    </row>
    <row r="359">
      <c r="A359" s="8">
        <v>43848.729942129634</v>
      </c>
      <c r="B359" s="9" t="str">
        <f>HYPERLINK("https://twitter.com/DOGREATTHINGS","@DOGREATTHINGS")</f>
        <v>@DOGREATTHINGS</v>
      </c>
      <c r="C359" s="10" t="s">
        <v>1693</v>
      </c>
      <c r="D359" s="10" t="s">
        <v>1694</v>
      </c>
      <c r="E359" s="9" t="str">
        <f>HYPERLINK("https://twitter.com/DOGREATTHINGS/status/1218662126547501056","1218662126547501056")</f>
        <v>1218662126547501056</v>
      </c>
      <c r="F359" s="11" t="s">
        <v>1695</v>
      </c>
      <c r="G359" s="11" t="s">
        <v>1696</v>
      </c>
      <c r="H359" s="13"/>
      <c r="I359" s="14">
        <v>0.0</v>
      </c>
      <c r="J359" s="14">
        <v>0.0</v>
      </c>
      <c r="K359" s="9" t="str">
        <f>HYPERLINK("https://ifttt.com","IFTTT")</f>
        <v>IFTTT</v>
      </c>
      <c r="L359" s="15">
        <v>536.0</v>
      </c>
      <c r="M359" s="15">
        <v>806.0</v>
      </c>
      <c r="N359" s="15">
        <v>37.0</v>
      </c>
      <c r="O359" s="16"/>
      <c r="P359" s="17">
        <v>39885.97083333333</v>
      </c>
      <c r="Q359" s="10" t="s">
        <v>251</v>
      </c>
      <c r="R359" s="10" t="s">
        <v>1697</v>
      </c>
      <c r="S359" s="11" t="s">
        <v>1698</v>
      </c>
      <c r="T359" s="13"/>
      <c r="U359" s="18" t="str">
        <f>HYPERLINK("https://pbs.twimg.com/profile_images/701746809979346944/VJhkJtRF.jpg","View")</f>
        <v>View</v>
      </c>
      <c r="V359" s="13"/>
      <c r="W359" s="13"/>
      <c r="X359" s="13"/>
      <c r="Y359" s="13"/>
      <c r="Z359" s="13"/>
    </row>
    <row r="360">
      <c r="A360" s="8">
        <v>43848.72981481481</v>
      </c>
      <c r="B360" s="9" t="str">
        <f>HYPERLINK("https://twitter.com/chickee_nikki","@chickee_nikki")</f>
        <v>@chickee_nikki</v>
      </c>
      <c r="C360" s="10" t="s">
        <v>1699</v>
      </c>
      <c r="D360" s="10" t="s">
        <v>1700</v>
      </c>
      <c r="E360" s="9" t="str">
        <f>HYPERLINK("https://twitter.com/chickee_nikki/status/1218662082528325632","1218662082528325632")</f>
        <v>1218662082528325632</v>
      </c>
      <c r="F360" s="13"/>
      <c r="G360" s="13"/>
      <c r="H360" s="13"/>
      <c r="I360" s="14">
        <v>0.0</v>
      </c>
      <c r="J360" s="14">
        <v>2.0</v>
      </c>
      <c r="K360" s="9" t="str">
        <f>HYPERLINK("http://twitter.com/download/iphone","Twitter for iPhone")</f>
        <v>Twitter for iPhone</v>
      </c>
      <c r="L360" s="15">
        <v>221.0</v>
      </c>
      <c r="M360" s="15">
        <v>611.0</v>
      </c>
      <c r="N360" s="15">
        <v>10.0</v>
      </c>
      <c r="O360" s="16"/>
      <c r="P360" s="17">
        <v>41921.28417824074</v>
      </c>
      <c r="Q360" s="10" t="s">
        <v>161</v>
      </c>
      <c r="R360" s="10" t="s">
        <v>1701</v>
      </c>
      <c r="S360" s="11" t="s">
        <v>1702</v>
      </c>
      <c r="T360" s="13"/>
      <c r="U360" s="18" t="str">
        <f>HYPERLINK("https://pbs.twimg.com/profile_images/1218661424982974464/pGxk-Wdd.jpg","View")</f>
        <v>View</v>
      </c>
      <c r="V360" s="13"/>
      <c r="W360" s="13"/>
      <c r="X360" s="13"/>
      <c r="Y360" s="13"/>
      <c r="Z360" s="13"/>
    </row>
    <row r="361">
      <c r="A361" s="8">
        <v>43848.72939814815</v>
      </c>
      <c r="B361" s="9" t="str">
        <f>HYPERLINK("https://twitter.com/ArsenioBuckShow","@ArsenioBuckShow")</f>
        <v>@ArsenioBuckShow</v>
      </c>
      <c r="C361" s="10" t="s">
        <v>1703</v>
      </c>
      <c r="D361" s="10" t="s">
        <v>1704</v>
      </c>
      <c r="E361" s="9" t="str">
        <f>HYPERLINK("https://twitter.com/ArsenioBuckShow/status/1218661930363228160","1218661930363228160")</f>
        <v>1218661930363228160</v>
      </c>
      <c r="F361" s="11" t="s">
        <v>1705</v>
      </c>
      <c r="G361" s="13"/>
      <c r="H361" s="13"/>
      <c r="I361" s="14">
        <v>0.0</v>
      </c>
      <c r="J361" s="14">
        <v>0.0</v>
      </c>
      <c r="K361" s="9" t="str">
        <f>HYPERLINK("https://www.spreaker.com","Spreaker")</f>
        <v>Spreaker</v>
      </c>
      <c r="L361" s="15">
        <v>191.0</v>
      </c>
      <c r="M361" s="15">
        <v>46.0</v>
      </c>
      <c r="N361" s="15">
        <v>116.0</v>
      </c>
      <c r="O361" s="16"/>
      <c r="P361" s="17">
        <v>42253.32800925926</v>
      </c>
      <c r="Q361" s="10" t="s">
        <v>1706</v>
      </c>
      <c r="R361" s="10" t="s">
        <v>1707</v>
      </c>
      <c r="S361" s="11" t="s">
        <v>1708</v>
      </c>
      <c r="T361" s="13"/>
      <c r="U361" s="18" t="str">
        <f>HYPERLINK("https://pbs.twimg.com/profile_images/1162188689331515392/geVyIQES.jpg","View")</f>
        <v>View</v>
      </c>
      <c r="V361" s="13"/>
      <c r="W361" s="13"/>
      <c r="X361" s="13"/>
      <c r="Y361" s="13"/>
      <c r="Z361" s="13"/>
    </row>
    <row r="362">
      <c r="A362" s="8">
        <v>43848.72920138889</v>
      </c>
      <c r="B362" s="9" t="str">
        <f>HYPERLINK("https://twitter.com/HealthyPlace","@HealthyPlace")</f>
        <v>@HealthyPlace</v>
      </c>
      <c r="C362" s="10" t="s">
        <v>1457</v>
      </c>
      <c r="D362" s="10" t="s">
        <v>1709</v>
      </c>
      <c r="E362" s="9" t="str">
        <f>HYPERLINK("https://twitter.com/HealthyPlace/status/1218661859416576002","1218661859416576002")</f>
        <v>1218661859416576002</v>
      </c>
      <c r="F362" s="11" t="s">
        <v>1710</v>
      </c>
      <c r="G362" s="11" t="s">
        <v>1711</v>
      </c>
      <c r="H362" s="13"/>
      <c r="I362" s="14">
        <v>1.0</v>
      </c>
      <c r="J362" s="14">
        <v>0.0</v>
      </c>
      <c r="K362" s="9" t="str">
        <f>HYPERLINK("https://sproutsocial.com","Sprout Social")</f>
        <v>Sprout Social</v>
      </c>
      <c r="L362" s="15">
        <v>64943.0</v>
      </c>
      <c r="M362" s="15">
        <v>25049.0</v>
      </c>
      <c r="N362" s="15">
        <v>1710.0</v>
      </c>
      <c r="O362" s="16"/>
      <c r="P362" s="17">
        <v>39681.03928240741</v>
      </c>
      <c r="Q362" s="10" t="s">
        <v>1460</v>
      </c>
      <c r="R362" s="10" t="s">
        <v>1461</v>
      </c>
      <c r="S362" s="11" t="s">
        <v>1462</v>
      </c>
      <c r="T362" s="13"/>
      <c r="U362" s="18" t="str">
        <f>HYPERLINK("https://pbs.twimg.com/profile_images/753613454083252225/i5pr2xny.jpg","View")</f>
        <v>View</v>
      </c>
      <c r="V362" s="13"/>
      <c r="W362" s="13"/>
      <c r="X362" s="13"/>
      <c r="Y362" s="13"/>
      <c r="Z362" s="13"/>
    </row>
    <row r="363">
      <c r="A363" s="8">
        <v>43848.7287037037</v>
      </c>
      <c r="B363" s="9" t="str">
        <f>HYPERLINK("https://twitter.com/Perinatal_SIG","@Perinatal_SIG")</f>
        <v>@Perinatal_SIG</v>
      </c>
      <c r="C363" s="10" t="s">
        <v>1712</v>
      </c>
      <c r="D363" s="10" t="s">
        <v>1713</v>
      </c>
      <c r="E363" s="9" t="str">
        <f>HYPERLINK("https://twitter.com/Perinatal_SIG/status/1218661678050697217","1218661678050697217")</f>
        <v>1218661678050697217</v>
      </c>
      <c r="F363" s="11" t="s">
        <v>1714</v>
      </c>
      <c r="G363" s="13"/>
      <c r="H363" s="13"/>
      <c r="I363" s="14">
        <v>0.0</v>
      </c>
      <c r="J363" s="14">
        <v>0.0</v>
      </c>
      <c r="K363" s="9" t="str">
        <f>HYPERLINK("http://twitter.com/download/iphone","Twitter for iPhone")</f>
        <v>Twitter for iPhone</v>
      </c>
      <c r="L363" s="15">
        <v>768.0</v>
      </c>
      <c r="M363" s="15">
        <v>172.0</v>
      </c>
      <c r="N363" s="15">
        <v>62.0</v>
      </c>
      <c r="O363" s="16"/>
      <c r="P363" s="17">
        <v>42276.718553240746</v>
      </c>
      <c r="Q363" s="10" t="s">
        <v>145</v>
      </c>
      <c r="R363" s="10" t="s">
        <v>1715</v>
      </c>
      <c r="S363" s="11" t="s">
        <v>1716</v>
      </c>
      <c r="T363" s="13"/>
      <c r="U363" s="18" t="str">
        <f>HYPERLINK("https://pbs.twimg.com/profile_images/801006153979351040/3D1dTGuw.jpg","View")</f>
        <v>View</v>
      </c>
      <c r="V363" s="13"/>
      <c r="W363" s="13"/>
      <c r="X363" s="13"/>
      <c r="Y363" s="13"/>
      <c r="Z363" s="13"/>
    </row>
    <row r="364">
      <c r="A364" s="8">
        <v>43848.72849537037</v>
      </c>
      <c r="B364" s="9" t="str">
        <f>HYPERLINK("https://twitter.com/MHAinOC","@MHAinOC")</f>
        <v>@MHAinOC</v>
      </c>
      <c r="C364" s="10" t="s">
        <v>1717</v>
      </c>
      <c r="D364" s="10" t="s">
        <v>1718</v>
      </c>
      <c r="E364" s="9" t="str">
        <f>HYPERLINK("https://twitter.com/MHAinOC/status/1218661603496923137","1218661603496923137")</f>
        <v>1218661603496923137</v>
      </c>
      <c r="F364" s="13"/>
      <c r="G364" s="11" t="s">
        <v>1719</v>
      </c>
      <c r="H364" s="13"/>
      <c r="I364" s="14">
        <v>0.0</v>
      </c>
      <c r="J364" s="14">
        <v>0.0</v>
      </c>
      <c r="K364" s="9" t="str">
        <f>HYPERLINK("https://buffer.com","Buffer")</f>
        <v>Buffer</v>
      </c>
      <c r="L364" s="15">
        <v>21.0</v>
      </c>
      <c r="M364" s="15">
        <v>32.0</v>
      </c>
      <c r="N364" s="15">
        <v>0.0</v>
      </c>
      <c r="O364" s="16"/>
      <c r="P364" s="17">
        <v>41745.39945601852</v>
      </c>
      <c r="Q364" s="10" t="s">
        <v>1720</v>
      </c>
      <c r="R364" s="10" t="s">
        <v>1721</v>
      </c>
      <c r="S364" s="11" t="s">
        <v>1722</v>
      </c>
      <c r="T364" s="13"/>
      <c r="U364" s="18" t="str">
        <f>HYPERLINK("https://pbs.twimg.com/profile_images/994314469131120640/35u77LOG.jpg","View")</f>
        <v>View</v>
      </c>
      <c r="V364" s="13"/>
      <c r="W364" s="13"/>
      <c r="X364" s="13"/>
      <c r="Y364" s="13"/>
      <c r="Z364" s="13"/>
    </row>
    <row r="365">
      <c r="A365" s="8">
        <v>43848.72792824074</v>
      </c>
      <c r="B365" s="9" t="str">
        <f>HYPERLINK("https://twitter.com/VillageFamily","@VillageFamily")</f>
        <v>@VillageFamily</v>
      </c>
      <c r="C365" s="10" t="s">
        <v>1723</v>
      </c>
      <c r="D365" s="10" t="s">
        <v>1724</v>
      </c>
      <c r="E365" s="9" t="str">
        <f>HYPERLINK("https://twitter.com/VillageFamily/status/1218661397514674176","1218661397514674176")</f>
        <v>1218661397514674176</v>
      </c>
      <c r="F365" s="13"/>
      <c r="G365" s="11" t="s">
        <v>1725</v>
      </c>
      <c r="H365" s="13"/>
      <c r="I365" s="14">
        <v>0.0</v>
      </c>
      <c r="J365" s="14">
        <v>0.0</v>
      </c>
      <c r="K365" s="9" t="str">
        <f>HYPERLINK("https://coschedule.com","CoSchedule")</f>
        <v>CoSchedule</v>
      </c>
      <c r="L365" s="15">
        <v>2313.0</v>
      </c>
      <c r="M365" s="15">
        <v>1913.0</v>
      </c>
      <c r="N365" s="15">
        <v>45.0</v>
      </c>
      <c r="O365" s="16"/>
      <c r="P365" s="17">
        <v>39990.47273148148</v>
      </c>
      <c r="Q365" s="10" t="s">
        <v>1726</v>
      </c>
      <c r="R365" s="10" t="s">
        <v>1727</v>
      </c>
      <c r="S365" s="11" t="s">
        <v>1728</v>
      </c>
      <c r="T365" s="13"/>
      <c r="U365" s="18" t="str">
        <f>HYPERLINK("https://pbs.twimg.com/profile_images/1217570749143187456/RyQNqTBq.jpg","View")</f>
        <v>View</v>
      </c>
      <c r="V365" s="13"/>
      <c r="W365" s="13"/>
      <c r="X365" s="13"/>
      <c r="Y365" s="13"/>
      <c r="Z365" s="13"/>
    </row>
    <row r="366">
      <c r="A366" s="8">
        <v>43848.7269212963</v>
      </c>
      <c r="B366" s="9" t="str">
        <f>HYPERLINK("https://twitter.com/AnxZenity","@AnxZenity")</f>
        <v>@AnxZenity</v>
      </c>
      <c r="C366" s="10" t="s">
        <v>1729</v>
      </c>
      <c r="D366" s="10" t="s">
        <v>1730</v>
      </c>
      <c r="E366" s="9" t="str">
        <f>HYPERLINK("https://twitter.com/AnxZenity/status/1218661034866741248","1218661034866741248")</f>
        <v>1218661034866741248</v>
      </c>
      <c r="F366" s="11" t="s">
        <v>1731</v>
      </c>
      <c r="G366" s="11" t="s">
        <v>1732</v>
      </c>
      <c r="H366" s="13"/>
      <c r="I366" s="14">
        <v>1.0</v>
      </c>
      <c r="J366" s="14">
        <v>1.0</v>
      </c>
      <c r="K366" s="9" t="str">
        <f>HYPERLINK("http://twitter.com/download/iphone","Twitter for iPhone")</f>
        <v>Twitter for iPhone</v>
      </c>
      <c r="L366" s="15">
        <v>918.0</v>
      </c>
      <c r="M366" s="15">
        <v>72.0</v>
      </c>
      <c r="N366" s="15">
        <v>8.0</v>
      </c>
      <c r="O366" s="16"/>
      <c r="P366" s="17">
        <v>43447.30699074074</v>
      </c>
      <c r="Q366" s="10" t="s">
        <v>486</v>
      </c>
      <c r="R366" s="10" t="s">
        <v>1733</v>
      </c>
      <c r="S366" s="11" t="s">
        <v>1734</v>
      </c>
      <c r="T366" s="13"/>
      <c r="U366" s="18" t="str">
        <f>HYPERLINK("https://pbs.twimg.com/profile_images/1210215922675470338/g-_0BwG7.jpg","View")</f>
        <v>View</v>
      </c>
      <c r="V366" s="13"/>
      <c r="W366" s="13"/>
      <c r="X366" s="13"/>
      <c r="Y366" s="13"/>
      <c r="Z366" s="13"/>
    </row>
    <row r="367">
      <c r="A367" s="8">
        <v>43848.7268287037</v>
      </c>
      <c r="B367" s="9" t="str">
        <f>HYPERLINK("https://twitter.com/ndpthepoetress","@ndpthepoetress")</f>
        <v>@ndpthepoetress</v>
      </c>
      <c r="C367" s="10" t="s">
        <v>1735</v>
      </c>
      <c r="D367" s="10" t="s">
        <v>1736</v>
      </c>
      <c r="E367" s="9" t="str">
        <f>HYPERLINK("https://twitter.com/ndpthepoetress/status/1218660999793905664","1218660999793905664")</f>
        <v>1218660999793905664</v>
      </c>
      <c r="F367" s="13"/>
      <c r="G367" s="11" t="s">
        <v>1737</v>
      </c>
      <c r="H367" s="13"/>
      <c r="I367" s="14">
        <v>1.0</v>
      </c>
      <c r="J367" s="14">
        <v>2.0</v>
      </c>
      <c r="K367" s="9" t="str">
        <f>HYPERLINK("https://mobile.twitter.com","Twitter Web App")</f>
        <v>Twitter Web App</v>
      </c>
      <c r="L367" s="15">
        <v>2689.0</v>
      </c>
      <c r="M367" s="15">
        <v>4977.0</v>
      </c>
      <c r="N367" s="15">
        <v>59.0</v>
      </c>
      <c r="O367" s="16"/>
      <c r="P367" s="17">
        <v>39835.752442129626</v>
      </c>
      <c r="Q367" s="10" t="s">
        <v>505</v>
      </c>
      <c r="R367" s="10" t="s">
        <v>1738</v>
      </c>
      <c r="S367" s="11" t="s">
        <v>1739</v>
      </c>
      <c r="T367" s="13"/>
      <c r="U367" s="18" t="str">
        <f>HYPERLINK("https://pbs.twimg.com/profile_images/1114220548739993601/m6uD4xYX.png","View")</f>
        <v>View</v>
      </c>
      <c r="V367" s="13"/>
      <c r="W367" s="13"/>
      <c r="X367" s="13"/>
      <c r="Y367" s="13"/>
      <c r="Z367" s="13"/>
    </row>
    <row r="368">
      <c r="A368" s="8">
        <v>43848.726388888885</v>
      </c>
      <c r="B368" s="9" t="str">
        <f>HYPERLINK("https://twitter.com/ClearviewTreats","@ClearviewTreats")</f>
        <v>@ClearviewTreats</v>
      </c>
      <c r="C368" s="10" t="s">
        <v>1205</v>
      </c>
      <c r="D368" s="10" t="s">
        <v>1740</v>
      </c>
      <c r="E368" s="9" t="str">
        <f>HYPERLINK("https://twitter.com/ClearviewTreats/status/1218660841135968259","1218660841135968259")</f>
        <v>1218660841135968259</v>
      </c>
      <c r="F368" s="11" t="s">
        <v>1741</v>
      </c>
      <c r="G368" s="13"/>
      <c r="H368" s="13"/>
      <c r="I368" s="14">
        <v>0.0</v>
      </c>
      <c r="J368" s="14">
        <v>0.0</v>
      </c>
      <c r="K368" s="9" t="str">
        <f>HYPERLINK("https://sproutsocial.com","Sprout Social")</f>
        <v>Sprout Social</v>
      </c>
      <c r="L368" s="15">
        <v>1940.0</v>
      </c>
      <c r="M368" s="15">
        <v>673.0</v>
      </c>
      <c r="N368" s="15">
        <v>32.0</v>
      </c>
      <c r="O368" s="16"/>
      <c r="P368" s="17">
        <v>40388.764699074076</v>
      </c>
      <c r="Q368" s="10" t="s">
        <v>382</v>
      </c>
      <c r="R368" s="10" t="s">
        <v>1208</v>
      </c>
      <c r="S368" s="11" t="s">
        <v>1209</v>
      </c>
      <c r="T368" s="13"/>
      <c r="U368" s="18" t="str">
        <f>HYPERLINK("https://pbs.twimg.com/profile_images/3536874807/0de7eba1b0b8c40fc3cfa833d6fdbef5.jpeg","View")</f>
        <v>View</v>
      </c>
      <c r="V368" s="13"/>
      <c r="W368" s="13"/>
      <c r="X368" s="13"/>
      <c r="Y368" s="13"/>
      <c r="Z368" s="13"/>
    </row>
    <row r="369">
      <c r="A369" s="8">
        <v>43848.72635416666</v>
      </c>
      <c r="B369" s="9" t="str">
        <f>HYPERLINK("https://twitter.com/faith_109","@faith_109")</f>
        <v>@faith_109</v>
      </c>
      <c r="C369" s="10" t="s">
        <v>1742</v>
      </c>
      <c r="D369" s="10" t="s">
        <v>1743</v>
      </c>
      <c r="E369" s="9" t="str">
        <f>HYPERLINK("https://twitter.com/faith_109/status/1218660827529650181","1218660827529650181")</f>
        <v>1218660827529650181</v>
      </c>
      <c r="F369" s="13"/>
      <c r="G369" s="13"/>
      <c r="H369" s="13"/>
      <c r="I369" s="14">
        <v>0.0</v>
      </c>
      <c r="J369" s="14">
        <v>0.0</v>
      </c>
      <c r="K369" s="9" t="str">
        <f>HYPERLINK("http://twitter.com/download/iphone","Twitter for iPhone")</f>
        <v>Twitter for iPhone</v>
      </c>
      <c r="L369" s="15">
        <v>91.0</v>
      </c>
      <c r="M369" s="15">
        <v>151.0</v>
      </c>
      <c r="N369" s="15">
        <v>1.0</v>
      </c>
      <c r="O369" s="16"/>
      <c r="P369" s="17">
        <v>41599.92659722222</v>
      </c>
      <c r="Q369" s="10" t="s">
        <v>166</v>
      </c>
      <c r="R369" s="10" t="s">
        <v>1744</v>
      </c>
      <c r="S369" s="13"/>
      <c r="T369" s="13"/>
      <c r="U369" s="18" t="str">
        <f>HYPERLINK("https://pbs.twimg.com/profile_images/1186646688217423872/JIs5VnnZ.jpg","View")</f>
        <v>View</v>
      </c>
      <c r="V369" s="13"/>
      <c r="W369" s="13"/>
      <c r="X369" s="13"/>
      <c r="Y369" s="13"/>
      <c r="Z369" s="13"/>
    </row>
    <row r="370">
      <c r="A370" s="8">
        <v>43848.72621527778</v>
      </c>
      <c r="B370" s="9" t="str">
        <f>HYPERLINK("https://twitter.com/tmj_brl_nursing","@tmj_brl_nursing")</f>
        <v>@tmj_brl_nursing</v>
      </c>
      <c r="C370" s="10" t="s">
        <v>1745</v>
      </c>
      <c r="D370" s="10" t="s">
        <v>1746</v>
      </c>
      <c r="E370" s="9" t="str">
        <f>HYPERLINK("https://twitter.com/tmj_brl_nursing/status/1218660777487323136","1218660777487323136")</f>
        <v>1218660777487323136</v>
      </c>
      <c r="F370" s="11" t="s">
        <v>1747</v>
      </c>
      <c r="G370" s="13"/>
      <c r="H370" s="9" t="str">
        <f>HYPERLINK("https://ctrlq.org/maps/address/#44.2152614,-72.5861615","Map")</f>
        <v>Map</v>
      </c>
      <c r="I370" s="14">
        <v>0.0</v>
      </c>
      <c r="J370" s="14">
        <v>0.0</v>
      </c>
      <c r="K370" s="9" t="str">
        <f>HYPERLINK("https://www.careerarc.com","CareerArc 2.0")</f>
        <v>CareerArc 2.0</v>
      </c>
      <c r="L370" s="15">
        <v>307.0</v>
      </c>
      <c r="M370" s="15">
        <v>223.0</v>
      </c>
      <c r="N370" s="15">
        <v>43.0</v>
      </c>
      <c r="O370" s="16"/>
      <c r="P370" s="17">
        <v>39871.985300925924</v>
      </c>
      <c r="Q370" s="10" t="s">
        <v>1748</v>
      </c>
      <c r="R370" s="10" t="s">
        <v>1749</v>
      </c>
      <c r="S370" s="11" t="s">
        <v>1750</v>
      </c>
      <c r="T370" s="13"/>
      <c r="U370" s="18" t="str">
        <f>HYPERLINK("https://pbs.twimg.com/profile_images/675289234819846144/ZvYyhfZl.jpg","View")</f>
        <v>View</v>
      </c>
      <c r="V370" s="13"/>
      <c r="W370" s="13"/>
      <c r="X370" s="13"/>
      <c r="Y370" s="13"/>
      <c r="Z370" s="13"/>
    </row>
    <row r="371">
      <c r="A371" s="8">
        <v>43848.72594907407</v>
      </c>
      <c r="B371" s="9" t="str">
        <f>HYPERLINK("https://twitter.com/studyingfangirl","@studyingfangirl")</f>
        <v>@studyingfangirl</v>
      </c>
      <c r="C371" s="10" t="s">
        <v>1751</v>
      </c>
      <c r="D371" s="10" t="s">
        <v>1752</v>
      </c>
      <c r="E371" s="9" t="str">
        <f>HYPERLINK("https://twitter.com/studyingfangirl/status/1218660681601441793","1218660681601441793")</f>
        <v>1218660681601441793</v>
      </c>
      <c r="F371" s="13"/>
      <c r="G371" s="13"/>
      <c r="H371" s="13"/>
      <c r="I371" s="14">
        <v>0.0</v>
      </c>
      <c r="J371" s="14">
        <v>0.0</v>
      </c>
      <c r="K371" s="9" t="str">
        <f>HYPERLINK("https://mobile.twitter.com","Twitter Web App")</f>
        <v>Twitter Web App</v>
      </c>
      <c r="L371" s="15">
        <v>23.0</v>
      </c>
      <c r="M371" s="15">
        <v>114.0</v>
      </c>
      <c r="N371" s="15">
        <v>1.0</v>
      </c>
      <c r="O371" s="16"/>
      <c r="P371" s="17">
        <v>42512.44619212963</v>
      </c>
      <c r="Q371" s="13"/>
      <c r="R371" s="10" t="s">
        <v>1753</v>
      </c>
      <c r="S371" s="13"/>
      <c r="T371" s="13"/>
      <c r="U371" s="18" t="str">
        <f>HYPERLINK("https://pbs.twimg.com/profile_images/1164280197442625538/XeogVdlH.jpg","View")</f>
        <v>View</v>
      </c>
      <c r="V371" s="13"/>
      <c r="W371" s="13"/>
      <c r="X371" s="13"/>
      <c r="Y371" s="13"/>
      <c r="Z371" s="13"/>
    </row>
    <row r="372">
      <c r="A372" s="8">
        <v>43848.72589120371</v>
      </c>
      <c r="B372" s="9" t="str">
        <f>HYPERLINK("https://twitter.com/carlsjm","@carlsjm")</f>
        <v>@carlsjm</v>
      </c>
      <c r="C372" s="10" t="s">
        <v>1754</v>
      </c>
      <c r="D372" s="10" t="s">
        <v>1755</v>
      </c>
      <c r="E372" s="9" t="str">
        <f>HYPERLINK("https://twitter.com/carlsjm/status/1218660657723330560","1218660657723330560")</f>
        <v>1218660657723330560</v>
      </c>
      <c r="F372" s="10" t="s">
        <v>1756</v>
      </c>
      <c r="G372" s="13"/>
      <c r="H372" s="13"/>
      <c r="I372" s="14">
        <v>1.0</v>
      </c>
      <c r="J372" s="14">
        <v>2.0</v>
      </c>
      <c r="K372" s="9" t="str">
        <f>HYPERLINK("http://twitter.com/download/iphone","Twitter for iPhone")</f>
        <v>Twitter for iPhone</v>
      </c>
      <c r="L372" s="15">
        <v>331.0</v>
      </c>
      <c r="M372" s="15">
        <v>737.0</v>
      </c>
      <c r="N372" s="15">
        <v>8.0</v>
      </c>
      <c r="O372" s="16"/>
      <c r="P372" s="17">
        <v>39980.75127314815</v>
      </c>
      <c r="Q372" s="10" t="s">
        <v>1336</v>
      </c>
      <c r="R372" s="10" t="s">
        <v>1757</v>
      </c>
      <c r="S372" s="13"/>
      <c r="T372" s="13"/>
      <c r="U372" s="18" t="str">
        <f>HYPERLINK("https://pbs.twimg.com/profile_images/1203110679777095681/w8-_vu5c.jpg","View")</f>
        <v>View</v>
      </c>
      <c r="V372" s="13"/>
      <c r="W372" s="13"/>
      <c r="X372" s="13"/>
      <c r="Y372" s="13"/>
      <c r="Z372" s="13"/>
    </row>
    <row r="373">
      <c r="A373" s="8">
        <v>43848.72570601852</v>
      </c>
      <c r="B373" s="9" t="str">
        <f>HYPERLINK("https://twitter.com/TLA_champion","@TLA_champion")</f>
        <v>@TLA_champion</v>
      </c>
      <c r="C373" s="10" t="s">
        <v>1758</v>
      </c>
      <c r="D373" s="10" t="s">
        <v>1759</v>
      </c>
      <c r="E373" s="9" t="str">
        <f>HYPERLINK("https://twitter.com/TLA_champion/status/1218660594208784384","1218660594208784384")</f>
        <v>1218660594208784384</v>
      </c>
      <c r="F373" s="13"/>
      <c r="G373" s="11" t="s">
        <v>1760</v>
      </c>
      <c r="H373" s="13"/>
      <c r="I373" s="14">
        <v>0.0</v>
      </c>
      <c r="J373" s="14">
        <v>0.0</v>
      </c>
      <c r="K373" s="9" t="str">
        <f>HYPERLINK("https://buffer.com","Buffer")</f>
        <v>Buffer</v>
      </c>
      <c r="L373" s="15">
        <v>1270.0</v>
      </c>
      <c r="M373" s="15">
        <v>2002.0</v>
      </c>
      <c r="N373" s="15">
        <v>92.0</v>
      </c>
      <c r="O373" s="16"/>
      <c r="P373" s="17">
        <v>42024.52983796297</v>
      </c>
      <c r="Q373" s="10" t="s">
        <v>1761</v>
      </c>
      <c r="R373" s="10" t="s">
        <v>1762</v>
      </c>
      <c r="S373" s="11" t="s">
        <v>1763</v>
      </c>
      <c r="T373" s="13"/>
      <c r="U373" s="18" t="str">
        <f>HYPERLINK("https://pbs.twimg.com/profile_images/928633251148828673/rZ78O3tA.jpg","View")</f>
        <v>View</v>
      </c>
      <c r="V373" s="13"/>
      <c r="W373" s="13"/>
      <c r="X373" s="13"/>
      <c r="Y373" s="13"/>
      <c r="Z373" s="13"/>
    </row>
    <row r="374">
      <c r="A374" s="8">
        <v>43848.72534722222</v>
      </c>
      <c r="B374" s="9" t="str">
        <f>HYPERLINK("https://twitter.com/socwkinprogress","@socwkinprogress")</f>
        <v>@socwkinprogress</v>
      </c>
      <c r="C374" s="10" t="s">
        <v>1764</v>
      </c>
      <c r="D374" s="10" t="s">
        <v>1765</v>
      </c>
      <c r="E374" s="9" t="str">
        <f>HYPERLINK("https://twitter.com/socwkinprogress/status/1218660464026058752","1218660464026058752")</f>
        <v>1218660464026058752</v>
      </c>
      <c r="F374" s="11" t="s">
        <v>1766</v>
      </c>
      <c r="G374" s="13"/>
      <c r="H374" s="13"/>
      <c r="I374" s="14">
        <v>0.0</v>
      </c>
      <c r="J374" s="14">
        <v>1.0</v>
      </c>
      <c r="K374" s="9" t="str">
        <f>HYPERLINK("http://twitter.com/download/iphone","Twitter for iPhone")</f>
        <v>Twitter for iPhone</v>
      </c>
      <c r="L374" s="15">
        <v>958.0</v>
      </c>
      <c r="M374" s="15">
        <v>867.0</v>
      </c>
      <c r="N374" s="15">
        <v>28.0</v>
      </c>
      <c r="O374" s="16"/>
      <c r="P374" s="17">
        <v>39954.82524305556</v>
      </c>
      <c r="Q374" s="13"/>
      <c r="R374" s="10" t="s">
        <v>1767</v>
      </c>
      <c r="S374" s="11" t="s">
        <v>1768</v>
      </c>
      <c r="T374" s="13"/>
      <c r="U374" s="18" t="str">
        <f>HYPERLINK("https://pbs.twimg.com/profile_images/1065457205980381189/hp8uPeIJ.jpg","View")</f>
        <v>View</v>
      </c>
      <c r="V374" s="13"/>
      <c r="W374" s="13"/>
      <c r="X374" s="13"/>
      <c r="Y374" s="13"/>
      <c r="Z374" s="13"/>
    </row>
    <row r="375">
      <c r="A375" s="8">
        <v>43848.72505787037</v>
      </c>
      <c r="B375" s="9" t="str">
        <f>HYPERLINK("https://twitter.com/MiaLis79","@MiaLis79")</f>
        <v>@MiaLis79</v>
      </c>
      <c r="C375" s="10" t="s">
        <v>1343</v>
      </c>
      <c r="D375" s="10" t="s">
        <v>1769</v>
      </c>
      <c r="E375" s="9" t="str">
        <f>HYPERLINK("https://twitter.com/MiaLis79/status/1218660356400320512","1218660356400320512")</f>
        <v>1218660356400320512</v>
      </c>
      <c r="F375" s="11" t="s">
        <v>1770</v>
      </c>
      <c r="G375" s="13"/>
      <c r="H375" s="13"/>
      <c r="I375" s="14">
        <v>0.0</v>
      </c>
      <c r="J375" s="14">
        <v>1.0</v>
      </c>
      <c r="K375" s="9" t="str">
        <f>HYPERLINK("https://www.mytweetpack.com","myTweetPack")</f>
        <v>myTweetPack</v>
      </c>
      <c r="L375" s="15">
        <v>16902.0</v>
      </c>
      <c r="M375" s="15">
        <v>12466.0</v>
      </c>
      <c r="N375" s="15">
        <v>1642.0</v>
      </c>
      <c r="O375" s="16"/>
      <c r="P375" s="17">
        <v>39685.06575231481</v>
      </c>
      <c r="Q375" s="10" t="s">
        <v>1346</v>
      </c>
      <c r="R375" s="10" t="s">
        <v>1347</v>
      </c>
      <c r="S375" s="11" t="s">
        <v>1348</v>
      </c>
      <c r="T375" s="13"/>
      <c r="U375" s="18" t="str">
        <f>HYPERLINK("https://pbs.twimg.com/profile_images/729868043153723394/O1HlkXlX.jpg","View")</f>
        <v>View</v>
      </c>
      <c r="V375" s="13"/>
      <c r="W375" s="13"/>
      <c r="X375" s="13"/>
      <c r="Y375" s="13"/>
      <c r="Z375" s="13"/>
    </row>
    <row r="376">
      <c r="A376" s="8">
        <v>43848.72491898148</v>
      </c>
      <c r="B376" s="9" t="str">
        <f>HYPERLINK("https://twitter.com/DrP_Principal","@DrP_Principal")</f>
        <v>@DrP_Principal</v>
      </c>
      <c r="C376" s="10" t="s">
        <v>1771</v>
      </c>
      <c r="D376" s="10" t="s">
        <v>1772</v>
      </c>
      <c r="E376" s="9" t="str">
        <f>HYPERLINK("https://twitter.com/DrP_Principal/status/1218660305531736069","1218660305531736069")</f>
        <v>1218660305531736069</v>
      </c>
      <c r="F376" s="11" t="s">
        <v>1773</v>
      </c>
      <c r="G376" s="13"/>
      <c r="H376" s="13"/>
      <c r="I376" s="14">
        <v>0.0</v>
      </c>
      <c r="J376" s="14">
        <v>0.0</v>
      </c>
      <c r="K376" s="9" t="str">
        <f t="shared" ref="K376:K378" si="52">HYPERLINK("http://twitter.com/download/iphone","Twitter for iPhone")</f>
        <v>Twitter for iPhone</v>
      </c>
      <c r="L376" s="15">
        <v>21081.0</v>
      </c>
      <c r="M376" s="15">
        <v>20009.0</v>
      </c>
      <c r="N376" s="15">
        <v>50.0</v>
      </c>
      <c r="O376" s="16"/>
      <c r="P376" s="17">
        <v>43124.66402777778</v>
      </c>
      <c r="Q376" s="10" t="s">
        <v>1774</v>
      </c>
      <c r="R376" s="10" t="s">
        <v>1775</v>
      </c>
      <c r="S376" s="11" t="s">
        <v>1776</v>
      </c>
      <c r="T376" s="13"/>
      <c r="U376" s="18" t="str">
        <f>HYPERLINK("https://pbs.twimg.com/profile_images/1146777423666700295/3GN2ezZu.png","View")</f>
        <v>View</v>
      </c>
      <c r="V376" s="13"/>
      <c r="W376" s="13"/>
      <c r="X376" s="13"/>
      <c r="Y376" s="13"/>
      <c r="Z376" s="13"/>
    </row>
    <row r="377">
      <c r="A377" s="8">
        <v>43848.72461805555</v>
      </c>
      <c r="B377" s="9" t="str">
        <f>HYPERLINK("https://twitter.com/workwellnessuk","@workwellnessuk")</f>
        <v>@workwellnessuk</v>
      </c>
      <c r="C377" s="10" t="s">
        <v>1777</v>
      </c>
      <c r="D377" s="10" t="s">
        <v>1778</v>
      </c>
      <c r="E377" s="9" t="str">
        <f>HYPERLINK("https://twitter.com/workwellnessuk/status/1218660196773437440","1218660196773437440")</f>
        <v>1218660196773437440</v>
      </c>
      <c r="F377" s="10" t="s">
        <v>1779</v>
      </c>
      <c r="G377" s="13"/>
      <c r="H377" s="13"/>
      <c r="I377" s="14">
        <v>0.0</v>
      </c>
      <c r="J377" s="14">
        <v>0.0</v>
      </c>
      <c r="K377" s="9" t="str">
        <f t="shared" si="52"/>
        <v>Twitter for iPhone</v>
      </c>
      <c r="L377" s="15">
        <v>612.0</v>
      </c>
      <c r="M377" s="15">
        <v>914.0</v>
      </c>
      <c r="N377" s="15">
        <v>9.0</v>
      </c>
      <c r="O377" s="16"/>
      <c r="P377" s="17">
        <v>41735.519641203704</v>
      </c>
      <c r="Q377" s="10" t="s">
        <v>1780</v>
      </c>
      <c r="R377" s="10" t="s">
        <v>1781</v>
      </c>
      <c r="S377" s="11" t="s">
        <v>1782</v>
      </c>
      <c r="T377" s="13"/>
      <c r="U377" s="18" t="str">
        <f>HYPERLINK("https://pbs.twimg.com/profile_images/1156294822367571968/E55owgb0.jpg","View")</f>
        <v>View</v>
      </c>
      <c r="V377" s="13"/>
      <c r="W377" s="13"/>
      <c r="X377" s="13"/>
      <c r="Y377" s="13"/>
      <c r="Z377" s="13"/>
    </row>
    <row r="378">
      <c r="A378" s="8">
        <v>43848.72403935185</v>
      </c>
      <c r="B378" s="9" t="str">
        <f>HYPERLINK("https://twitter.com/lizgreenaway28","@lizgreenaway28")</f>
        <v>@lizgreenaway28</v>
      </c>
      <c r="C378" s="10" t="s">
        <v>1783</v>
      </c>
      <c r="D378" s="10" t="s">
        <v>1784</v>
      </c>
      <c r="E378" s="9" t="str">
        <f>HYPERLINK("https://twitter.com/lizgreenaway28/status/1218659987842465792","1218659987842465792")</f>
        <v>1218659987842465792</v>
      </c>
      <c r="F378" s="13"/>
      <c r="G378" s="13"/>
      <c r="H378" s="13"/>
      <c r="I378" s="14">
        <v>0.0</v>
      </c>
      <c r="J378" s="14">
        <v>0.0</v>
      </c>
      <c r="K378" s="9" t="str">
        <f t="shared" si="52"/>
        <v>Twitter for iPhone</v>
      </c>
      <c r="L378" s="15">
        <v>427.0</v>
      </c>
      <c r="M378" s="15">
        <v>1080.0</v>
      </c>
      <c r="N378" s="15">
        <v>19.0</v>
      </c>
      <c r="O378" s="16"/>
      <c r="P378" s="17">
        <v>40428.942025462966</v>
      </c>
      <c r="Q378" s="10" t="s">
        <v>1785</v>
      </c>
      <c r="R378" s="10" t="s">
        <v>1786</v>
      </c>
      <c r="S378" s="13"/>
      <c r="T378" s="13"/>
      <c r="U378" s="18" t="str">
        <f>HYPERLINK("https://pbs.twimg.com/profile_images/378800000722891848/ef57ac7afee1864385859c5396543cb8.jpeg","View")</f>
        <v>View</v>
      </c>
      <c r="V378" s="13"/>
      <c r="W378" s="13"/>
      <c r="X378" s="13"/>
      <c r="Y378" s="13"/>
      <c r="Z378" s="13"/>
    </row>
    <row r="379">
      <c r="A379" s="8">
        <v>43848.72398148148</v>
      </c>
      <c r="B379" s="9" t="str">
        <f>HYPERLINK("https://twitter.com/MarieWillson","@MarieWillson")</f>
        <v>@MarieWillson</v>
      </c>
      <c r="C379" s="10" t="s">
        <v>1787</v>
      </c>
      <c r="D379" s="10" t="s">
        <v>1788</v>
      </c>
      <c r="E379" s="9" t="str">
        <f>HYPERLINK("https://twitter.com/MarieWillson/status/1218659967063949312","1218659967063949312")</f>
        <v>1218659967063949312</v>
      </c>
      <c r="F379" s="11" t="s">
        <v>1789</v>
      </c>
      <c r="G379" s="11" t="s">
        <v>1790</v>
      </c>
      <c r="H379" s="13"/>
      <c r="I379" s="14">
        <v>0.0</v>
      </c>
      <c r="J379" s="14">
        <v>0.0</v>
      </c>
      <c r="K379" s="9" t="str">
        <f>HYPERLINK("https://www.corelistingmachine.com/","CORE ListingMachine")</f>
        <v>CORE ListingMachine</v>
      </c>
      <c r="L379" s="15">
        <v>68.0</v>
      </c>
      <c r="M379" s="15">
        <v>123.0</v>
      </c>
      <c r="N379" s="15">
        <v>26.0</v>
      </c>
      <c r="O379" s="16"/>
      <c r="P379" s="17">
        <v>41834.76315972222</v>
      </c>
      <c r="Q379" s="13"/>
      <c r="R379" s="10" t="s">
        <v>1791</v>
      </c>
      <c r="S379" s="13"/>
      <c r="T379" s="13"/>
      <c r="U379" s="18" t="str">
        <f>HYPERLINK("https://pbs.twimg.com/profile_images/488811496135094272/4qhxxQ1D.jpeg","View")</f>
        <v>View</v>
      </c>
      <c r="V379" s="13"/>
      <c r="W379" s="13"/>
      <c r="X379" s="13"/>
      <c r="Y379" s="13"/>
      <c r="Z379" s="13"/>
    </row>
    <row r="380">
      <c r="A380" s="8">
        <v>43848.723773148144</v>
      </c>
      <c r="B380" s="9" t="str">
        <f>HYPERLINK("https://twitter.com/CarieMac11","@CarieMac11")</f>
        <v>@CarieMac11</v>
      </c>
      <c r="C380" s="10" t="s">
        <v>1792</v>
      </c>
      <c r="D380" s="10" t="s">
        <v>1793</v>
      </c>
      <c r="E380" s="9" t="str">
        <f>HYPERLINK("https://twitter.com/CarieMac11/status/1218659892581535744","1218659892581535744")</f>
        <v>1218659892581535744</v>
      </c>
      <c r="F380" s="13"/>
      <c r="G380" s="13"/>
      <c r="H380" s="13"/>
      <c r="I380" s="14">
        <v>0.0</v>
      </c>
      <c r="J380" s="14">
        <v>2.0</v>
      </c>
      <c r="K380" s="9" t="str">
        <f t="shared" ref="K380:K381" si="53">HYPERLINK("http://twitter.com/download/android","Twitter for Android")</f>
        <v>Twitter for Android</v>
      </c>
      <c r="L380" s="15">
        <v>512.0</v>
      </c>
      <c r="M380" s="15">
        <v>2975.0</v>
      </c>
      <c r="N380" s="15">
        <v>7.0</v>
      </c>
      <c r="O380" s="16"/>
      <c r="P380" s="17">
        <v>41354.74827546296</v>
      </c>
      <c r="Q380" s="13"/>
      <c r="R380" s="10" t="s">
        <v>1794</v>
      </c>
      <c r="S380" s="11" t="s">
        <v>1795</v>
      </c>
      <c r="T380" s="13"/>
      <c r="U380" s="18" t="str">
        <f>HYPERLINK("https://pbs.twimg.com/profile_images/989119408458092544/rlOY4V0c.jpg","View")</f>
        <v>View</v>
      </c>
      <c r="V380" s="13"/>
      <c r="W380" s="13"/>
      <c r="X380" s="13"/>
      <c r="Y380" s="13"/>
      <c r="Z380" s="13"/>
    </row>
    <row r="381">
      <c r="A381" s="8">
        <v>43848.7228125</v>
      </c>
      <c r="B381" s="9" t="str">
        <f>HYPERLINK("https://twitter.com/thenatureJeh","@thenatureJeh")</f>
        <v>@thenatureJeh</v>
      </c>
      <c r="C381" s="10" t="s">
        <v>1796</v>
      </c>
      <c r="D381" s="10" t="s">
        <v>1797</v>
      </c>
      <c r="E381" s="9" t="str">
        <f>HYPERLINK("https://twitter.com/thenatureJeh/status/1218659544265646080","1218659544265646080")</f>
        <v>1218659544265646080</v>
      </c>
      <c r="F381" s="11" t="s">
        <v>1798</v>
      </c>
      <c r="G381" s="13"/>
      <c r="H381" s="13"/>
      <c r="I381" s="14">
        <v>0.0</v>
      </c>
      <c r="J381" s="14">
        <v>0.0</v>
      </c>
      <c r="K381" s="9" t="str">
        <f t="shared" si="53"/>
        <v>Twitter for Android</v>
      </c>
      <c r="L381" s="15">
        <v>0.0</v>
      </c>
      <c r="M381" s="15">
        <v>7.0</v>
      </c>
      <c r="N381" s="15">
        <v>0.0</v>
      </c>
      <c r="O381" s="16"/>
      <c r="P381" s="17">
        <v>43848.71649305556</v>
      </c>
      <c r="Q381" s="13"/>
      <c r="R381" s="10" t="s">
        <v>1799</v>
      </c>
      <c r="S381" s="13"/>
      <c r="T381" s="13"/>
      <c r="U381" s="18" t="str">
        <f>HYPERLINK("https://pbs.twimg.com/profile_images/1218657465409196033/_J_5lBJF.jpg","View")</f>
        <v>View</v>
      </c>
      <c r="V381" s="13"/>
      <c r="W381" s="13"/>
      <c r="X381" s="13"/>
      <c r="Y381" s="13"/>
      <c r="Z381" s="13"/>
    </row>
    <row r="382">
      <c r="A382" s="8">
        <v>43848.72237268518</v>
      </c>
      <c r="B382" s="9" t="str">
        <f>HYPERLINK("https://twitter.com/tanyajpeterson1","@tanyajpeterson1")</f>
        <v>@tanyajpeterson1</v>
      </c>
      <c r="C382" s="10" t="s">
        <v>1800</v>
      </c>
      <c r="D382" s="10" t="s">
        <v>1801</v>
      </c>
      <c r="E382" s="9" t="str">
        <f>HYPERLINK("https://twitter.com/tanyajpeterson1/status/1218659382499725313","1218659382499725313")</f>
        <v>1218659382499725313</v>
      </c>
      <c r="F382" s="11" t="s">
        <v>1802</v>
      </c>
      <c r="G382" s="11" t="s">
        <v>1803</v>
      </c>
      <c r="H382" s="13"/>
      <c r="I382" s="14">
        <v>0.0</v>
      </c>
      <c r="J382" s="14">
        <v>0.0</v>
      </c>
      <c r="K382" s="9" t="str">
        <f>HYPERLINK("https://www.socialoomph.com","SocialOomph")</f>
        <v>SocialOomph</v>
      </c>
      <c r="L382" s="15">
        <v>6234.0</v>
      </c>
      <c r="M382" s="15">
        <v>6099.0</v>
      </c>
      <c r="N382" s="15">
        <v>428.0</v>
      </c>
      <c r="O382" s="16"/>
      <c r="P382" s="17">
        <v>40541.95980324074</v>
      </c>
      <c r="Q382" s="10" t="s">
        <v>1804</v>
      </c>
      <c r="R382" s="10" t="s">
        <v>1805</v>
      </c>
      <c r="S382" s="11" t="s">
        <v>1806</v>
      </c>
      <c r="T382" s="13"/>
      <c r="U382" s="18" t="str">
        <f>HYPERLINK("https://pbs.twimg.com/profile_images/938253562437550080/Qqz0uxJN.jpg","View")</f>
        <v>View</v>
      </c>
      <c r="V382" s="13"/>
      <c r="W382" s="13"/>
      <c r="X382" s="13"/>
      <c r="Y382" s="13"/>
      <c r="Z382" s="13"/>
    </row>
    <row r="383">
      <c r="A383" s="8">
        <v>43848.722187499996</v>
      </c>
      <c r="B383" s="9" t="str">
        <f>HYPERLINK("https://twitter.com/BFereydouni","@BFereydouni")</f>
        <v>@BFereydouni</v>
      </c>
      <c r="C383" s="10" t="s">
        <v>1807</v>
      </c>
      <c r="D383" s="10" t="s">
        <v>1808</v>
      </c>
      <c r="E383" s="9" t="str">
        <f>HYPERLINK("https://twitter.com/BFereydouni/status/1218659317940998144","1218659317940998144")</f>
        <v>1218659317940998144</v>
      </c>
      <c r="F383" s="11" t="s">
        <v>1809</v>
      </c>
      <c r="G383" s="13"/>
      <c r="H383" s="13"/>
      <c r="I383" s="14">
        <v>0.0</v>
      </c>
      <c r="J383" s="14">
        <v>0.0</v>
      </c>
      <c r="K383" s="9" t="str">
        <f>HYPERLINK("http://twitter.com/download/iphone","Twitter for iPhone")</f>
        <v>Twitter for iPhone</v>
      </c>
      <c r="L383" s="15">
        <v>62.0</v>
      </c>
      <c r="M383" s="15">
        <v>364.0</v>
      </c>
      <c r="N383" s="15">
        <v>0.0</v>
      </c>
      <c r="O383" s="16"/>
      <c r="P383" s="17">
        <v>42694.3696412037</v>
      </c>
      <c r="Q383" s="10" t="s">
        <v>1810</v>
      </c>
      <c r="R383" s="10" t="s">
        <v>1811</v>
      </c>
      <c r="S383" s="11" t="s">
        <v>1812</v>
      </c>
      <c r="T383" s="13"/>
      <c r="U383" s="18" t="str">
        <f>HYPERLINK("https://pbs.twimg.com/profile_images/1211609201270804481/qHW9wSLP.jpg","View")</f>
        <v>View</v>
      </c>
      <c r="V383" s="13"/>
      <c r="W383" s="13"/>
      <c r="X383" s="13"/>
      <c r="Y383" s="13"/>
      <c r="Z383" s="13"/>
    </row>
    <row r="384">
      <c r="A384" s="8">
        <v>43848.72200231481</v>
      </c>
      <c r="B384" s="9" t="str">
        <f>HYPERLINK("https://twitter.com/RTeasdale11","@RTeasdale11")</f>
        <v>@RTeasdale11</v>
      </c>
      <c r="C384" s="10" t="s">
        <v>1813</v>
      </c>
      <c r="D384" s="10" t="s">
        <v>1814</v>
      </c>
      <c r="E384" s="9" t="str">
        <f>HYPERLINK("https://twitter.com/RTeasdale11/status/1218659250114912259","1218659250114912259")</f>
        <v>1218659250114912259</v>
      </c>
      <c r="F384" s="13"/>
      <c r="G384" s="11" t="s">
        <v>1815</v>
      </c>
      <c r="H384" s="13"/>
      <c r="I384" s="14">
        <v>1.0</v>
      </c>
      <c r="J384" s="14">
        <v>3.0</v>
      </c>
      <c r="K384" s="9" t="str">
        <f t="shared" ref="K384:K385" si="54">HYPERLINK("https://mobile.twitter.com","Twitter Web App")</f>
        <v>Twitter Web App</v>
      </c>
      <c r="L384" s="15">
        <v>115.0</v>
      </c>
      <c r="M384" s="15">
        <v>669.0</v>
      </c>
      <c r="N384" s="15">
        <v>0.0</v>
      </c>
      <c r="O384" s="16"/>
      <c r="P384" s="17">
        <v>43482.65645833334</v>
      </c>
      <c r="Q384" s="10" t="s">
        <v>1816</v>
      </c>
      <c r="R384" s="10" t="s">
        <v>1817</v>
      </c>
      <c r="S384" s="13"/>
      <c r="T384" s="13"/>
      <c r="U384" s="18" t="str">
        <f>HYPERLINK("https://pbs.twimg.com/profile_images/1086034245523554304/RoZlYhte.jpg","View")</f>
        <v>View</v>
      </c>
      <c r="V384" s="13"/>
      <c r="W384" s="13"/>
      <c r="X384" s="13"/>
      <c r="Y384" s="13"/>
      <c r="Z384" s="13"/>
    </row>
    <row r="385">
      <c r="A385" s="8">
        <v>43848.721863425926</v>
      </c>
      <c r="B385" s="9" t="str">
        <f>HYPERLINK("https://twitter.com/NAMIBUCKS","@NAMIBUCKS")</f>
        <v>@NAMIBUCKS</v>
      </c>
      <c r="C385" s="10" t="s">
        <v>1818</v>
      </c>
      <c r="D385" s="10" t="s">
        <v>1819</v>
      </c>
      <c r="E385" s="9" t="str">
        <f>HYPERLINK("https://twitter.com/NAMIBUCKS/status/1218659201448390658","1218659201448390658")</f>
        <v>1218659201448390658</v>
      </c>
      <c r="F385" s="11" t="s">
        <v>1820</v>
      </c>
      <c r="G385" s="11" t="s">
        <v>1821</v>
      </c>
      <c r="H385" s="13"/>
      <c r="I385" s="14">
        <v>0.0</v>
      </c>
      <c r="J385" s="14">
        <v>0.0</v>
      </c>
      <c r="K385" s="9" t="str">
        <f t="shared" si="54"/>
        <v>Twitter Web App</v>
      </c>
      <c r="L385" s="15">
        <v>1050.0</v>
      </c>
      <c r="M385" s="15">
        <v>2012.0</v>
      </c>
      <c r="N385" s="15">
        <v>15.0</v>
      </c>
      <c r="O385" s="16"/>
      <c r="P385" s="17">
        <v>42129.407488425924</v>
      </c>
      <c r="Q385" s="10" t="s">
        <v>1822</v>
      </c>
      <c r="R385" s="10" t="s">
        <v>1823</v>
      </c>
      <c r="S385" s="11" t="s">
        <v>1824</v>
      </c>
      <c r="T385" s="13"/>
      <c r="U385" s="18" t="str">
        <f>HYPERLINK("https://pbs.twimg.com/profile_images/1137299053987934208/GN2Ge-TU.png","View")</f>
        <v>View</v>
      </c>
      <c r="V385" s="13"/>
      <c r="W385" s="13"/>
      <c r="X385" s="13"/>
      <c r="Y385" s="13"/>
      <c r="Z385" s="13"/>
    </row>
    <row r="386">
      <c r="A386" s="8">
        <v>43848.72148148148</v>
      </c>
      <c r="B386" s="9" t="str">
        <f>HYPERLINK("https://twitter.com/AfterTheFall7","@AfterTheFall7")</f>
        <v>@AfterTheFall7</v>
      </c>
      <c r="C386" s="10" t="s">
        <v>1825</v>
      </c>
      <c r="D386" s="10" t="s">
        <v>1826</v>
      </c>
      <c r="E386" s="9" t="str">
        <f>HYPERLINK("https://twitter.com/AfterTheFall7/status/1218659062201626624","1218659062201626624")</f>
        <v>1218659062201626624</v>
      </c>
      <c r="F386" s="13"/>
      <c r="G386" s="13"/>
      <c r="H386" s="13"/>
      <c r="I386" s="14">
        <v>0.0</v>
      </c>
      <c r="J386" s="14">
        <v>0.0</v>
      </c>
      <c r="K386" s="9" t="str">
        <f>HYPERLINK("http://twitter.com/download/android","Twitter for Android")</f>
        <v>Twitter for Android</v>
      </c>
      <c r="L386" s="15">
        <v>8.0</v>
      </c>
      <c r="M386" s="15">
        <v>46.0</v>
      </c>
      <c r="N386" s="15">
        <v>0.0</v>
      </c>
      <c r="O386" s="16"/>
      <c r="P386" s="17">
        <v>43846.428865740745</v>
      </c>
      <c r="Q386" s="13"/>
      <c r="R386" s="10" t="s">
        <v>1827</v>
      </c>
      <c r="S386" s="13"/>
      <c r="T386" s="13"/>
      <c r="U386" s="18" t="str">
        <f>HYPERLINK("https://pbs.twimg.com/profile_images/1217828379493314560/0yNNxr5g.jpg","View")</f>
        <v>View</v>
      </c>
      <c r="V386" s="13"/>
      <c r="W386" s="13"/>
      <c r="X386" s="13"/>
      <c r="Y386" s="13"/>
      <c r="Z386" s="13"/>
    </row>
    <row r="387">
      <c r="A387" s="8">
        <v>43848.720983796295</v>
      </c>
      <c r="B387" s="9" t="str">
        <f>HYPERLINK("https://twitter.com/collectibulldog","@collectibulldog")</f>
        <v>@collectibulldog</v>
      </c>
      <c r="C387" s="10" t="s">
        <v>1828</v>
      </c>
      <c r="D387" s="10" t="s">
        <v>1829</v>
      </c>
      <c r="E387" s="9" t="str">
        <f>HYPERLINK("https://twitter.com/collectibulldog/status/1218658880311504896","1218658880311504896")</f>
        <v>1218658880311504896</v>
      </c>
      <c r="F387" s="13"/>
      <c r="G387" s="11" t="s">
        <v>1830</v>
      </c>
      <c r="H387" s="13"/>
      <c r="I387" s="14">
        <v>1.0</v>
      </c>
      <c r="J387" s="14">
        <v>3.0</v>
      </c>
      <c r="K387" s="9" t="str">
        <f>HYPERLINK("http://twitter.com/#!/download/ipad","Twitter for iPad")</f>
        <v>Twitter for iPad</v>
      </c>
      <c r="L387" s="15">
        <v>195882.0</v>
      </c>
      <c r="M387" s="15">
        <v>171417.0</v>
      </c>
      <c r="N387" s="15">
        <v>2342.0</v>
      </c>
      <c r="O387" s="16"/>
      <c r="P387" s="17">
        <v>42228.69436342592</v>
      </c>
      <c r="Q387" s="10" t="s">
        <v>1831</v>
      </c>
      <c r="R387" s="10" t="s">
        <v>1832</v>
      </c>
      <c r="S387" s="11" t="s">
        <v>1833</v>
      </c>
      <c r="T387" s="13"/>
      <c r="U387" s="18" t="str">
        <f>HYPERLINK("https://pbs.twimg.com/profile_images/1211397761935069187/ea231TGi.jpg","View")</f>
        <v>View</v>
      </c>
      <c r="V387" s="13"/>
      <c r="W387" s="13"/>
      <c r="X387" s="13"/>
      <c r="Y387" s="13"/>
      <c r="Z387" s="13"/>
    </row>
    <row r="388">
      <c r="A388" s="8">
        <v>43848.72001157407</v>
      </c>
      <c r="B388" s="9" t="str">
        <f>HYPERLINK("https://twitter.com/drpokea","@drpokea")</f>
        <v>@drpokea</v>
      </c>
      <c r="C388" s="10" t="s">
        <v>385</v>
      </c>
      <c r="D388" s="10" t="s">
        <v>1834</v>
      </c>
      <c r="E388" s="9" t="str">
        <f>HYPERLINK("https://twitter.com/drpokea/status/1218658527201329153","1218658527201329153")</f>
        <v>1218658527201329153</v>
      </c>
      <c r="F388" s="11" t="s">
        <v>1835</v>
      </c>
      <c r="G388" s="13"/>
      <c r="H388" s="13"/>
      <c r="I388" s="14">
        <v>0.0</v>
      </c>
      <c r="J388" s="14">
        <v>0.0</v>
      </c>
      <c r="K388" s="9" t="str">
        <f>HYPERLINK("https://apps.twitter.com","TwitterHelper4John")</f>
        <v>TwitterHelper4John</v>
      </c>
      <c r="L388" s="15">
        <v>10050.0</v>
      </c>
      <c r="M388" s="15">
        <v>3862.0</v>
      </c>
      <c r="N388" s="15">
        <v>409.0</v>
      </c>
      <c r="O388" s="16"/>
      <c r="P388" s="17">
        <v>41994.369722222225</v>
      </c>
      <c r="Q388" s="10" t="s">
        <v>388</v>
      </c>
      <c r="R388" s="10" t="s">
        <v>389</v>
      </c>
      <c r="S388" s="11" t="s">
        <v>390</v>
      </c>
      <c r="T388" s="13"/>
      <c r="U388" s="18" t="str">
        <f>HYPERLINK("https://pbs.twimg.com/profile_images/546664706165841921/SP4ZJXOO.jpeg","View")</f>
        <v>View</v>
      </c>
      <c r="V388" s="13"/>
      <c r="W388" s="13"/>
      <c r="X388" s="13"/>
      <c r="Y388" s="13"/>
      <c r="Z388" s="13"/>
    </row>
    <row r="389">
      <c r="A389" s="8">
        <v>43848.719826388886</v>
      </c>
      <c r="B389" s="9" t="str">
        <f>HYPERLINK("https://twitter.com/grouptherapy33","@grouptherapy33")</f>
        <v>@grouptherapy33</v>
      </c>
      <c r="C389" s="10" t="s">
        <v>831</v>
      </c>
      <c r="D389" s="10" t="s">
        <v>1836</v>
      </c>
      <c r="E389" s="9" t="str">
        <f>HYPERLINK("https://twitter.com/grouptherapy33/status/1218658462705557505","1218658462705557505")</f>
        <v>1218658462705557505</v>
      </c>
      <c r="F389" s="11" t="s">
        <v>1837</v>
      </c>
      <c r="G389" s="13"/>
      <c r="H389" s="13"/>
      <c r="I389" s="14">
        <v>0.0</v>
      </c>
      <c r="J389" s="14">
        <v>0.0</v>
      </c>
      <c r="K389" s="9" t="str">
        <f>HYPERLINK("http://www.DynamicTweets.com","Dynamic Tweets")</f>
        <v>Dynamic Tweets</v>
      </c>
      <c r="L389" s="15">
        <v>4053.0</v>
      </c>
      <c r="M389" s="15">
        <v>3517.0</v>
      </c>
      <c r="N389" s="15">
        <v>74.0</v>
      </c>
      <c r="O389" s="16"/>
      <c r="P389" s="17">
        <v>42375.45542824074</v>
      </c>
      <c r="Q389" s="13"/>
      <c r="R389" s="13"/>
      <c r="S389" s="11" t="s">
        <v>833</v>
      </c>
      <c r="T389" s="13"/>
      <c r="U389" s="18" t="str">
        <f>HYPERLINK("https://pbs.twimg.com/profile_images/773354507157671941/wE10yy8j.jpg","View")</f>
        <v>View</v>
      </c>
      <c r="V389" s="13"/>
      <c r="W389" s="13"/>
      <c r="X389" s="13"/>
      <c r="Y389" s="13"/>
      <c r="Z389" s="13"/>
    </row>
    <row r="390">
      <c r="A390" s="8">
        <v>43848.71935185185</v>
      </c>
      <c r="B390" s="9" t="str">
        <f>HYPERLINK("https://twitter.com/DonelaLinas","@DonelaLinas")</f>
        <v>@DonelaLinas</v>
      </c>
      <c r="C390" s="10" t="s">
        <v>1838</v>
      </c>
      <c r="D390" s="10" t="s">
        <v>1839</v>
      </c>
      <c r="E390" s="9" t="str">
        <f>HYPERLINK("https://twitter.com/DonelaLinas/status/1218658288537088000","1218658288537088000")</f>
        <v>1218658288537088000</v>
      </c>
      <c r="F390" s="13"/>
      <c r="G390" s="13"/>
      <c r="H390" s="13"/>
      <c r="I390" s="14">
        <v>0.0</v>
      </c>
      <c r="J390" s="14">
        <v>0.0</v>
      </c>
      <c r="K390" s="9" t="str">
        <f>HYPERLINK("http://twitter.com/download/android","Twitter for Android")</f>
        <v>Twitter for Android</v>
      </c>
      <c r="L390" s="15">
        <v>34.0</v>
      </c>
      <c r="M390" s="15">
        <v>57.0</v>
      </c>
      <c r="N390" s="15">
        <v>0.0</v>
      </c>
      <c r="O390" s="16"/>
      <c r="P390" s="17">
        <v>42519.46498842593</v>
      </c>
      <c r="Q390" s="10" t="s">
        <v>1840</v>
      </c>
      <c r="R390" s="10" t="s">
        <v>1841</v>
      </c>
      <c r="S390" s="13"/>
      <c r="T390" s="13"/>
      <c r="U390" s="18" t="str">
        <f>HYPERLINK("https://pbs.twimg.com/profile_images/737072476367269888/aenGDd9p.jpg","View")</f>
        <v>View</v>
      </c>
      <c r="V390" s="13"/>
      <c r="W390" s="13"/>
      <c r="X390" s="13"/>
      <c r="Y390" s="13"/>
      <c r="Z390" s="13"/>
    </row>
    <row r="391">
      <c r="A391" s="8">
        <v>43848.71898148148</v>
      </c>
      <c r="B391" s="9" t="str">
        <f>HYPERLINK("https://twitter.com/kwillism","@kwillism")</f>
        <v>@kwillism</v>
      </c>
      <c r="C391" s="10" t="s">
        <v>1842</v>
      </c>
      <c r="D391" s="10" t="s">
        <v>1843</v>
      </c>
      <c r="E391" s="9" t="str">
        <f>HYPERLINK("https://twitter.com/kwillism/status/1218658154474614785","1218658154474614785")</f>
        <v>1218658154474614785</v>
      </c>
      <c r="F391" s="11" t="s">
        <v>1844</v>
      </c>
      <c r="G391" s="11" t="s">
        <v>1845</v>
      </c>
      <c r="H391" s="13"/>
      <c r="I391" s="14">
        <v>1.0</v>
      </c>
      <c r="J391" s="14">
        <v>3.0</v>
      </c>
      <c r="K391" s="9" t="str">
        <f>HYPERLINK("http://twitter.com/download/iphone","Twitter for iPhone")</f>
        <v>Twitter for iPhone</v>
      </c>
      <c r="L391" s="15">
        <v>252.0</v>
      </c>
      <c r="M391" s="15">
        <v>636.0</v>
      </c>
      <c r="N391" s="15">
        <v>1.0</v>
      </c>
      <c r="O391" s="16"/>
      <c r="P391" s="17">
        <v>39904.43828703704</v>
      </c>
      <c r="Q391" s="13"/>
      <c r="R391" s="10" t="s">
        <v>1846</v>
      </c>
      <c r="S391" s="11" t="s">
        <v>1847</v>
      </c>
      <c r="T391" s="13"/>
      <c r="U391" s="18" t="str">
        <f>HYPERLINK("https://pbs.twimg.com/profile_images/1139354305604067328/y6-ulz4R.jpg","View")</f>
        <v>View</v>
      </c>
      <c r="V391" s="13"/>
      <c r="W391" s="13"/>
      <c r="X391" s="13"/>
      <c r="Y391" s="13"/>
      <c r="Z391" s="13"/>
    </row>
    <row r="392">
      <c r="A392" s="8">
        <v>43848.71879629629</v>
      </c>
      <c r="B392" s="9" t="str">
        <f>HYPERLINK("https://twitter.com/RawlsMD","@RawlsMD")</f>
        <v>@RawlsMD</v>
      </c>
      <c r="C392" s="10" t="s">
        <v>1848</v>
      </c>
      <c r="D392" s="10" t="s">
        <v>1849</v>
      </c>
      <c r="E392" s="9" t="str">
        <f>HYPERLINK("https://twitter.com/RawlsMD/status/1218658088867246084","1218658088867246084")</f>
        <v>1218658088867246084</v>
      </c>
      <c r="F392" s="11" t="s">
        <v>1850</v>
      </c>
      <c r="G392" s="13"/>
      <c r="H392" s="13"/>
      <c r="I392" s="14">
        <v>1.0</v>
      </c>
      <c r="J392" s="14">
        <v>0.0</v>
      </c>
      <c r="K392" s="9" t="str">
        <f>HYPERLINK("https://www.hootsuite.com","Hootsuite Inc.")</f>
        <v>Hootsuite Inc.</v>
      </c>
      <c r="L392" s="15">
        <v>2222.0</v>
      </c>
      <c r="M392" s="15">
        <v>2085.0</v>
      </c>
      <c r="N392" s="15">
        <v>74.0</v>
      </c>
      <c r="O392" s="16"/>
      <c r="P392" s="17">
        <v>41507.52181712963</v>
      </c>
      <c r="Q392" s="10" t="s">
        <v>1851</v>
      </c>
      <c r="R392" s="10" t="s">
        <v>1852</v>
      </c>
      <c r="S392" s="11" t="s">
        <v>1853</v>
      </c>
      <c r="T392" s="13"/>
      <c r="U392" s="18" t="str">
        <f>HYPERLINK("https://pbs.twimg.com/profile_images/790670870926589952/dP85KlQs.jpg","View")</f>
        <v>View</v>
      </c>
      <c r="V392" s="13"/>
      <c r="W392" s="13"/>
      <c r="X392" s="13"/>
      <c r="Y392" s="13"/>
      <c r="Z392" s="13"/>
    </row>
    <row r="393">
      <c r="A393" s="8">
        <v>43848.71863425926</v>
      </c>
      <c r="B393" s="9" t="str">
        <f>HYPERLINK("https://twitter.com/DrGurdeepParhar","@DrGurdeepParhar")</f>
        <v>@DrGurdeepParhar</v>
      </c>
      <c r="C393" s="10" t="s">
        <v>54</v>
      </c>
      <c r="D393" s="10" t="s">
        <v>1854</v>
      </c>
      <c r="E393" s="9" t="str">
        <f>HYPERLINK("https://twitter.com/DrGurdeepParhar/status/1218658030407110657","1218658030407110657")</f>
        <v>1218658030407110657</v>
      </c>
      <c r="F393" s="11" t="s">
        <v>1855</v>
      </c>
      <c r="G393" s="13"/>
      <c r="H393" s="13"/>
      <c r="I393" s="14">
        <v>2.0</v>
      </c>
      <c r="J393" s="14">
        <v>0.0</v>
      </c>
      <c r="K393" s="9" t="str">
        <f>HYPERLINK("https://nectar.social","BHIVE Nectar")</f>
        <v>BHIVE Nectar</v>
      </c>
      <c r="L393" s="15">
        <v>81427.0</v>
      </c>
      <c r="M393" s="15">
        <v>30.0</v>
      </c>
      <c r="N393" s="15">
        <v>73.0</v>
      </c>
      <c r="O393" s="16"/>
      <c r="P393" s="17">
        <v>42450.41334490741</v>
      </c>
      <c r="Q393" s="10" t="s">
        <v>57</v>
      </c>
      <c r="R393" s="10" t="s">
        <v>58</v>
      </c>
      <c r="S393" s="11" t="s">
        <v>59</v>
      </c>
      <c r="T393" s="13"/>
      <c r="U393" s="18" t="str">
        <f>HYPERLINK("https://pbs.twimg.com/profile_images/1013719377697357824/2F3Qgmy6.jpg","View")</f>
        <v>View</v>
      </c>
      <c r="V393" s="13"/>
      <c r="W393" s="13"/>
      <c r="X393" s="13"/>
      <c r="Y393" s="13"/>
      <c r="Z393" s="13"/>
    </row>
    <row r="394">
      <c r="A394" s="8">
        <v>43848.71760416667</v>
      </c>
      <c r="B394" s="9" t="str">
        <f>HYPERLINK("https://twitter.com/JPBrown5","@JPBrown5")</f>
        <v>@JPBrown5</v>
      </c>
      <c r="C394" s="10" t="s">
        <v>1364</v>
      </c>
      <c r="D394" s="10" t="s">
        <v>1856</v>
      </c>
      <c r="E394" s="9" t="str">
        <f>HYPERLINK("https://twitter.com/JPBrown5/status/1218657655750684673","1218657655750684673")</f>
        <v>1218657655750684673</v>
      </c>
      <c r="F394" s="11" t="s">
        <v>1857</v>
      </c>
      <c r="G394" s="13"/>
      <c r="H394" s="13"/>
      <c r="I394" s="14">
        <v>8.0</v>
      </c>
      <c r="J394" s="14">
        <v>16.0</v>
      </c>
      <c r="K394" s="9" t="str">
        <f>HYPERLINK("http://twitter.com","Twitter Web Client")</f>
        <v>Twitter Web Client</v>
      </c>
      <c r="L394" s="15">
        <v>28522.0</v>
      </c>
      <c r="M394" s="15">
        <v>26101.0</v>
      </c>
      <c r="N394" s="15">
        <v>222.0</v>
      </c>
      <c r="O394" s="16"/>
      <c r="P394" s="17">
        <v>39707.93163194445</v>
      </c>
      <c r="Q394" s="10" t="s">
        <v>1367</v>
      </c>
      <c r="R394" s="10" t="s">
        <v>1368</v>
      </c>
      <c r="S394" s="11" t="s">
        <v>1369</v>
      </c>
      <c r="T394" s="13"/>
      <c r="U394" s="18" t="str">
        <f>HYPERLINK("https://pbs.twimg.com/profile_images/922806990602153984/CW3aVdVL.jpg","View")</f>
        <v>View</v>
      </c>
      <c r="V394" s="13"/>
      <c r="W394" s="13"/>
      <c r="X394" s="13"/>
      <c r="Y394" s="13"/>
      <c r="Z394" s="13"/>
    </row>
    <row r="395">
      <c r="A395" s="8">
        <v>43848.71733796297</v>
      </c>
      <c r="B395" s="9" t="str">
        <f>HYPERLINK("https://twitter.com/ruthlessfudge","@ruthlessfudge")</f>
        <v>@ruthlessfudge</v>
      </c>
      <c r="C395" s="10" t="s">
        <v>1858</v>
      </c>
      <c r="D395" s="10" t="s">
        <v>1859</v>
      </c>
      <c r="E395" s="9" t="str">
        <f>HYPERLINK("https://twitter.com/ruthlessfudge/status/1218657558866669568","1218657558866669568")</f>
        <v>1218657558866669568</v>
      </c>
      <c r="F395" s="13"/>
      <c r="G395" s="13"/>
      <c r="H395" s="13"/>
      <c r="I395" s="14">
        <v>1.0</v>
      </c>
      <c r="J395" s="14">
        <v>0.0</v>
      </c>
      <c r="K395" s="9" t="str">
        <f>HYPERLINK("http://twitter.com/download/android","Twitter for Android")</f>
        <v>Twitter for Android</v>
      </c>
      <c r="L395" s="15">
        <v>300.0</v>
      </c>
      <c r="M395" s="15">
        <v>1155.0</v>
      </c>
      <c r="N395" s="15">
        <v>3.0</v>
      </c>
      <c r="O395" s="16"/>
      <c r="P395" s="17">
        <v>43446.807858796295</v>
      </c>
      <c r="Q395" s="10" t="s">
        <v>1860</v>
      </c>
      <c r="R395" s="10" t="s">
        <v>1861</v>
      </c>
      <c r="S395" s="13"/>
      <c r="T395" s="13"/>
      <c r="U395" s="18" t="str">
        <f>HYPERLINK("https://pbs.twimg.com/profile_images/1218313901135355904/g9F6rLOW.jpg","View")</f>
        <v>View</v>
      </c>
      <c r="V395" s="13"/>
      <c r="W395" s="13"/>
      <c r="X395" s="13"/>
      <c r="Y395" s="13"/>
      <c r="Z395" s="13"/>
    </row>
    <row r="396">
      <c r="A396" s="8">
        <v>43848.71715277778</v>
      </c>
      <c r="B396" s="9" t="str">
        <f>HYPERLINK("https://twitter.com/DrGurdeepParhar","@DrGurdeepParhar")</f>
        <v>@DrGurdeepParhar</v>
      </c>
      <c r="C396" s="10" t="s">
        <v>54</v>
      </c>
      <c r="D396" s="10" t="s">
        <v>1862</v>
      </c>
      <c r="E396" s="9" t="str">
        <f>HYPERLINK("https://twitter.com/DrGurdeepParhar/status/1218657490910556160","1218657490910556160")</f>
        <v>1218657490910556160</v>
      </c>
      <c r="F396" s="11" t="s">
        <v>1863</v>
      </c>
      <c r="G396" s="13"/>
      <c r="H396" s="13"/>
      <c r="I396" s="14">
        <v>1.0</v>
      </c>
      <c r="J396" s="14">
        <v>0.0</v>
      </c>
      <c r="K396" s="9" t="str">
        <f>HYPERLINK("https://nectar.social","BHIVE Nectar")</f>
        <v>BHIVE Nectar</v>
      </c>
      <c r="L396" s="15">
        <v>81427.0</v>
      </c>
      <c r="M396" s="15">
        <v>30.0</v>
      </c>
      <c r="N396" s="15">
        <v>73.0</v>
      </c>
      <c r="O396" s="16"/>
      <c r="P396" s="17">
        <v>42450.41334490741</v>
      </c>
      <c r="Q396" s="10" t="s">
        <v>57</v>
      </c>
      <c r="R396" s="10" t="s">
        <v>58</v>
      </c>
      <c r="S396" s="11" t="s">
        <v>59</v>
      </c>
      <c r="T396" s="13"/>
      <c r="U396" s="18" t="str">
        <f>HYPERLINK("https://pbs.twimg.com/profile_images/1013719377697357824/2F3Qgmy6.jpg","View")</f>
        <v>View</v>
      </c>
      <c r="V396" s="13"/>
      <c r="W396" s="13"/>
      <c r="X396" s="13"/>
      <c r="Y396" s="13"/>
      <c r="Z396" s="13"/>
    </row>
    <row r="397">
      <c r="A397" s="8">
        <v>43848.71701388889</v>
      </c>
      <c r="B397" s="9" t="str">
        <f>HYPERLINK("https://twitter.com/DShorb","@DShorb")</f>
        <v>@DShorb</v>
      </c>
      <c r="C397" s="10" t="s">
        <v>21</v>
      </c>
      <c r="D397" s="10" t="s">
        <v>1864</v>
      </c>
      <c r="E397" s="9" t="str">
        <f>HYPERLINK("https://twitter.com/DShorb/status/1218657440834686976","1218657440834686976")</f>
        <v>1218657440834686976</v>
      </c>
      <c r="F397" s="11" t="s">
        <v>1865</v>
      </c>
      <c r="G397" s="13"/>
      <c r="H397" s="13"/>
      <c r="I397" s="14">
        <v>0.0</v>
      </c>
      <c r="J397" s="14">
        <v>0.0</v>
      </c>
      <c r="K397" s="9" t="str">
        <f>HYPERLINK("https://www.smedian.com","Penname")</f>
        <v>Penname</v>
      </c>
      <c r="L397" s="15">
        <v>3871.0</v>
      </c>
      <c r="M397" s="15">
        <v>4543.0</v>
      </c>
      <c r="N397" s="15">
        <v>185.0</v>
      </c>
      <c r="O397" s="16"/>
      <c r="P397" s="17">
        <v>40991.739027777774</v>
      </c>
      <c r="Q397" s="10" t="s">
        <v>24</v>
      </c>
      <c r="R397" s="10" t="s">
        <v>25</v>
      </c>
      <c r="S397" s="11" t="s">
        <v>26</v>
      </c>
      <c r="T397" s="13"/>
      <c r="U397" s="18" t="str">
        <f>HYPERLINK("https://pbs.twimg.com/profile_images/1134459629478408192/VnPf0dlm.jpg","View")</f>
        <v>View</v>
      </c>
      <c r="V397" s="13"/>
      <c r="W397" s="13"/>
      <c r="X397" s="13"/>
      <c r="Y397" s="13"/>
      <c r="Z397" s="13"/>
    </row>
    <row r="398">
      <c r="A398" s="8">
        <v>43848.71652777778</v>
      </c>
      <c r="B398" s="9" t="str">
        <f>HYPERLINK("https://twitter.com/Mendysk8","@Mendysk8")</f>
        <v>@Mendysk8</v>
      </c>
      <c r="C398" s="10" t="s">
        <v>1866</v>
      </c>
      <c r="D398" s="10" t="s">
        <v>1867</v>
      </c>
      <c r="E398" s="9" t="str">
        <f>HYPERLINK("https://twitter.com/Mendysk8/status/1218657264703283202","1218657264703283202")</f>
        <v>1218657264703283202</v>
      </c>
      <c r="F398" s="11" t="s">
        <v>1868</v>
      </c>
      <c r="G398" s="13"/>
      <c r="H398" s="13"/>
      <c r="I398" s="14">
        <v>0.0</v>
      </c>
      <c r="J398" s="14">
        <v>0.0</v>
      </c>
      <c r="K398" s="9" t="str">
        <f>HYPERLINK("http://instagram.com","Instagram")</f>
        <v>Instagram</v>
      </c>
      <c r="L398" s="15">
        <v>36.0</v>
      </c>
      <c r="M398" s="15">
        <v>84.0</v>
      </c>
      <c r="N398" s="15">
        <v>0.0</v>
      </c>
      <c r="O398" s="16"/>
      <c r="P398" s="17">
        <v>42111.44740740741</v>
      </c>
      <c r="Q398" s="13"/>
      <c r="R398" s="11" t="s">
        <v>1869</v>
      </c>
      <c r="S398" s="13"/>
      <c r="T398" s="13"/>
      <c r="U398" s="18" t="str">
        <f>HYPERLINK("https://pbs.twimg.com/profile_images/1217316239422476288/6Fn_3RfS.jpg","View")</f>
        <v>View</v>
      </c>
      <c r="V398" s="13"/>
      <c r="W398" s="13"/>
      <c r="X398" s="13"/>
      <c r="Y398" s="13"/>
      <c r="Z398" s="13"/>
    </row>
    <row r="399">
      <c r="A399" s="8">
        <v>43848.71549768519</v>
      </c>
      <c r="B399" s="9" t="str">
        <f>HYPERLINK("https://twitter.com/allysalama","@allysalama")</f>
        <v>@allysalama</v>
      </c>
      <c r="C399" s="10" t="s">
        <v>1870</v>
      </c>
      <c r="D399" s="10" t="s">
        <v>1871</v>
      </c>
      <c r="E399" s="9" t="str">
        <f>HYPERLINK("https://twitter.com/allysalama/status/1218656893327093760","1218656893327093760")</f>
        <v>1218656893327093760</v>
      </c>
      <c r="F399" s="11" t="s">
        <v>1872</v>
      </c>
      <c r="G399" s="11" t="s">
        <v>1873</v>
      </c>
      <c r="H399" s="13"/>
      <c r="I399" s="14">
        <v>0.0</v>
      </c>
      <c r="J399" s="14">
        <v>0.0</v>
      </c>
      <c r="K399" s="9" t="str">
        <f>HYPERLINK("https://mobile.twitter.com","Twitter Web App")</f>
        <v>Twitter Web App</v>
      </c>
      <c r="L399" s="15">
        <v>254.0</v>
      </c>
      <c r="M399" s="15">
        <v>350.0</v>
      </c>
      <c r="N399" s="15">
        <v>9.0</v>
      </c>
      <c r="O399" s="16"/>
      <c r="P399" s="17">
        <v>40193.223773148144</v>
      </c>
      <c r="Q399" s="10" t="s">
        <v>1874</v>
      </c>
      <c r="R399" s="10" t="s">
        <v>1875</v>
      </c>
      <c r="S399" s="13"/>
      <c r="T399" s="13"/>
      <c r="U399" s="18" t="str">
        <f>HYPERLINK("https://pbs.twimg.com/profile_images/1139606140424208384/ovYtj_MW.jpg","View")</f>
        <v>View</v>
      </c>
      <c r="V399" s="13"/>
      <c r="W399" s="13"/>
      <c r="X399" s="13"/>
      <c r="Y399" s="13"/>
      <c r="Z399" s="13"/>
    </row>
    <row r="400">
      <c r="A400" s="8">
        <v>43848.715312500004</v>
      </c>
      <c r="B400" s="9" t="str">
        <f>HYPERLINK("https://twitter.com/MGHClayCenter","@MGHClayCenter")</f>
        <v>@MGHClayCenter</v>
      </c>
      <c r="C400" s="10" t="s">
        <v>1876</v>
      </c>
      <c r="D400" s="10" t="s">
        <v>1877</v>
      </c>
      <c r="E400" s="9" t="str">
        <f>HYPERLINK("https://twitter.com/MGHClayCenter/status/1218656823923937284","1218656823923937284")</f>
        <v>1218656823923937284</v>
      </c>
      <c r="F400" s="11" t="s">
        <v>1878</v>
      </c>
      <c r="G400" s="13"/>
      <c r="H400" s="13"/>
      <c r="I400" s="14">
        <v>1.0</v>
      </c>
      <c r="J400" s="14">
        <v>1.0</v>
      </c>
      <c r="K400" s="9" t="str">
        <f>HYPERLINK("https://www.hootsuite.com","Hootsuite Inc.")</f>
        <v>Hootsuite Inc.</v>
      </c>
      <c r="L400" s="15">
        <v>2095.0</v>
      </c>
      <c r="M400" s="15">
        <v>1623.0</v>
      </c>
      <c r="N400" s="15">
        <v>95.0</v>
      </c>
      <c r="O400" s="16"/>
      <c r="P400" s="17">
        <v>41522.70261574074</v>
      </c>
      <c r="Q400" s="10" t="s">
        <v>251</v>
      </c>
      <c r="R400" s="10" t="s">
        <v>1879</v>
      </c>
      <c r="S400" s="13"/>
      <c r="T400" s="13"/>
      <c r="U400" s="18" t="str">
        <f>HYPERLINK("https://pbs.twimg.com/profile_images/1134789340779962368/qntYMNiw.jpg","View")</f>
        <v>View</v>
      </c>
      <c r="V400" s="13"/>
      <c r="W400" s="13"/>
      <c r="X400" s="13"/>
      <c r="Y400" s="13"/>
      <c r="Z400" s="13"/>
    </row>
    <row r="401">
      <c r="A401" s="8">
        <v>43848.71435185186</v>
      </c>
      <c r="B401" s="9" t="str">
        <f>HYPERLINK("https://twitter.com/GetZestEd","@GetZestEd")</f>
        <v>@GetZestEd</v>
      </c>
      <c r="C401" s="10" t="s">
        <v>1880</v>
      </c>
      <c r="D401" s="10" t="s">
        <v>1881</v>
      </c>
      <c r="E401" s="9" t="str">
        <f>HYPERLINK("https://twitter.com/GetZestEd/status/1218656476429840386","1218656476429840386")</f>
        <v>1218656476429840386</v>
      </c>
      <c r="F401" s="11" t="s">
        <v>1882</v>
      </c>
      <c r="G401" s="13"/>
      <c r="H401" s="13"/>
      <c r="I401" s="14">
        <v>1.0</v>
      </c>
      <c r="J401" s="14">
        <v>1.0</v>
      </c>
      <c r="K401" s="9" t="str">
        <f>HYPERLINK("http://twitter.com/download/android","Twitter for Android")</f>
        <v>Twitter for Android</v>
      </c>
      <c r="L401" s="15">
        <v>197.0</v>
      </c>
      <c r="M401" s="15">
        <v>164.0</v>
      </c>
      <c r="N401" s="15">
        <v>3.0</v>
      </c>
      <c r="O401" s="16"/>
      <c r="P401" s="17">
        <v>41097.75047453704</v>
      </c>
      <c r="Q401" s="10" t="s">
        <v>1883</v>
      </c>
      <c r="R401" s="10" t="s">
        <v>1884</v>
      </c>
      <c r="S401" s="11" t="s">
        <v>1885</v>
      </c>
      <c r="T401" s="13"/>
      <c r="U401" s="18" t="str">
        <f>HYPERLINK("https://pbs.twimg.com/profile_images/1019738162057232384/CIMJKWjr.jpg","View")</f>
        <v>View</v>
      </c>
      <c r="V401" s="13"/>
      <c r="W401" s="13"/>
      <c r="X401" s="13"/>
      <c r="Y401" s="13"/>
      <c r="Z401" s="13"/>
    </row>
    <row r="402">
      <c r="A402" s="8">
        <v>43848.71418981481</v>
      </c>
      <c r="B402" s="9" t="str">
        <f>HYPERLINK("https://twitter.com/melissacmartin","@melissacmartin")</f>
        <v>@melissacmartin</v>
      </c>
      <c r="C402" s="10" t="s">
        <v>1886</v>
      </c>
      <c r="D402" s="10" t="s">
        <v>1887</v>
      </c>
      <c r="E402" s="9" t="str">
        <f>HYPERLINK("https://twitter.com/melissacmartin/status/1218656418556936193","1218656418556936193")</f>
        <v>1218656418556936193</v>
      </c>
      <c r="F402" s="11" t="s">
        <v>1888</v>
      </c>
      <c r="G402" s="11" t="s">
        <v>1889</v>
      </c>
      <c r="H402" s="13"/>
      <c r="I402" s="14">
        <v>0.0</v>
      </c>
      <c r="J402" s="14">
        <v>0.0</v>
      </c>
      <c r="K402" s="9" t="str">
        <f>HYPERLINK("https://mobile.twitter.com","Twitter Web App")</f>
        <v>Twitter Web App</v>
      </c>
      <c r="L402" s="15">
        <v>1408.0</v>
      </c>
      <c r="M402" s="15">
        <v>1065.0</v>
      </c>
      <c r="N402" s="15">
        <v>83.0</v>
      </c>
      <c r="O402" s="16"/>
      <c r="P402" s="17">
        <v>40562.806493055556</v>
      </c>
      <c r="Q402" s="10" t="s">
        <v>1890</v>
      </c>
      <c r="R402" s="10" t="s">
        <v>1891</v>
      </c>
      <c r="S402" s="11" t="s">
        <v>1892</v>
      </c>
      <c r="T402" s="13"/>
      <c r="U402" s="18" t="str">
        <f>HYPERLINK("https://pbs.twimg.com/profile_images/516732752796721152/i33Uym_Y.jpeg","View")</f>
        <v>View</v>
      </c>
      <c r="V402" s="13"/>
      <c r="W402" s="13"/>
      <c r="X402" s="13"/>
      <c r="Y402" s="13"/>
      <c r="Z402" s="13"/>
    </row>
    <row r="403">
      <c r="A403" s="8">
        <v>43848.7125462963</v>
      </c>
      <c r="B403" s="9" t="str">
        <f>HYPERLINK("https://twitter.com/Depress56444838","@Depress56444838")</f>
        <v>@Depress56444838</v>
      </c>
      <c r="C403" s="10" t="s">
        <v>1893</v>
      </c>
      <c r="D403" s="10" t="s">
        <v>1894</v>
      </c>
      <c r="E403" s="9" t="str">
        <f>HYPERLINK("https://twitter.com/Depress56444838/status/1218655823922171904","1218655823922171904")</f>
        <v>1218655823922171904</v>
      </c>
      <c r="F403" s="13"/>
      <c r="G403" s="13"/>
      <c r="H403" s="13"/>
      <c r="I403" s="14">
        <v>0.0</v>
      </c>
      <c r="J403" s="14">
        <v>0.0</v>
      </c>
      <c r="K403" s="9" t="str">
        <f>HYPERLINK("http://twitter.com/download/iphone","Twitter for iPhone")</f>
        <v>Twitter for iPhone</v>
      </c>
      <c r="L403" s="15">
        <v>4.0</v>
      </c>
      <c r="M403" s="15">
        <v>9.0</v>
      </c>
      <c r="N403" s="15">
        <v>0.0</v>
      </c>
      <c r="O403" s="16"/>
      <c r="P403" s="17">
        <v>43847.57686342593</v>
      </c>
      <c r="Q403" s="13"/>
      <c r="R403" s="10" t="s">
        <v>1895</v>
      </c>
      <c r="S403" s="13"/>
      <c r="T403" s="13"/>
      <c r="U403" s="21" t="s">
        <v>292</v>
      </c>
      <c r="V403" s="13"/>
      <c r="W403" s="13"/>
      <c r="X403" s="13"/>
      <c r="Y403" s="13"/>
      <c r="Z403" s="13"/>
    </row>
    <row r="404">
      <c r="A404" s="8">
        <v>43848.71251157408</v>
      </c>
      <c r="B404" s="9" t="str">
        <f>HYPERLINK("https://twitter.com/JetteMarcussen","@JetteMarcussen")</f>
        <v>@JetteMarcussen</v>
      </c>
      <c r="C404" s="10" t="s">
        <v>1896</v>
      </c>
      <c r="D404" s="10" t="s">
        <v>1897</v>
      </c>
      <c r="E404" s="9" t="str">
        <f>HYPERLINK("https://twitter.com/JetteMarcussen/status/1218655810143821825","1218655810143821825")</f>
        <v>1218655810143821825</v>
      </c>
      <c r="F404" s="10" t="s">
        <v>1898</v>
      </c>
      <c r="G404" s="11" t="s">
        <v>1899</v>
      </c>
      <c r="H404" s="13"/>
      <c r="I404" s="14">
        <v>4.0</v>
      </c>
      <c r="J404" s="14">
        <v>4.0</v>
      </c>
      <c r="K404" s="9" t="str">
        <f>HYPERLINK("http://twitter.com/#!/download/ipad","Twitter for iPad")</f>
        <v>Twitter for iPad</v>
      </c>
      <c r="L404" s="15">
        <v>22.0</v>
      </c>
      <c r="M404" s="15">
        <v>100.0</v>
      </c>
      <c r="N404" s="15">
        <v>3.0</v>
      </c>
      <c r="O404" s="16"/>
      <c r="P404" s="17">
        <v>43395.15184027777</v>
      </c>
      <c r="Q404" s="10" t="s">
        <v>1900</v>
      </c>
      <c r="R404" s="10" t="s">
        <v>1901</v>
      </c>
      <c r="S404" s="13"/>
      <c r="T404" s="13"/>
      <c r="U404" s="18" t="str">
        <f>HYPERLINK("https://pbs.twimg.com/profile_images/1054276048794411010/HTZ3Tgod.jpg","View")</f>
        <v>View</v>
      </c>
      <c r="V404" s="13"/>
      <c r="W404" s="13"/>
      <c r="X404" s="13"/>
      <c r="Y404" s="13"/>
      <c r="Z404" s="13"/>
    </row>
    <row r="405">
      <c r="A405" s="8">
        <v>43848.71233796296</v>
      </c>
      <c r="B405" s="9" t="str">
        <f>HYPERLINK("https://twitter.com/BeachRights4All","@BeachRights4All")</f>
        <v>@BeachRights4All</v>
      </c>
      <c r="C405" s="10" t="s">
        <v>1902</v>
      </c>
      <c r="D405" s="10" t="s">
        <v>1903</v>
      </c>
      <c r="E405" s="9" t="str">
        <f>HYPERLINK("https://twitter.com/BeachRights4All/status/1218655746503495680","1218655746503495680")</f>
        <v>1218655746503495680</v>
      </c>
      <c r="F405" s="11" t="s">
        <v>1904</v>
      </c>
      <c r="G405" s="11" t="s">
        <v>1905</v>
      </c>
      <c r="H405" s="13"/>
      <c r="I405" s="14">
        <v>0.0</v>
      </c>
      <c r="J405" s="14">
        <v>1.0</v>
      </c>
      <c r="K405" s="9" t="str">
        <f>HYPERLINK("http://twitter.com/download/iphone","Twitter for iPhone")</f>
        <v>Twitter for iPhone</v>
      </c>
      <c r="L405" s="15">
        <v>3540.0</v>
      </c>
      <c r="M405" s="15">
        <v>3860.0</v>
      </c>
      <c r="N405" s="15">
        <v>62.0</v>
      </c>
      <c r="O405" s="16"/>
      <c r="P405" s="17">
        <v>39954.6512037037</v>
      </c>
      <c r="Q405" s="10" t="s">
        <v>1906</v>
      </c>
      <c r="R405" s="10" t="s">
        <v>1907</v>
      </c>
      <c r="S405" s="13"/>
      <c r="T405" s="13"/>
      <c r="U405" s="18" t="str">
        <f>HYPERLINK("https://pbs.twimg.com/profile_images/912208578299039744/eVgl-5M9.jpg","View")</f>
        <v>View</v>
      </c>
      <c r="V405" s="13"/>
      <c r="W405" s="13"/>
      <c r="X405" s="13"/>
      <c r="Y405" s="13"/>
      <c r="Z405" s="13"/>
    </row>
    <row r="406">
      <c r="A406" s="8">
        <v>43848.7118287037</v>
      </c>
      <c r="B406" s="9" t="str">
        <f>HYPERLINK("https://twitter.com/RunSkinnyBoy","@RunSkinnyBoy")</f>
        <v>@RunSkinnyBoy</v>
      </c>
      <c r="C406" s="10" t="s">
        <v>1908</v>
      </c>
      <c r="D406" s="10" t="s">
        <v>1909</v>
      </c>
      <c r="E406" s="9" t="str">
        <f>HYPERLINK("https://twitter.com/RunSkinnyBoy/status/1218655565179650049","1218655565179650049")</f>
        <v>1218655565179650049</v>
      </c>
      <c r="F406" s="11" t="s">
        <v>1910</v>
      </c>
      <c r="G406" s="11" t="s">
        <v>1911</v>
      </c>
      <c r="H406" s="13"/>
      <c r="I406" s="14">
        <v>0.0</v>
      </c>
      <c r="J406" s="14">
        <v>1.0</v>
      </c>
      <c r="K406" s="9" t="str">
        <f>HYPERLINK("http://twitter.com/download/android","Twitter for Android")</f>
        <v>Twitter for Android</v>
      </c>
      <c r="L406" s="15">
        <v>216.0</v>
      </c>
      <c r="M406" s="15">
        <v>186.0</v>
      </c>
      <c r="N406" s="15">
        <v>1.0</v>
      </c>
      <c r="O406" s="16"/>
      <c r="P406" s="17">
        <v>43131.56890046297</v>
      </c>
      <c r="Q406" s="10" t="s">
        <v>1912</v>
      </c>
      <c r="R406" s="13"/>
      <c r="S406" s="13"/>
      <c r="T406" s="13"/>
      <c r="U406" s="18" t="str">
        <f>HYPERLINK("https://pbs.twimg.com/profile_images/958775248521977857/ZcMM4k49.jpg","View")</f>
        <v>View</v>
      </c>
      <c r="V406" s="13"/>
      <c r="W406" s="13"/>
      <c r="X406" s="13"/>
      <c r="Y406" s="13"/>
      <c r="Z406" s="13"/>
    </row>
    <row r="407">
      <c r="A407" s="8">
        <v>43848.71121527778</v>
      </c>
      <c r="B407" s="9" t="str">
        <f>HYPERLINK("https://twitter.com/Celinee_Leahy_","@Celinee_Leahy_")</f>
        <v>@Celinee_Leahy_</v>
      </c>
      <c r="C407" s="10" t="s">
        <v>1913</v>
      </c>
      <c r="D407" s="10" t="s">
        <v>1914</v>
      </c>
      <c r="E407" s="9" t="str">
        <f>HYPERLINK("https://twitter.com/Celinee_Leahy_/status/1218655340419518464","1218655340419518464")</f>
        <v>1218655340419518464</v>
      </c>
      <c r="F407" s="13"/>
      <c r="G407" s="11" t="s">
        <v>1915</v>
      </c>
      <c r="H407" s="13"/>
      <c r="I407" s="14">
        <v>4.0</v>
      </c>
      <c r="J407" s="14">
        <v>2.0</v>
      </c>
      <c r="K407" s="9" t="str">
        <f>HYPERLINK("http://twitter.com/download/iphone","Twitter for iPhone")</f>
        <v>Twitter for iPhone</v>
      </c>
      <c r="L407" s="15">
        <v>720.0</v>
      </c>
      <c r="M407" s="15">
        <v>464.0</v>
      </c>
      <c r="N407" s="15">
        <v>2.0</v>
      </c>
      <c r="O407" s="16"/>
      <c r="P407" s="17">
        <v>40850.60016203704</v>
      </c>
      <c r="Q407" s="10" t="s">
        <v>1916</v>
      </c>
      <c r="R407" s="13"/>
      <c r="S407" s="11" t="s">
        <v>1917</v>
      </c>
      <c r="T407" s="13"/>
      <c r="U407" s="18" t="str">
        <f>HYPERLINK("https://pbs.twimg.com/profile_images/1197641555114373127/14Pnk1dj.jpg","View")</f>
        <v>View</v>
      </c>
      <c r="V407" s="13"/>
      <c r="W407" s="13"/>
      <c r="X407" s="13"/>
      <c r="Y407" s="13"/>
      <c r="Z407" s="13"/>
    </row>
    <row r="408">
      <c r="A408" s="8">
        <v>43848.7106712963</v>
      </c>
      <c r="B408" s="9" t="str">
        <f>HYPERLINK("https://twitter.com/DevonJHall","@DevonJHall")</f>
        <v>@DevonJHall</v>
      </c>
      <c r="C408" s="10" t="s">
        <v>1627</v>
      </c>
      <c r="D408" s="10" t="s">
        <v>1918</v>
      </c>
      <c r="E408" s="9" t="str">
        <f>HYPERLINK("https://twitter.com/DevonJHall/status/1218655143614394368","1218655143614394368")</f>
        <v>1218655143614394368</v>
      </c>
      <c r="F408" s="11" t="s">
        <v>1919</v>
      </c>
      <c r="G408" s="13"/>
      <c r="H408" s="13"/>
      <c r="I408" s="14">
        <v>1.0</v>
      </c>
      <c r="J408" s="14">
        <v>0.0</v>
      </c>
      <c r="K408" s="9" t="str">
        <f>HYPERLINK("https://paper.li","Paper.li")</f>
        <v>Paper.li</v>
      </c>
      <c r="L408" s="15">
        <v>1630.0</v>
      </c>
      <c r="M408" s="15">
        <v>544.0</v>
      </c>
      <c r="N408" s="15">
        <v>190.0</v>
      </c>
      <c r="O408" s="16"/>
      <c r="P408" s="17">
        <v>41323.153287037036</v>
      </c>
      <c r="Q408" s="10" t="s">
        <v>1631</v>
      </c>
      <c r="R408" s="10" t="s">
        <v>1632</v>
      </c>
      <c r="S408" s="11" t="s">
        <v>1633</v>
      </c>
      <c r="T408" s="13"/>
      <c r="U408" s="18" t="str">
        <f>HYPERLINK("https://pbs.twimg.com/profile_images/1207775340237447168/V_gdKfdZ.jpg","View")</f>
        <v>View</v>
      </c>
      <c r="V408" s="13"/>
      <c r="W408" s="13"/>
      <c r="X408" s="13"/>
      <c r="Y408" s="13"/>
      <c r="Z408" s="13"/>
    </row>
    <row r="409">
      <c r="A409" s="8">
        <v>43848.71041666667</v>
      </c>
      <c r="B409" s="9" t="str">
        <f>HYPERLINK("https://twitter.com/TheRockSpa","@TheRockSpa")</f>
        <v>@TheRockSpa</v>
      </c>
      <c r="C409" s="10" t="s">
        <v>1920</v>
      </c>
      <c r="D409" s="10" t="s">
        <v>1921</v>
      </c>
      <c r="E409" s="9" t="str">
        <f>HYPERLINK("https://twitter.com/TheRockSpa/status/1218655051410882560","1218655051410882560")</f>
        <v>1218655051410882560</v>
      </c>
      <c r="F409" s="11" t="s">
        <v>1922</v>
      </c>
      <c r="G409" s="13"/>
      <c r="H409" s="13"/>
      <c r="I409" s="14">
        <v>0.0</v>
      </c>
      <c r="J409" s="14">
        <v>0.0</v>
      </c>
      <c r="K409" s="9" t="str">
        <f>HYPERLINK("https://eclincher.com","eClincher")</f>
        <v>eClincher</v>
      </c>
      <c r="L409" s="15">
        <v>5616.0</v>
      </c>
      <c r="M409" s="15">
        <v>3702.0</v>
      </c>
      <c r="N409" s="15">
        <v>56.0</v>
      </c>
      <c r="O409" s="16"/>
      <c r="P409" s="17">
        <v>40947.39637731481</v>
      </c>
      <c r="Q409" s="10" t="s">
        <v>1923</v>
      </c>
      <c r="R409" s="10" t="s">
        <v>1924</v>
      </c>
      <c r="S409" s="11" t="s">
        <v>1925</v>
      </c>
      <c r="T409" s="13"/>
      <c r="U409" s="18" t="str">
        <f>HYPERLINK("https://pbs.twimg.com/profile_images/811085173181689856/4O4KbgpW.jpg","View")</f>
        <v>View</v>
      </c>
      <c r="V409" s="13"/>
      <c r="W409" s="13"/>
      <c r="X409" s="13"/>
      <c r="Y409" s="13"/>
      <c r="Z409" s="13"/>
    </row>
    <row r="410">
      <c r="A410" s="8">
        <v>43848.710011574076</v>
      </c>
      <c r="B410" s="9" t="str">
        <f>HYPERLINK("https://twitter.com/ryanlpainter","@ryanlpainter")</f>
        <v>@ryanlpainter</v>
      </c>
      <c r="C410" s="10" t="s">
        <v>1926</v>
      </c>
      <c r="D410" s="10" t="s">
        <v>1927</v>
      </c>
      <c r="E410" s="9" t="str">
        <f>HYPERLINK("https://twitter.com/ryanlpainter/status/1218654906313105408","1218654906313105408")</f>
        <v>1218654906313105408</v>
      </c>
      <c r="F410" s="11" t="s">
        <v>334</v>
      </c>
      <c r="G410" s="13"/>
      <c r="H410" s="13"/>
      <c r="I410" s="14">
        <v>0.0</v>
      </c>
      <c r="J410" s="14">
        <v>1.0</v>
      </c>
      <c r="K410" s="9" t="str">
        <f>HYPERLINK("http://twitter.com/download/android","Twitter for Android")</f>
        <v>Twitter for Android</v>
      </c>
      <c r="L410" s="15">
        <v>2863.0</v>
      </c>
      <c r="M410" s="15">
        <v>3831.0</v>
      </c>
      <c r="N410" s="15">
        <v>111.0</v>
      </c>
      <c r="O410" s="16"/>
      <c r="P410" s="17">
        <v>40128.23119212963</v>
      </c>
      <c r="Q410" s="10" t="s">
        <v>1928</v>
      </c>
      <c r="R410" s="10" t="s">
        <v>1929</v>
      </c>
      <c r="S410" s="11" t="s">
        <v>1930</v>
      </c>
      <c r="T410" s="13"/>
      <c r="U410" s="18" t="str">
        <f>HYPERLINK("https://pbs.twimg.com/profile_images/1165035358184042496/-uFCOZgr.jpg","View")</f>
        <v>View</v>
      </c>
      <c r="V410" s="13"/>
      <c r="W410" s="13"/>
      <c r="X410" s="13"/>
      <c r="Y410" s="13"/>
      <c r="Z410" s="13"/>
    </row>
    <row r="411">
      <c r="A411" s="8">
        <v>43848.70979166667</v>
      </c>
      <c r="B411" s="9" t="str">
        <f>HYPERLINK("https://twitter.com/MiaLis79","@MiaLis79")</f>
        <v>@MiaLis79</v>
      </c>
      <c r="C411" s="10" t="s">
        <v>1343</v>
      </c>
      <c r="D411" s="10" t="s">
        <v>1931</v>
      </c>
      <c r="E411" s="9" t="str">
        <f>HYPERLINK("https://twitter.com/MiaLis79/status/1218654824570421253","1218654824570421253")</f>
        <v>1218654824570421253</v>
      </c>
      <c r="F411" s="11" t="s">
        <v>1932</v>
      </c>
      <c r="G411" s="13"/>
      <c r="H411" s="13"/>
      <c r="I411" s="14">
        <v>0.0</v>
      </c>
      <c r="J411" s="14">
        <v>1.0</v>
      </c>
      <c r="K411" s="9" t="str">
        <f>HYPERLINK("https://www.mytweetpack.com","myTweetPack")</f>
        <v>myTweetPack</v>
      </c>
      <c r="L411" s="15">
        <v>16902.0</v>
      </c>
      <c r="M411" s="15">
        <v>12466.0</v>
      </c>
      <c r="N411" s="15">
        <v>1642.0</v>
      </c>
      <c r="O411" s="16"/>
      <c r="P411" s="17">
        <v>39685.06575231481</v>
      </c>
      <c r="Q411" s="10" t="s">
        <v>1346</v>
      </c>
      <c r="R411" s="10" t="s">
        <v>1347</v>
      </c>
      <c r="S411" s="11" t="s">
        <v>1348</v>
      </c>
      <c r="T411" s="13"/>
      <c r="U411" s="18" t="str">
        <f>HYPERLINK("https://pbs.twimg.com/profile_images/729868043153723394/O1HlkXlX.jpg","View")</f>
        <v>View</v>
      </c>
      <c r="V411" s="13"/>
      <c r="W411" s="13"/>
      <c r="X411" s="13"/>
      <c r="Y411" s="13"/>
      <c r="Z411" s="13"/>
    </row>
    <row r="412">
      <c r="A412" s="8">
        <v>43848.708391203705</v>
      </c>
      <c r="B412" s="9" t="str">
        <f>HYPERLINK("https://twitter.com/MercerCanada","@MercerCanada")</f>
        <v>@MercerCanada</v>
      </c>
      <c r="C412" s="10" t="s">
        <v>1933</v>
      </c>
      <c r="D412" s="10" t="s">
        <v>1934</v>
      </c>
      <c r="E412" s="9" t="str">
        <f>HYPERLINK("https://twitter.com/MercerCanada/status/1218654318850641927","1218654318850641927")</f>
        <v>1218654318850641927</v>
      </c>
      <c r="F412" s="11" t="s">
        <v>1935</v>
      </c>
      <c r="G412" s="11" t="s">
        <v>1936</v>
      </c>
      <c r="H412" s="13"/>
      <c r="I412" s="14">
        <v>1.0</v>
      </c>
      <c r="J412" s="14">
        <v>1.0</v>
      </c>
      <c r="K412" s="9" t="str">
        <f>HYPERLINK("https://www.spredfast.com/","Spredfast app")</f>
        <v>Spredfast app</v>
      </c>
      <c r="L412" s="15">
        <v>2568.0</v>
      </c>
      <c r="M412" s="15">
        <v>1807.0</v>
      </c>
      <c r="N412" s="15">
        <v>145.0</v>
      </c>
      <c r="O412" s="16"/>
      <c r="P412" s="17">
        <v>39700.71960648148</v>
      </c>
      <c r="Q412" s="10" t="s">
        <v>177</v>
      </c>
      <c r="R412" s="10" t="s">
        <v>1937</v>
      </c>
      <c r="S412" s="11" t="s">
        <v>1938</v>
      </c>
      <c r="T412" s="13"/>
      <c r="U412" s="18" t="str">
        <f>HYPERLINK("https://pbs.twimg.com/profile_images/887355812796039168/cgfgVPK7.jpg","View")</f>
        <v>View</v>
      </c>
      <c r="V412" s="13"/>
      <c r="W412" s="13"/>
      <c r="X412" s="13"/>
      <c r="Y412" s="13"/>
      <c r="Z412" s="13"/>
    </row>
    <row r="413">
      <c r="A413" s="8">
        <v>43848.70833333333</v>
      </c>
      <c r="B413" s="9" t="str">
        <f>HYPERLINK("https://twitter.com/justtwomates","@justtwomates")</f>
        <v>@justtwomates</v>
      </c>
      <c r="C413" s="10" t="s">
        <v>1939</v>
      </c>
      <c r="D413" s="10" t="s">
        <v>1940</v>
      </c>
      <c r="E413" s="9" t="str">
        <f>HYPERLINK("https://twitter.com/justtwomates/status/1218654297765736448","1218654297765736448")</f>
        <v>1218654297765736448</v>
      </c>
      <c r="F413" s="13"/>
      <c r="G413" s="11" t="s">
        <v>1941</v>
      </c>
      <c r="H413" s="13"/>
      <c r="I413" s="14">
        <v>0.0</v>
      </c>
      <c r="J413" s="14">
        <v>0.0</v>
      </c>
      <c r="K413" s="9" t="str">
        <f>HYPERLINK("https://social.zoho.com","Zoho Social")</f>
        <v>Zoho Social</v>
      </c>
      <c r="L413" s="15">
        <v>0.0</v>
      </c>
      <c r="M413" s="15">
        <v>28.0</v>
      </c>
      <c r="N413" s="15">
        <v>0.0</v>
      </c>
      <c r="O413" s="16"/>
      <c r="P413" s="17">
        <v>43831.85601851852</v>
      </c>
      <c r="Q413" s="10" t="s">
        <v>1942</v>
      </c>
      <c r="R413" s="10" t="s">
        <v>1943</v>
      </c>
      <c r="S413" s="11" t="s">
        <v>1944</v>
      </c>
      <c r="T413" s="13"/>
      <c r="U413" s="18" t="str">
        <f>HYPERLINK("https://pbs.twimg.com/profile_images/1212547256781438977/OR681W1U.jpg","View")</f>
        <v>View</v>
      </c>
      <c r="V413" s="13"/>
      <c r="W413" s="13"/>
      <c r="X413" s="13"/>
      <c r="Y413" s="13"/>
      <c r="Z413" s="13"/>
    </row>
    <row r="414">
      <c r="A414" s="8">
        <v>43848.70824074074</v>
      </c>
      <c r="B414" s="9" t="str">
        <f>HYPERLINK("https://twitter.com/johno0910","@johno0910")</f>
        <v>@johno0910</v>
      </c>
      <c r="C414" s="10" t="s">
        <v>1945</v>
      </c>
      <c r="D414" s="10" t="s">
        <v>1946</v>
      </c>
      <c r="E414" s="9" t="str">
        <f>HYPERLINK("https://twitter.com/johno0910/status/1218654264026812416","1218654264026812416")</f>
        <v>1218654264026812416</v>
      </c>
      <c r="F414" s="11" t="s">
        <v>1947</v>
      </c>
      <c r="G414" s="13"/>
      <c r="H414" s="13"/>
      <c r="I414" s="14">
        <v>6.0</v>
      </c>
      <c r="J414" s="14">
        <v>4.0</v>
      </c>
      <c r="K414" s="9" t="str">
        <f t="shared" ref="K414:K415" si="55">HYPERLINK("http://twitter.com/download/iphone","Twitter for iPhone")</f>
        <v>Twitter for iPhone</v>
      </c>
      <c r="L414" s="15">
        <v>1330.0</v>
      </c>
      <c r="M414" s="15">
        <v>363.0</v>
      </c>
      <c r="N414" s="15">
        <v>6.0</v>
      </c>
      <c r="O414" s="16"/>
      <c r="P414" s="17">
        <v>43202.769432870366</v>
      </c>
      <c r="Q414" s="10" t="s">
        <v>1948</v>
      </c>
      <c r="R414" s="10" t="s">
        <v>1949</v>
      </c>
      <c r="S414" s="11" t="s">
        <v>1950</v>
      </c>
      <c r="T414" s="13"/>
      <c r="U414" s="18" t="str">
        <f>HYPERLINK("https://pbs.twimg.com/profile_images/984564853141487616/OLfKkvAm.jpg","View")</f>
        <v>View</v>
      </c>
      <c r="V414" s="13"/>
      <c r="W414" s="13"/>
      <c r="X414" s="13"/>
      <c r="Y414" s="13"/>
      <c r="Z414" s="13"/>
    </row>
    <row r="415">
      <c r="A415" s="8">
        <v>43848.708078703705</v>
      </c>
      <c r="B415" s="9" t="str">
        <f>HYPERLINK("https://twitter.com/mauraadaley","@mauraadaley")</f>
        <v>@mauraadaley</v>
      </c>
      <c r="C415" s="10" t="s">
        <v>1951</v>
      </c>
      <c r="D415" s="10" t="s">
        <v>1952</v>
      </c>
      <c r="E415" s="9" t="str">
        <f>HYPERLINK("https://twitter.com/mauraadaley/status/1218654206485200896","1218654206485200896")</f>
        <v>1218654206485200896</v>
      </c>
      <c r="F415" s="10" t="s">
        <v>1953</v>
      </c>
      <c r="G415" s="13"/>
      <c r="H415" s="13"/>
      <c r="I415" s="14">
        <v>0.0</v>
      </c>
      <c r="J415" s="14">
        <v>0.0</v>
      </c>
      <c r="K415" s="9" t="str">
        <f t="shared" si="55"/>
        <v>Twitter for iPhone</v>
      </c>
      <c r="L415" s="15">
        <v>1587.0</v>
      </c>
      <c r="M415" s="15">
        <v>2628.0</v>
      </c>
      <c r="N415" s="15">
        <v>253.0</v>
      </c>
      <c r="O415" s="16"/>
      <c r="P415" s="17">
        <v>40218.48821759259</v>
      </c>
      <c r="Q415" s="10" t="s">
        <v>1954</v>
      </c>
      <c r="R415" s="10" t="s">
        <v>1955</v>
      </c>
      <c r="S415" s="13"/>
      <c r="T415" s="13"/>
      <c r="U415" s="18" t="str">
        <f>HYPERLINK("https://pbs.twimg.com/profile_images/1010989418746957833/Ead5VeCY.jpg","View")</f>
        <v>View</v>
      </c>
      <c r="V415" s="13"/>
      <c r="W415" s="13"/>
      <c r="X415" s="13"/>
      <c r="Y415" s="13"/>
      <c r="Z415" s="13"/>
    </row>
    <row r="416">
      <c r="A416" s="8">
        <v>43848.70741898148</v>
      </c>
      <c r="B416" s="9" t="str">
        <f>HYPERLINK("https://twitter.com/Kit_Novak","@Kit_Novak")</f>
        <v>@Kit_Novak</v>
      </c>
      <c r="C416" s="10" t="s">
        <v>1451</v>
      </c>
      <c r="D416" s="10" t="s">
        <v>1956</v>
      </c>
      <c r="E416" s="9" t="str">
        <f>HYPERLINK("https://twitter.com/Kit_Novak/status/1218653964339728386","1218653964339728386")</f>
        <v>1218653964339728386</v>
      </c>
      <c r="F416" s="11" t="s">
        <v>1957</v>
      </c>
      <c r="G416" s="13"/>
      <c r="H416" s="13"/>
      <c r="I416" s="14">
        <v>0.0</v>
      </c>
      <c r="J416" s="14">
        <v>0.0</v>
      </c>
      <c r="K416" s="9" t="str">
        <f>HYPERLINK("https://mobile.twitter.com","Twitter Web App")</f>
        <v>Twitter Web App</v>
      </c>
      <c r="L416" s="15">
        <v>441.0</v>
      </c>
      <c r="M416" s="15">
        <v>599.0</v>
      </c>
      <c r="N416" s="15">
        <v>7.0</v>
      </c>
      <c r="O416" s="16"/>
      <c r="P416" s="17">
        <v>40855.646840277775</v>
      </c>
      <c r="Q416" s="10" t="s">
        <v>1454</v>
      </c>
      <c r="R416" s="10" t="s">
        <v>1455</v>
      </c>
      <c r="S416" s="11" t="s">
        <v>1456</v>
      </c>
      <c r="T416" s="13"/>
      <c r="U416" s="18" t="str">
        <f>HYPERLINK("https://pbs.twimg.com/profile_images/1205578805215186944/D_mHF7MC.jpg","View")</f>
        <v>View</v>
      </c>
      <c r="V416" s="13"/>
      <c r="W416" s="13"/>
      <c r="X416" s="13"/>
      <c r="Y416" s="13"/>
      <c r="Z416" s="13"/>
    </row>
    <row r="417">
      <c r="A417" s="8">
        <v>43848.70733796296</v>
      </c>
      <c r="B417" s="9" t="str">
        <f>HYPERLINK("https://twitter.com/tmj_CA_psych","@tmj_CA_psych")</f>
        <v>@tmj_CA_psych</v>
      </c>
      <c r="C417" s="10" t="s">
        <v>631</v>
      </c>
      <c r="D417" s="10" t="s">
        <v>1958</v>
      </c>
      <c r="E417" s="9" t="str">
        <f>HYPERLINK("https://twitter.com/tmj_CA_psych/status/1218653934748717057","1218653934748717057")</f>
        <v>1218653934748717057</v>
      </c>
      <c r="F417" s="11" t="s">
        <v>1959</v>
      </c>
      <c r="G417" s="13"/>
      <c r="H417" s="9" t="str">
        <f>HYPERLINK("https://ctrlq.org/maps/address/#33.8733037,-117.9307584","Map")</f>
        <v>Map</v>
      </c>
      <c r="I417" s="14">
        <v>0.0</v>
      </c>
      <c r="J417" s="14">
        <v>0.0</v>
      </c>
      <c r="K417" s="9" t="str">
        <f>HYPERLINK("https://www.careerarc.com","CareerArc 2.0")</f>
        <v>CareerArc 2.0</v>
      </c>
      <c r="L417" s="15">
        <v>112.0</v>
      </c>
      <c r="M417" s="15">
        <v>79.0</v>
      </c>
      <c r="N417" s="15">
        <v>21.0</v>
      </c>
      <c r="O417" s="16"/>
      <c r="P417" s="17">
        <v>40630.76917824074</v>
      </c>
      <c r="Q417" s="10" t="s">
        <v>634</v>
      </c>
      <c r="R417" s="10" t="s">
        <v>635</v>
      </c>
      <c r="S417" s="11" t="s">
        <v>636</v>
      </c>
      <c r="T417" s="13"/>
      <c r="U417" s="18" t="str">
        <f>HYPERLINK("https://pbs.twimg.com/profile_images/714885504886509569/8HF_GM4A.jpg","View")</f>
        <v>View</v>
      </c>
      <c r="V417" s="13"/>
      <c r="W417" s="13"/>
      <c r="X417" s="13"/>
      <c r="Y417" s="13"/>
      <c r="Z417" s="13"/>
    </row>
    <row r="418">
      <c r="A418" s="8">
        <v>43848.707291666666</v>
      </c>
      <c r="B418" s="9" t="str">
        <f>HYPERLINK("https://twitter.com/trudi771","@trudi771")</f>
        <v>@trudi771</v>
      </c>
      <c r="C418" s="10" t="s">
        <v>1960</v>
      </c>
      <c r="D418" s="10" t="s">
        <v>1961</v>
      </c>
      <c r="E418" s="9" t="str">
        <f>HYPERLINK("https://twitter.com/trudi771/status/1218653920077152258","1218653920077152258")</f>
        <v>1218653920077152258</v>
      </c>
      <c r="F418" s="13"/>
      <c r="G418" s="11" t="s">
        <v>1962</v>
      </c>
      <c r="H418" s="13"/>
      <c r="I418" s="14">
        <v>1.0</v>
      </c>
      <c r="J418" s="14">
        <v>1.0</v>
      </c>
      <c r="K418" s="9" t="str">
        <f>HYPERLINK("http://twitter.com/download/android","Twitter for Android")</f>
        <v>Twitter for Android</v>
      </c>
      <c r="L418" s="15">
        <v>6.0</v>
      </c>
      <c r="M418" s="15">
        <v>32.0</v>
      </c>
      <c r="N418" s="15">
        <v>0.0</v>
      </c>
      <c r="O418" s="16"/>
      <c r="P418" s="17">
        <v>43758.63128472222</v>
      </c>
      <c r="Q418" s="13"/>
      <c r="R418" s="10" t="s">
        <v>1963</v>
      </c>
      <c r="S418" s="13"/>
      <c r="T418" s="13"/>
      <c r="U418" s="18" t="str">
        <f>HYPERLINK("https://pbs.twimg.com/profile_images/1185996731789516802/ZbCwuqRa.jpg","View")</f>
        <v>View</v>
      </c>
      <c r="V418" s="13"/>
      <c r="W418" s="13"/>
      <c r="X418" s="13"/>
      <c r="Y418" s="13"/>
      <c r="Z418" s="13"/>
    </row>
    <row r="419">
      <c r="A419" s="8">
        <v>43848.70715277777</v>
      </c>
      <c r="B419" s="9" t="str">
        <f>HYPERLINK("https://twitter.com/nicoletaher","@nicoletaher")</f>
        <v>@nicoletaher</v>
      </c>
      <c r="C419" s="10" t="s">
        <v>1964</v>
      </c>
      <c r="D419" s="10" t="s">
        <v>1965</v>
      </c>
      <c r="E419" s="9" t="str">
        <f>HYPERLINK("https://twitter.com/nicoletaher/status/1218653869472768002","1218653869472768002")</f>
        <v>1218653869472768002</v>
      </c>
      <c r="F419" s="11" t="s">
        <v>1966</v>
      </c>
      <c r="G419" s="13"/>
      <c r="H419" s="13"/>
      <c r="I419" s="14">
        <v>0.0</v>
      </c>
      <c r="J419" s="14">
        <v>0.0</v>
      </c>
      <c r="K419" s="9" t="str">
        <f>HYPERLINK("http://twitter.com/#!/download/ipad","Twitter for iPad")</f>
        <v>Twitter for iPad</v>
      </c>
      <c r="L419" s="15">
        <v>1678.0</v>
      </c>
      <c r="M419" s="15">
        <v>998.0</v>
      </c>
      <c r="N419" s="15">
        <v>55.0</v>
      </c>
      <c r="O419" s="16"/>
      <c r="P419" s="17">
        <v>39657.76020833333</v>
      </c>
      <c r="Q419" s="10" t="s">
        <v>1967</v>
      </c>
      <c r="R419" s="10" t="s">
        <v>1968</v>
      </c>
      <c r="S419" s="13"/>
      <c r="T419" s="13"/>
      <c r="U419" s="18" t="str">
        <f>HYPERLINK("https://pbs.twimg.com/profile_images/1215322670906003456/caWVqhzO.jpg","View")</f>
        <v>View</v>
      </c>
      <c r="V419" s="13"/>
      <c r="W419" s="13"/>
      <c r="X419" s="13"/>
      <c r="Y419" s="13"/>
      <c r="Z419" s="13"/>
    </row>
    <row r="420">
      <c r="A420" s="8">
        <v>43848.70695601852</v>
      </c>
      <c r="B420" s="9" t="str">
        <f>HYPERLINK("https://twitter.com/SkypeTherapist","@SkypeTherapist")</f>
        <v>@SkypeTherapist</v>
      </c>
      <c r="C420" s="10" t="s">
        <v>39</v>
      </c>
      <c r="D420" s="10" t="s">
        <v>1969</v>
      </c>
      <c r="E420" s="9" t="str">
        <f>HYPERLINK("https://twitter.com/SkypeTherapist/status/1218653796605272064","1218653796605272064")</f>
        <v>1218653796605272064</v>
      </c>
      <c r="F420" s="11" t="s">
        <v>43</v>
      </c>
      <c r="G420" s="13"/>
      <c r="H420" s="13"/>
      <c r="I420" s="14">
        <v>0.0</v>
      </c>
      <c r="J420" s="14">
        <v>0.0</v>
      </c>
      <c r="K420" s="9" t="str">
        <f>HYPERLINK("https://buffer.com","Buffer")</f>
        <v>Buffer</v>
      </c>
      <c r="L420" s="15">
        <v>31074.0</v>
      </c>
      <c r="M420" s="15">
        <v>29180.0</v>
      </c>
      <c r="N420" s="15">
        <v>397.0</v>
      </c>
      <c r="O420" s="16"/>
      <c r="P420" s="17">
        <v>40131.457777777774</v>
      </c>
      <c r="Q420" s="10" t="s">
        <v>46</v>
      </c>
      <c r="R420" s="10" t="s">
        <v>47</v>
      </c>
      <c r="S420" s="11" t="s">
        <v>43</v>
      </c>
      <c r="T420" s="13"/>
      <c r="U420" s="18" t="str">
        <f>HYPERLINK("https://pbs.twimg.com/profile_images/1093911234120798208/G4lphODU.jpg","View")</f>
        <v>View</v>
      </c>
      <c r="V420" s="13"/>
      <c r="W420" s="13"/>
      <c r="X420" s="13"/>
      <c r="Y420" s="13"/>
      <c r="Z420" s="13"/>
    </row>
    <row r="421">
      <c r="A421" s="8">
        <v>43848.70659722222</v>
      </c>
      <c r="B421" s="9" t="str">
        <f>HYPERLINK("https://twitter.com/DrCasyLPCS","@DrCasyLPCS")</f>
        <v>@DrCasyLPCS</v>
      </c>
      <c r="C421" s="10" t="s">
        <v>1970</v>
      </c>
      <c r="D421" s="10" t="s">
        <v>1971</v>
      </c>
      <c r="E421" s="9" t="str">
        <f>HYPERLINK("https://twitter.com/DrCasyLPCS/status/1218653665600380931","1218653665600380931")</f>
        <v>1218653665600380931</v>
      </c>
      <c r="F421" s="11" t="s">
        <v>1972</v>
      </c>
      <c r="G421" s="13"/>
      <c r="H421" s="13"/>
      <c r="I421" s="14">
        <v>0.0</v>
      </c>
      <c r="J421" s="14">
        <v>0.0</v>
      </c>
      <c r="K421" s="9" t="str">
        <f>HYPERLINK("https://mobile.twitter.com","Twitter Web App")</f>
        <v>Twitter Web App</v>
      </c>
      <c r="L421" s="15">
        <v>215.0</v>
      </c>
      <c r="M421" s="15">
        <v>975.0</v>
      </c>
      <c r="N421" s="15">
        <v>0.0</v>
      </c>
      <c r="O421" s="16"/>
      <c r="P421" s="17">
        <v>42202.920706018514</v>
      </c>
      <c r="Q421" s="10" t="s">
        <v>349</v>
      </c>
      <c r="R421" s="10" t="s">
        <v>1973</v>
      </c>
      <c r="S421" s="11" t="s">
        <v>1974</v>
      </c>
      <c r="T421" s="13"/>
      <c r="U421" s="18" t="str">
        <f>HYPERLINK("https://pbs.twimg.com/profile_images/772660363351371776/2ZePUJl0.jpg","View")</f>
        <v>View</v>
      </c>
      <c r="V421" s="13"/>
      <c r="W421" s="13"/>
      <c r="X421" s="13"/>
      <c r="Y421" s="13"/>
      <c r="Z421" s="13"/>
    </row>
    <row r="422">
      <c r="A422" s="8">
        <v>43848.70649305556</v>
      </c>
      <c r="B422" s="9" t="str">
        <f>HYPERLINK("https://twitter.com/katieloveland11","@katieloveland11")</f>
        <v>@katieloveland11</v>
      </c>
      <c r="C422" s="10" t="s">
        <v>1975</v>
      </c>
      <c r="D422" s="10" t="s">
        <v>1976</v>
      </c>
      <c r="E422" s="9" t="str">
        <f>HYPERLINK("https://twitter.com/katieloveland11/status/1218653628380143621","1218653628380143621")</f>
        <v>1218653628380143621</v>
      </c>
      <c r="F422" s="13"/>
      <c r="G422" s="13"/>
      <c r="H422" s="13"/>
      <c r="I422" s="14">
        <v>0.0</v>
      </c>
      <c r="J422" s="14">
        <v>0.0</v>
      </c>
      <c r="K422" s="9" t="str">
        <f>HYPERLINK("http://twitter.com/download/android","Twitter for Android")</f>
        <v>Twitter for Android</v>
      </c>
      <c r="L422" s="15">
        <v>20.0</v>
      </c>
      <c r="M422" s="15">
        <v>123.0</v>
      </c>
      <c r="N422" s="15">
        <v>2.0</v>
      </c>
      <c r="O422" s="16"/>
      <c r="P422" s="17">
        <v>41864.87510416667</v>
      </c>
      <c r="Q422" s="13"/>
      <c r="R422" s="13"/>
      <c r="S422" s="13"/>
      <c r="T422" s="13"/>
      <c r="U422" s="18" t="str">
        <f>HYPERLINK("https://pbs.twimg.com/profile_images/589258179235676160/vUzF-aA2.jpg","View")</f>
        <v>View</v>
      </c>
      <c r="V422" s="13"/>
      <c r="W422" s="13"/>
      <c r="X422" s="13"/>
      <c r="Y422" s="13"/>
      <c r="Z422" s="13"/>
    </row>
    <row r="423">
      <c r="A423" s="8">
        <v>43848.70634259259</v>
      </c>
      <c r="B423" s="9" t="str">
        <f>HYPERLINK("https://twitter.com/LatestNewsAU","@LatestNewsAU")</f>
        <v>@LatestNewsAU</v>
      </c>
      <c r="C423" s="11" t="s">
        <v>400</v>
      </c>
      <c r="D423" s="10" t="s">
        <v>1977</v>
      </c>
      <c r="E423" s="9" t="str">
        <f>HYPERLINK("https://twitter.com/LatestNewsAU/status/1218653576458907650","1218653576458907650")</f>
        <v>1218653576458907650</v>
      </c>
      <c r="F423" s="11" t="s">
        <v>402</v>
      </c>
      <c r="G423" s="11" t="s">
        <v>1978</v>
      </c>
      <c r="H423" s="13"/>
      <c r="I423" s="14">
        <v>0.0</v>
      </c>
      <c r="J423" s="14">
        <v>0.0</v>
      </c>
      <c r="K423" s="9" t="str">
        <f>HYPERLINK("https://twittimer.com","Twittimer")</f>
        <v>Twittimer</v>
      </c>
      <c r="L423" s="15">
        <v>3749.0</v>
      </c>
      <c r="M423" s="15">
        <v>3140.0</v>
      </c>
      <c r="N423" s="15">
        <v>122.0</v>
      </c>
      <c r="O423" s="16"/>
      <c r="P423" s="17">
        <v>42050.339097222226</v>
      </c>
      <c r="Q423" s="10" t="s">
        <v>404</v>
      </c>
      <c r="R423" s="10" t="s">
        <v>405</v>
      </c>
      <c r="S423" s="11" t="s">
        <v>406</v>
      </c>
      <c r="T423" s="13"/>
      <c r="U423" s="18" t="str">
        <f>HYPERLINK("https://pbs.twimg.com/profile_images/1132520198672592898/84JxYnvT.png","View")</f>
        <v>View</v>
      </c>
      <c r="V423" s="13"/>
      <c r="W423" s="13"/>
      <c r="X423" s="13"/>
      <c r="Y423" s="13"/>
      <c r="Z423" s="13"/>
    </row>
    <row r="424">
      <c r="A424" s="8">
        <v>43848.7058912037</v>
      </c>
      <c r="B424" s="9" t="str">
        <f>HYPERLINK("https://twitter.com/colbypearce","@colbypearce")</f>
        <v>@colbypearce</v>
      </c>
      <c r="C424" s="10" t="s">
        <v>1979</v>
      </c>
      <c r="D424" s="10" t="s">
        <v>1980</v>
      </c>
      <c r="E424" s="9" t="str">
        <f>HYPERLINK("https://twitter.com/colbypearce/status/1218653409911291904","1218653409911291904")</f>
        <v>1218653409911291904</v>
      </c>
      <c r="F424" s="11" t="s">
        <v>1981</v>
      </c>
      <c r="G424" s="13"/>
      <c r="H424" s="13"/>
      <c r="I424" s="14">
        <v>2.0</v>
      </c>
      <c r="J424" s="14">
        <v>2.0</v>
      </c>
      <c r="K424" s="9" t="str">
        <f>HYPERLINK("http://twitter.com/download/iphone","Twitter for iPhone")</f>
        <v>Twitter for iPhone</v>
      </c>
      <c r="L424" s="15">
        <v>2744.0</v>
      </c>
      <c r="M424" s="15">
        <v>2194.0</v>
      </c>
      <c r="N424" s="15">
        <v>101.0</v>
      </c>
      <c r="O424" s="16"/>
      <c r="P424" s="17">
        <v>40145.14271990741</v>
      </c>
      <c r="Q424" s="10" t="s">
        <v>1982</v>
      </c>
      <c r="R424" s="10" t="s">
        <v>1983</v>
      </c>
      <c r="S424" s="11" t="s">
        <v>1984</v>
      </c>
      <c r="T424" s="13"/>
      <c r="U424" s="18" t="str">
        <f>HYPERLINK("https://pbs.twimg.com/profile_images/821242095545393152/pL990lhk.jpg","View")</f>
        <v>View</v>
      </c>
      <c r="V424" s="13"/>
      <c r="W424" s="13"/>
      <c r="X424" s="13"/>
      <c r="Y424" s="13"/>
      <c r="Z424" s="13"/>
    </row>
    <row r="425">
      <c r="A425" s="8">
        <v>43848.705312499995</v>
      </c>
      <c r="B425" s="9" t="str">
        <f>HYPERLINK("https://twitter.com/HassmanResearch","@HassmanResearch")</f>
        <v>@HassmanResearch</v>
      </c>
      <c r="C425" s="10" t="s">
        <v>1985</v>
      </c>
      <c r="D425" s="10" t="s">
        <v>1986</v>
      </c>
      <c r="E425" s="9" t="str">
        <f>HYPERLINK("https://twitter.com/HassmanResearch/status/1218653203132227585","1218653203132227585")</f>
        <v>1218653203132227585</v>
      </c>
      <c r="F425" s="11" t="s">
        <v>1987</v>
      </c>
      <c r="G425" s="11" t="s">
        <v>1988</v>
      </c>
      <c r="H425" s="13"/>
      <c r="I425" s="14">
        <v>0.0</v>
      </c>
      <c r="J425" s="14">
        <v>0.0</v>
      </c>
      <c r="K425" s="9" t="str">
        <f>HYPERLINK("https://www.later.com","LaterMedia")</f>
        <v>LaterMedia</v>
      </c>
      <c r="L425" s="15">
        <v>117.0</v>
      </c>
      <c r="M425" s="15">
        <v>278.0</v>
      </c>
      <c r="N425" s="15">
        <v>0.0</v>
      </c>
      <c r="O425" s="16"/>
      <c r="P425" s="17">
        <v>43083.443877314814</v>
      </c>
      <c r="Q425" s="10" t="s">
        <v>1989</v>
      </c>
      <c r="R425" s="10" t="s">
        <v>1990</v>
      </c>
      <c r="S425" s="11" t="s">
        <v>1991</v>
      </c>
      <c r="T425" s="13"/>
      <c r="U425" s="18" t="str">
        <f>HYPERLINK("https://pbs.twimg.com/profile_images/1204486833893183491/M8UFRwAD.jpg","View")</f>
        <v>View</v>
      </c>
      <c r="V425" s="13"/>
      <c r="W425" s="13"/>
      <c r="X425" s="13"/>
      <c r="Y425" s="13"/>
      <c r="Z425" s="13"/>
    </row>
    <row r="426">
      <c r="A426" s="8">
        <v>43848.70447916667</v>
      </c>
      <c r="B426" s="9" t="str">
        <f>HYPERLINK("https://twitter.com/ndpthepoetress","@ndpthepoetress")</f>
        <v>@ndpthepoetress</v>
      </c>
      <c r="C426" s="10" t="s">
        <v>1735</v>
      </c>
      <c r="D426" s="10" t="s">
        <v>1992</v>
      </c>
      <c r="E426" s="9" t="str">
        <f>HYPERLINK("https://twitter.com/ndpthepoetress/status/1218652900316020741","1218652900316020741")</f>
        <v>1218652900316020741</v>
      </c>
      <c r="F426" s="11" t="s">
        <v>1993</v>
      </c>
      <c r="G426" s="11" t="s">
        <v>1994</v>
      </c>
      <c r="H426" s="13"/>
      <c r="I426" s="14">
        <v>0.0</v>
      </c>
      <c r="J426" s="14">
        <v>1.0</v>
      </c>
      <c r="K426" s="9" t="str">
        <f>HYPERLINK("https://mobile.twitter.com","Twitter Web App")</f>
        <v>Twitter Web App</v>
      </c>
      <c r="L426" s="15">
        <v>2689.0</v>
      </c>
      <c r="M426" s="15">
        <v>4977.0</v>
      </c>
      <c r="N426" s="15">
        <v>59.0</v>
      </c>
      <c r="O426" s="16"/>
      <c r="P426" s="17">
        <v>39835.752442129626</v>
      </c>
      <c r="Q426" s="10" t="s">
        <v>505</v>
      </c>
      <c r="R426" s="10" t="s">
        <v>1738</v>
      </c>
      <c r="S426" s="11" t="s">
        <v>1739</v>
      </c>
      <c r="T426" s="13"/>
      <c r="U426" s="18" t="str">
        <f>HYPERLINK("https://pbs.twimg.com/profile_images/1114220548739993601/m6uD4xYX.png","View")</f>
        <v>View</v>
      </c>
      <c r="V426" s="13"/>
      <c r="W426" s="13"/>
      <c r="X426" s="13"/>
      <c r="Y426" s="13"/>
      <c r="Z426" s="13"/>
    </row>
    <row r="427">
      <c r="A427" s="8">
        <v>43848.70306712963</v>
      </c>
      <c r="B427" s="9" t="str">
        <f>HYPERLINK("https://twitter.com/Jacquie54052945","@Jacquie54052945")</f>
        <v>@Jacquie54052945</v>
      </c>
      <c r="C427" s="10" t="s">
        <v>1995</v>
      </c>
      <c r="D427" s="10" t="s">
        <v>1996</v>
      </c>
      <c r="E427" s="9" t="str">
        <f>HYPERLINK("https://twitter.com/Jacquie54052945/status/1218652386375487493","1218652386375487493")</f>
        <v>1218652386375487493</v>
      </c>
      <c r="F427" s="10" t="s">
        <v>1997</v>
      </c>
      <c r="G427" s="13"/>
      <c r="H427" s="13"/>
      <c r="I427" s="14">
        <v>0.0</v>
      </c>
      <c r="J427" s="14">
        <v>1.0</v>
      </c>
      <c r="K427" s="9" t="str">
        <f>HYPERLINK("http://twitter.com/download/iphone","Twitter for iPhone")</f>
        <v>Twitter for iPhone</v>
      </c>
      <c r="L427" s="15">
        <v>555.0</v>
      </c>
      <c r="M427" s="15">
        <v>1413.0</v>
      </c>
      <c r="N427" s="15">
        <v>0.0</v>
      </c>
      <c r="O427" s="16"/>
      <c r="P427" s="17">
        <v>43384.33972222223</v>
      </c>
      <c r="Q427" s="10" t="s">
        <v>1998</v>
      </c>
      <c r="R427" s="10" t="s">
        <v>1999</v>
      </c>
      <c r="S427" s="13"/>
      <c r="T427" s="13"/>
      <c r="U427" s="18" t="str">
        <f>HYPERLINK("https://pbs.twimg.com/profile_images/1206593539162984448/4sGR74A6.jpg","View")</f>
        <v>View</v>
      </c>
      <c r="V427" s="13"/>
      <c r="W427" s="13"/>
      <c r="X427" s="13"/>
      <c r="Y427" s="13"/>
      <c r="Z427" s="13"/>
    </row>
    <row r="428">
      <c r="A428" s="8">
        <v>43848.702569444446</v>
      </c>
      <c r="B428" s="9" t="str">
        <f>HYPERLINK("https://twitter.com/DShorb","@DShorb")</f>
        <v>@DShorb</v>
      </c>
      <c r="C428" s="10" t="s">
        <v>21</v>
      </c>
      <c r="D428" s="10" t="s">
        <v>2000</v>
      </c>
      <c r="E428" s="9" t="str">
        <f>HYPERLINK("https://twitter.com/DShorb/status/1218652207635148805","1218652207635148805")</f>
        <v>1218652207635148805</v>
      </c>
      <c r="F428" s="11" t="s">
        <v>2001</v>
      </c>
      <c r="G428" s="13"/>
      <c r="H428" s="13"/>
      <c r="I428" s="14">
        <v>0.0</v>
      </c>
      <c r="J428" s="14">
        <v>0.0</v>
      </c>
      <c r="K428" s="9" t="str">
        <f>HYPERLINK("https://www.smedian.com","Penname")</f>
        <v>Penname</v>
      </c>
      <c r="L428" s="15">
        <v>3871.0</v>
      </c>
      <c r="M428" s="15">
        <v>4543.0</v>
      </c>
      <c r="N428" s="15">
        <v>185.0</v>
      </c>
      <c r="O428" s="16"/>
      <c r="P428" s="17">
        <v>40991.739027777774</v>
      </c>
      <c r="Q428" s="10" t="s">
        <v>24</v>
      </c>
      <c r="R428" s="10" t="s">
        <v>25</v>
      </c>
      <c r="S428" s="11" t="s">
        <v>26</v>
      </c>
      <c r="T428" s="13"/>
      <c r="U428" s="18" t="str">
        <f>HYPERLINK("https://pbs.twimg.com/profile_images/1134459629478408192/VnPf0dlm.jpg","View")</f>
        <v>View</v>
      </c>
      <c r="V428" s="13"/>
      <c r="W428" s="13"/>
      <c r="X428" s="13"/>
      <c r="Y428" s="13"/>
      <c r="Z428" s="13"/>
    </row>
    <row r="429">
      <c r="A429" s="8">
        <v>43848.70236111111</v>
      </c>
      <c r="B429" s="9" t="str">
        <f>HYPERLINK("https://twitter.com/DawnMarieBeauc1","@DawnMarieBeauc1")</f>
        <v>@DawnMarieBeauc1</v>
      </c>
      <c r="C429" s="10" t="s">
        <v>2002</v>
      </c>
      <c r="D429" s="10" t="s">
        <v>2003</v>
      </c>
      <c r="E429" s="9" t="str">
        <f>HYPERLINK("https://twitter.com/DawnMarieBeauc1/status/1218652133437952000","1218652133437952000")</f>
        <v>1218652133437952000</v>
      </c>
      <c r="F429" s="13"/>
      <c r="G429" s="13"/>
      <c r="H429" s="13"/>
      <c r="I429" s="14">
        <v>0.0</v>
      </c>
      <c r="J429" s="14">
        <v>1.0</v>
      </c>
      <c r="K429" s="9" t="str">
        <f>HYPERLINK("http://twitter.com/download/android","Twitter for Android")</f>
        <v>Twitter for Android</v>
      </c>
      <c r="L429" s="15">
        <v>1354.0</v>
      </c>
      <c r="M429" s="15">
        <v>1484.0</v>
      </c>
      <c r="N429" s="15">
        <v>10.0</v>
      </c>
      <c r="O429" s="16"/>
      <c r="P429" s="17">
        <v>43619.74387731482</v>
      </c>
      <c r="Q429" s="10" t="s">
        <v>2004</v>
      </c>
      <c r="R429" s="10" t="s">
        <v>2005</v>
      </c>
      <c r="S429" s="11" t="s">
        <v>2006</v>
      </c>
      <c r="T429" s="13"/>
      <c r="U429" s="18" t="str">
        <f>HYPERLINK("https://pbs.twimg.com/profile_images/1135665478112878594/WauoFjCA.jpg","View")</f>
        <v>View</v>
      </c>
      <c r="V429" s="13"/>
      <c r="W429" s="13"/>
      <c r="X429" s="13"/>
      <c r="Y429" s="13"/>
      <c r="Z429" s="13"/>
    </row>
    <row r="430">
      <c r="A430" s="8">
        <v>43848.70150462963</v>
      </c>
      <c r="B430" s="9" t="str">
        <f>HYPERLINK("https://twitter.com/AldridgeMalone","@AldridgeMalone")</f>
        <v>@AldridgeMalone</v>
      </c>
      <c r="C430" s="10" t="s">
        <v>2007</v>
      </c>
      <c r="D430" s="10" t="s">
        <v>2008</v>
      </c>
      <c r="E430" s="9" t="str">
        <f>HYPERLINK("https://twitter.com/AldridgeMalone/status/1218651822962946048","1218651822962946048")</f>
        <v>1218651822962946048</v>
      </c>
      <c r="F430" s="11" t="s">
        <v>2009</v>
      </c>
      <c r="G430" s="13"/>
      <c r="H430" s="13"/>
      <c r="I430" s="14">
        <v>2.0</v>
      </c>
      <c r="J430" s="14">
        <v>1.0</v>
      </c>
      <c r="K430" s="9" t="str">
        <f>HYPERLINK("https://crowdfireapp.com","Crowdfire App")</f>
        <v>Crowdfire App</v>
      </c>
      <c r="L430" s="15">
        <v>511.0</v>
      </c>
      <c r="M430" s="15">
        <v>1053.0</v>
      </c>
      <c r="N430" s="15">
        <v>3.0</v>
      </c>
      <c r="O430" s="16"/>
      <c r="P430" s="17">
        <v>43797.42387731481</v>
      </c>
      <c r="Q430" s="10" t="s">
        <v>2010</v>
      </c>
      <c r="R430" s="10" t="s">
        <v>2011</v>
      </c>
      <c r="S430" s="11" t="s">
        <v>2012</v>
      </c>
      <c r="T430" s="13"/>
      <c r="U430" s="18" t="str">
        <f>HYPERLINK("https://pbs.twimg.com/profile_images/1211081028128952320/tuXizEt6.jpg","View")</f>
        <v>View</v>
      </c>
      <c r="V430" s="13"/>
      <c r="W430" s="13"/>
      <c r="X430" s="13"/>
      <c r="Y430" s="13"/>
      <c r="Z430" s="13"/>
    </row>
    <row r="431">
      <c r="A431" s="8">
        <v>43848.70140046296</v>
      </c>
      <c r="B431" s="9" t="str">
        <f>HYPERLINK("https://twitter.com/SkypeTherapist","@SkypeTherapist")</f>
        <v>@SkypeTherapist</v>
      </c>
      <c r="C431" s="10" t="s">
        <v>39</v>
      </c>
      <c r="D431" s="10" t="s">
        <v>2013</v>
      </c>
      <c r="E431" s="9" t="str">
        <f>HYPERLINK("https://twitter.com/SkypeTherapist/status/1218651786006888454","1218651786006888454")</f>
        <v>1218651786006888454</v>
      </c>
      <c r="F431" s="11" t="s">
        <v>43</v>
      </c>
      <c r="G431" s="13"/>
      <c r="H431" s="13"/>
      <c r="I431" s="14">
        <v>1.0</v>
      </c>
      <c r="J431" s="14">
        <v>0.0</v>
      </c>
      <c r="K431" s="9" t="str">
        <f t="shared" ref="K431:K432" si="56">HYPERLINK("https://buffer.com","Buffer")</f>
        <v>Buffer</v>
      </c>
      <c r="L431" s="15">
        <v>31074.0</v>
      </c>
      <c r="M431" s="15">
        <v>29180.0</v>
      </c>
      <c r="N431" s="15">
        <v>397.0</v>
      </c>
      <c r="O431" s="16"/>
      <c r="P431" s="17">
        <v>40131.457777777774</v>
      </c>
      <c r="Q431" s="10" t="s">
        <v>46</v>
      </c>
      <c r="R431" s="10" t="s">
        <v>47</v>
      </c>
      <c r="S431" s="11" t="s">
        <v>43</v>
      </c>
      <c r="T431" s="13"/>
      <c r="U431" s="18" t="str">
        <f>HYPERLINK("https://pbs.twimg.com/profile_images/1093911234120798208/G4lphODU.jpg","View")</f>
        <v>View</v>
      </c>
      <c r="V431" s="13"/>
      <c r="W431" s="13"/>
      <c r="X431" s="13"/>
      <c r="Y431" s="13"/>
      <c r="Z431" s="13"/>
    </row>
    <row r="432">
      <c r="A432" s="8">
        <v>43848.70140046296</v>
      </c>
      <c r="B432" s="9" t="str">
        <f>HYPERLINK("https://twitter.com/FeelGood_Improv","@FeelGood_Improv")</f>
        <v>@FeelGood_Improv</v>
      </c>
      <c r="C432" s="10" t="s">
        <v>2014</v>
      </c>
      <c r="D432" s="10" t="s">
        <v>2015</v>
      </c>
      <c r="E432" s="9" t="str">
        <f>HYPERLINK("https://twitter.com/FeelGood_Improv/status/1218651783167401984","1218651783167401984")</f>
        <v>1218651783167401984</v>
      </c>
      <c r="F432" s="13"/>
      <c r="G432" s="13"/>
      <c r="H432" s="13"/>
      <c r="I432" s="14">
        <v>2.0</v>
      </c>
      <c r="J432" s="14">
        <v>7.0</v>
      </c>
      <c r="K432" s="9" t="str">
        <f t="shared" si="56"/>
        <v>Buffer</v>
      </c>
      <c r="L432" s="15">
        <v>172.0</v>
      </c>
      <c r="M432" s="15">
        <v>294.0</v>
      </c>
      <c r="N432" s="15">
        <v>0.0</v>
      </c>
      <c r="O432" s="16"/>
      <c r="P432" s="17">
        <v>43708.02348379629</v>
      </c>
      <c r="Q432" s="10" t="s">
        <v>728</v>
      </c>
      <c r="R432" s="10" t="s">
        <v>2016</v>
      </c>
      <c r="S432" s="11" t="s">
        <v>2017</v>
      </c>
      <c r="T432" s="13"/>
      <c r="U432" s="18" t="str">
        <f>HYPERLINK("https://pbs.twimg.com/profile_images/1167663100360830976/PQliOC0D.jpg","View")</f>
        <v>View</v>
      </c>
      <c r="V432" s="13"/>
      <c r="W432" s="13"/>
      <c r="X432" s="13"/>
      <c r="Y432" s="13"/>
      <c r="Z432" s="13"/>
    </row>
    <row r="433">
      <c r="A433" s="8">
        <v>43848.70106481481</v>
      </c>
      <c r="B433" s="9" t="str">
        <f>HYPERLINK("https://twitter.com/flowrider121","@flowrider121")</f>
        <v>@flowrider121</v>
      </c>
      <c r="C433" s="10" t="s">
        <v>2018</v>
      </c>
      <c r="D433" s="10" t="s">
        <v>2019</v>
      </c>
      <c r="E433" s="9" t="str">
        <f>HYPERLINK("https://twitter.com/flowrider121/status/1218651661972975619","1218651661972975619")</f>
        <v>1218651661972975619</v>
      </c>
      <c r="F433" s="11" t="s">
        <v>2020</v>
      </c>
      <c r="G433" s="13"/>
      <c r="H433" s="13"/>
      <c r="I433" s="14">
        <v>0.0</v>
      </c>
      <c r="J433" s="14">
        <v>0.0</v>
      </c>
      <c r="K433" s="9" t="str">
        <f>HYPERLINK("http://instagram.com","Instagram")</f>
        <v>Instagram</v>
      </c>
      <c r="L433" s="15">
        <v>537.0</v>
      </c>
      <c r="M433" s="15">
        <v>669.0</v>
      </c>
      <c r="N433" s="15">
        <v>26.0</v>
      </c>
      <c r="O433" s="16"/>
      <c r="P433" s="17">
        <v>39959.702685185184</v>
      </c>
      <c r="Q433" s="10" t="s">
        <v>2021</v>
      </c>
      <c r="R433" s="10" t="s">
        <v>2022</v>
      </c>
      <c r="S433" s="13"/>
      <c r="T433" s="13"/>
      <c r="U433" s="18" t="str">
        <f>HYPERLINK("https://pbs.twimg.com/profile_images/1151758641340583936/0-L2DPdK.jpg","View")</f>
        <v>View</v>
      </c>
      <c r="V433" s="13"/>
      <c r="W433" s="13"/>
      <c r="X433" s="13"/>
      <c r="Y433" s="13"/>
      <c r="Z433" s="13"/>
    </row>
    <row r="434">
      <c r="A434" s="8">
        <v>43848.70081018518</v>
      </c>
      <c r="B434" s="9" t="str">
        <f>HYPERLINK("https://twitter.com/ricklevy67","@ricklevy67")</f>
        <v>@ricklevy67</v>
      </c>
      <c r="C434" s="10" t="s">
        <v>2023</v>
      </c>
      <c r="D434" s="10" t="s">
        <v>2024</v>
      </c>
      <c r="E434" s="9" t="str">
        <f>HYPERLINK("https://twitter.com/ricklevy67/status/1218651570125955072","1218651570125955072")</f>
        <v>1218651570125955072</v>
      </c>
      <c r="F434" s="11" t="s">
        <v>2025</v>
      </c>
      <c r="G434" s="13"/>
      <c r="H434" s="13"/>
      <c r="I434" s="14">
        <v>10.0</v>
      </c>
      <c r="J434" s="14">
        <v>10.0</v>
      </c>
      <c r="K434" s="9" t="str">
        <f>HYPERLINK("https://mobile.twitter.com","Twitter Web App")</f>
        <v>Twitter Web App</v>
      </c>
      <c r="L434" s="15">
        <v>3824.0</v>
      </c>
      <c r="M434" s="15">
        <v>2573.0</v>
      </c>
      <c r="N434" s="15">
        <v>119.0</v>
      </c>
      <c r="O434" s="16"/>
      <c r="P434" s="17">
        <v>41218.26150462963</v>
      </c>
      <c r="Q434" s="13"/>
      <c r="R434" s="10" t="s">
        <v>2026</v>
      </c>
      <c r="S434" s="13"/>
      <c r="T434" s="13"/>
      <c r="U434" s="18" t="str">
        <f>HYPERLINK("https://pbs.twimg.com/profile_images/1206016875571736577/u-qaPQ1D.jpg","View")</f>
        <v>View</v>
      </c>
      <c r="V434" s="13"/>
      <c r="W434" s="13"/>
      <c r="X434" s="13"/>
      <c r="Y434" s="13"/>
      <c r="Z434" s="13"/>
    </row>
    <row r="435">
      <c r="A435" s="8">
        <v>43848.7007175926</v>
      </c>
      <c r="B435" s="9" t="str">
        <f>HYPERLINK("https://twitter.com/Hayesarttherapy","@Hayesarttherapy")</f>
        <v>@Hayesarttherapy</v>
      </c>
      <c r="C435" s="10" t="s">
        <v>2027</v>
      </c>
      <c r="D435" s="10" t="s">
        <v>2028</v>
      </c>
      <c r="E435" s="9" t="str">
        <f>HYPERLINK("https://twitter.com/Hayesarttherapy/status/1218651535145684993","1218651535145684993")</f>
        <v>1218651535145684993</v>
      </c>
      <c r="F435" s="11" t="s">
        <v>2029</v>
      </c>
      <c r="G435" s="13"/>
      <c r="H435" s="13"/>
      <c r="I435" s="14">
        <v>0.0</v>
      </c>
      <c r="J435" s="14">
        <v>0.0</v>
      </c>
      <c r="K435" s="9" t="str">
        <f>HYPERLINK("https://about.twitter.com/products/tweetdeck","TweetDeck")</f>
        <v>TweetDeck</v>
      </c>
      <c r="L435" s="15">
        <v>421.0</v>
      </c>
      <c r="M435" s="15">
        <v>205.0</v>
      </c>
      <c r="N435" s="15">
        <v>15.0</v>
      </c>
      <c r="O435" s="16"/>
      <c r="P435" s="17">
        <v>40390.571851851855</v>
      </c>
      <c r="Q435" s="10" t="s">
        <v>382</v>
      </c>
      <c r="R435" s="10" t="s">
        <v>2030</v>
      </c>
      <c r="S435" s="11" t="s">
        <v>2031</v>
      </c>
      <c r="T435" s="13"/>
      <c r="U435" s="18" t="str">
        <f>HYPERLINK("https://pbs.twimg.com/profile_images/1031384230050164736/GIFuzPbm.jpg","View")</f>
        <v>View</v>
      </c>
      <c r="V435" s="13"/>
      <c r="W435" s="13"/>
      <c r="X435" s="13"/>
      <c r="Y435" s="13"/>
      <c r="Z435" s="13"/>
    </row>
    <row r="436">
      <c r="A436" s="8">
        <v>43848.698958333334</v>
      </c>
      <c r="B436" s="9" t="str">
        <f>HYPERLINK("https://twitter.com/MaSExodus","@MaSExodus")</f>
        <v>@MaSExodus</v>
      </c>
      <c r="C436" s="10" t="s">
        <v>2032</v>
      </c>
      <c r="D436" s="10" t="s">
        <v>2033</v>
      </c>
      <c r="E436" s="9" t="str">
        <f>HYPERLINK("https://twitter.com/MaSExodus/status/1218650897322074112","1218650897322074112")</f>
        <v>1218650897322074112</v>
      </c>
      <c r="F436" s="11" t="s">
        <v>2034</v>
      </c>
      <c r="G436" s="13"/>
      <c r="H436" s="13"/>
      <c r="I436" s="14">
        <v>0.0</v>
      </c>
      <c r="J436" s="14">
        <v>0.0</v>
      </c>
      <c r="K436" s="9" t="str">
        <f>HYPERLINK("http://twitter.com/download/iphone","Twitter for iPhone")</f>
        <v>Twitter for iPhone</v>
      </c>
      <c r="L436" s="15">
        <v>9572.0</v>
      </c>
      <c r="M436" s="15">
        <v>9203.0</v>
      </c>
      <c r="N436" s="15">
        <v>48.0</v>
      </c>
      <c r="O436" s="16"/>
      <c r="P436" s="17">
        <v>42908.38314814815</v>
      </c>
      <c r="Q436" s="10" t="s">
        <v>2035</v>
      </c>
      <c r="R436" s="10" t="s">
        <v>2036</v>
      </c>
      <c r="S436" s="11" t="s">
        <v>2037</v>
      </c>
      <c r="T436" s="13"/>
      <c r="U436" s="18" t="str">
        <f>HYPERLINK("https://pbs.twimg.com/profile_images/877877540437852160/PB1pD5T-.jpg","View")</f>
        <v>View</v>
      </c>
      <c r="V436" s="13"/>
      <c r="W436" s="13"/>
      <c r="X436" s="13"/>
      <c r="Y436" s="13"/>
      <c r="Z436" s="13"/>
    </row>
    <row r="437">
      <c r="A437" s="8">
        <v>43848.69892361111</v>
      </c>
      <c r="B437" s="9" t="str">
        <f>HYPERLINK("https://twitter.com/AnxZenity","@AnxZenity")</f>
        <v>@AnxZenity</v>
      </c>
      <c r="C437" s="10" t="s">
        <v>1729</v>
      </c>
      <c r="D437" s="10" t="s">
        <v>2038</v>
      </c>
      <c r="E437" s="9" t="str">
        <f>HYPERLINK("https://twitter.com/AnxZenity/status/1218650887276630016","1218650887276630016")</f>
        <v>1218650887276630016</v>
      </c>
      <c r="F437" s="11" t="s">
        <v>2039</v>
      </c>
      <c r="G437" s="13"/>
      <c r="H437" s="13"/>
      <c r="I437" s="14">
        <v>0.0</v>
      </c>
      <c r="J437" s="14">
        <v>0.0</v>
      </c>
      <c r="K437" s="9" t="str">
        <f>HYPERLINK("http://twitter.com","Twitter Web Client")</f>
        <v>Twitter Web Client</v>
      </c>
      <c r="L437" s="15">
        <v>918.0</v>
      </c>
      <c r="M437" s="15">
        <v>72.0</v>
      </c>
      <c r="N437" s="15">
        <v>8.0</v>
      </c>
      <c r="O437" s="16"/>
      <c r="P437" s="17">
        <v>43447.30699074074</v>
      </c>
      <c r="Q437" s="10" t="s">
        <v>486</v>
      </c>
      <c r="R437" s="10" t="s">
        <v>1733</v>
      </c>
      <c r="S437" s="11" t="s">
        <v>1734</v>
      </c>
      <c r="T437" s="13"/>
      <c r="U437" s="18" t="str">
        <f>HYPERLINK("https://pbs.twimg.com/profile_images/1210215922675470338/g-_0BwG7.jpg","View")</f>
        <v>View</v>
      </c>
      <c r="V437" s="13"/>
      <c r="W437" s="13"/>
      <c r="X437" s="13"/>
      <c r="Y437" s="13"/>
      <c r="Z437" s="13"/>
    </row>
    <row r="438">
      <c r="A438" s="8">
        <v>43848.6983449074</v>
      </c>
      <c r="B438" s="9" t="str">
        <f>HYPERLINK("https://twitter.com/MegCtheOT","@MegCtheOT")</f>
        <v>@MegCtheOT</v>
      </c>
      <c r="C438" s="10" t="s">
        <v>2040</v>
      </c>
      <c r="D438" s="10" t="s">
        <v>2041</v>
      </c>
      <c r="E438" s="9" t="str">
        <f>HYPERLINK("https://twitter.com/MegCtheOT/status/1218650675371966467","1218650675371966467")</f>
        <v>1218650675371966467</v>
      </c>
      <c r="F438" s="13"/>
      <c r="G438" s="13"/>
      <c r="H438" s="13"/>
      <c r="I438" s="14">
        <v>0.0</v>
      </c>
      <c r="J438" s="14">
        <v>0.0</v>
      </c>
      <c r="K438" s="9" t="str">
        <f>HYPERLINK("http://twitter.com/download/android","Twitter for Android")</f>
        <v>Twitter for Android</v>
      </c>
      <c r="L438" s="15">
        <v>36.0</v>
      </c>
      <c r="M438" s="15">
        <v>163.0</v>
      </c>
      <c r="N438" s="15">
        <v>0.0</v>
      </c>
      <c r="O438" s="16"/>
      <c r="P438" s="17">
        <v>43795.53584490741</v>
      </c>
      <c r="Q438" s="10" t="s">
        <v>1314</v>
      </c>
      <c r="R438" s="13"/>
      <c r="S438" s="13"/>
      <c r="T438" s="13"/>
      <c r="U438" s="18" t="str">
        <f>HYPERLINK("https://pbs.twimg.com/profile_images/1199387338331303936/2VuWsXPx.jpg","View")</f>
        <v>View</v>
      </c>
      <c r="V438" s="13"/>
      <c r="W438" s="13"/>
      <c r="X438" s="13"/>
      <c r="Y438" s="13"/>
      <c r="Z438" s="13"/>
    </row>
    <row r="439">
      <c r="A439" s="8">
        <v>43848.69829861111</v>
      </c>
      <c r="B439" s="9" t="str">
        <f>HYPERLINK("https://twitter.com/Lorashw","@Lorashw")</f>
        <v>@Lorashw</v>
      </c>
      <c r="C439" s="10" t="s">
        <v>2042</v>
      </c>
      <c r="D439" s="10" t="s">
        <v>2043</v>
      </c>
      <c r="E439" s="9" t="str">
        <f>HYPERLINK("https://twitter.com/Lorashw/status/1218650660331237376","1218650660331237376")</f>
        <v>1218650660331237376</v>
      </c>
      <c r="F439" s="13"/>
      <c r="G439" s="11" t="s">
        <v>2044</v>
      </c>
      <c r="H439" s="13"/>
      <c r="I439" s="14">
        <v>0.0</v>
      </c>
      <c r="J439" s="14">
        <v>1.0</v>
      </c>
      <c r="K439" s="9" t="str">
        <f t="shared" ref="K439:K440" si="57">HYPERLINK("http://twitter.com/download/iphone","Twitter for iPhone")</f>
        <v>Twitter for iPhone</v>
      </c>
      <c r="L439" s="15">
        <v>169.0</v>
      </c>
      <c r="M439" s="15">
        <v>114.0</v>
      </c>
      <c r="N439" s="15">
        <v>9.0</v>
      </c>
      <c r="O439" s="16"/>
      <c r="P439" s="17">
        <v>39911.301030092596</v>
      </c>
      <c r="Q439" s="10" t="s">
        <v>2045</v>
      </c>
      <c r="R439" s="10" t="s">
        <v>2046</v>
      </c>
      <c r="S439" s="13"/>
      <c r="T439" s="13"/>
      <c r="U439" s="18" t="str">
        <f>HYPERLINK("https://pbs.twimg.com/profile_images/1218531207408951297/fJ1uuqWR.jpg","View")</f>
        <v>View</v>
      </c>
      <c r="V439" s="13"/>
      <c r="W439" s="13"/>
      <c r="X439" s="13"/>
      <c r="Y439" s="13"/>
      <c r="Z439" s="13"/>
    </row>
    <row r="440">
      <c r="A440" s="8">
        <v>43848.698124999995</v>
      </c>
      <c r="B440" s="9" t="str">
        <f>HYPERLINK("https://twitter.com/hopeandvision31","@hopeandvision31")</f>
        <v>@hopeandvision31</v>
      </c>
      <c r="C440" s="10" t="s">
        <v>2047</v>
      </c>
      <c r="D440" s="10" t="s">
        <v>2048</v>
      </c>
      <c r="E440" s="9" t="str">
        <f>HYPERLINK("https://twitter.com/hopeandvision31/status/1218650596300947456","1218650596300947456")</f>
        <v>1218650596300947456</v>
      </c>
      <c r="F440" s="13"/>
      <c r="G440" s="11" t="s">
        <v>2049</v>
      </c>
      <c r="H440" s="13"/>
      <c r="I440" s="14">
        <v>0.0</v>
      </c>
      <c r="J440" s="14">
        <v>0.0</v>
      </c>
      <c r="K440" s="9" t="str">
        <f t="shared" si="57"/>
        <v>Twitter for iPhone</v>
      </c>
      <c r="L440" s="15">
        <v>18.0</v>
      </c>
      <c r="M440" s="15">
        <v>76.0</v>
      </c>
      <c r="N440" s="15">
        <v>3.0</v>
      </c>
      <c r="O440" s="16"/>
      <c r="P440" s="17">
        <v>43023.039259259254</v>
      </c>
      <c r="Q440" s="10" t="s">
        <v>2050</v>
      </c>
      <c r="R440" s="10" t="s">
        <v>2051</v>
      </c>
      <c r="S440" s="11" t="s">
        <v>2052</v>
      </c>
      <c r="T440" s="13"/>
      <c r="U440" s="18" t="str">
        <f>HYPERLINK("https://pbs.twimg.com/profile_images/1213175139103363072/Jb1ooxqk.jpg","View")</f>
        <v>View</v>
      </c>
      <c r="V440" s="13"/>
      <c r="W440" s="13"/>
      <c r="X440" s="13"/>
      <c r="Y440" s="13"/>
      <c r="Z440" s="13"/>
    </row>
    <row r="441">
      <c r="A441" s="8">
        <v>43848.697962962964</v>
      </c>
      <c r="B441" s="9" t="str">
        <f>HYPERLINK("https://twitter.com/OtterlyHopeful","@OtterlyHopeful")</f>
        <v>@OtterlyHopeful</v>
      </c>
      <c r="C441" s="10" t="s">
        <v>469</v>
      </c>
      <c r="D441" s="10" t="s">
        <v>2053</v>
      </c>
      <c r="E441" s="9" t="str">
        <f>HYPERLINK("https://twitter.com/OtterlyHopeful/status/1218650537308102656","1218650537308102656")</f>
        <v>1218650537308102656</v>
      </c>
      <c r="F441" s="13"/>
      <c r="G441" s="11" t="s">
        <v>2054</v>
      </c>
      <c r="H441" s="13"/>
      <c r="I441" s="14">
        <v>3.0</v>
      </c>
      <c r="J441" s="14">
        <v>16.0</v>
      </c>
      <c r="K441" s="9" t="str">
        <f>HYPERLINK("https://www.hootsuite.com","Hootsuite Inc.")</f>
        <v>Hootsuite Inc.</v>
      </c>
      <c r="L441" s="15">
        <v>1521.0</v>
      </c>
      <c r="M441" s="15">
        <v>1421.0</v>
      </c>
      <c r="N441" s="15">
        <v>5.0</v>
      </c>
      <c r="O441" s="16"/>
      <c r="P441" s="17">
        <v>43725.57329861111</v>
      </c>
      <c r="Q441" s="13"/>
      <c r="R441" s="10" t="s">
        <v>471</v>
      </c>
      <c r="S441" s="13"/>
      <c r="T441" s="13"/>
      <c r="U441" s="18" t="str">
        <f>HYPERLINK("https://pbs.twimg.com/profile_images/1174409122982387713/9vZrWp4C.jpg","View")</f>
        <v>View</v>
      </c>
      <c r="V441" s="13"/>
      <c r="W441" s="13"/>
      <c r="X441" s="13"/>
      <c r="Y441" s="13"/>
      <c r="Z441" s="13"/>
    </row>
    <row r="442">
      <c r="A442" s="8">
        <v>43848.69792824074</v>
      </c>
      <c r="B442" s="9" t="str">
        <f>HYPERLINK("https://twitter.com/DrJoeHaraszti","@DrJoeHaraszti")</f>
        <v>@DrJoeHaraszti</v>
      </c>
      <c r="C442" s="10" t="s">
        <v>2055</v>
      </c>
      <c r="D442" s="10" t="s">
        <v>2056</v>
      </c>
      <c r="E442" s="9" t="str">
        <f>HYPERLINK("https://twitter.com/DrJoeHaraszti/status/1218650527338303489","1218650527338303489")</f>
        <v>1218650527338303489</v>
      </c>
      <c r="F442" s="13"/>
      <c r="G442" s="13"/>
      <c r="H442" s="13"/>
      <c r="I442" s="14">
        <v>0.0</v>
      </c>
      <c r="J442" s="14">
        <v>0.0</v>
      </c>
      <c r="K442" s="9" t="str">
        <f>HYPERLINK("https://sproutsocial.com","Sprout Social")</f>
        <v>Sprout Social</v>
      </c>
      <c r="L442" s="15">
        <v>369.0</v>
      </c>
      <c r="M442" s="15">
        <v>569.0</v>
      </c>
      <c r="N442" s="15">
        <v>8.0</v>
      </c>
      <c r="O442" s="16"/>
      <c r="P442" s="17">
        <v>40472.04550925926</v>
      </c>
      <c r="Q442" s="10" t="s">
        <v>2057</v>
      </c>
      <c r="R442" s="10" t="s">
        <v>2058</v>
      </c>
      <c r="S442" s="13"/>
      <c r="T442" s="13"/>
      <c r="U442" s="18" t="str">
        <f>HYPERLINK("https://pbs.twimg.com/profile_images/735145725353287680/8xmSmKAU.jpg","View")</f>
        <v>View</v>
      </c>
      <c r="V442" s="13"/>
      <c r="W442" s="13"/>
      <c r="X442" s="13"/>
      <c r="Y442" s="13"/>
      <c r="Z442" s="13"/>
    </row>
    <row r="443">
      <c r="A443" s="8">
        <v>43848.697384259256</v>
      </c>
      <c r="B443" s="9" t="str">
        <f>HYPERLINK("https://twitter.com/FSonnenberg","@FSonnenberg")</f>
        <v>@FSonnenberg</v>
      </c>
      <c r="C443" s="10" t="s">
        <v>2059</v>
      </c>
      <c r="D443" s="10" t="s">
        <v>2060</v>
      </c>
      <c r="E443" s="9" t="str">
        <f>HYPERLINK("https://twitter.com/FSonnenberg/status/1218650328909918215","1218650328909918215")</f>
        <v>1218650328909918215</v>
      </c>
      <c r="F443" s="11" t="s">
        <v>2061</v>
      </c>
      <c r="G443" s="13"/>
      <c r="H443" s="13"/>
      <c r="I443" s="14">
        <v>0.0</v>
      </c>
      <c r="J443" s="14">
        <v>0.0</v>
      </c>
      <c r="K443" s="9" t="str">
        <f>HYPERLINK("https://www.socialjukebox.com","The Social Jukebox")</f>
        <v>The Social Jukebox</v>
      </c>
      <c r="L443" s="15">
        <v>93856.0</v>
      </c>
      <c r="M443" s="15">
        <v>61542.0</v>
      </c>
      <c r="N443" s="15">
        <v>2658.0</v>
      </c>
      <c r="O443" s="16"/>
      <c r="P443" s="17">
        <v>40419.65079861111</v>
      </c>
      <c r="Q443" s="10" t="s">
        <v>2062</v>
      </c>
      <c r="R443" s="10" t="s">
        <v>2063</v>
      </c>
      <c r="S443" s="11" t="s">
        <v>2064</v>
      </c>
      <c r="T443" s="13"/>
      <c r="U443" s="18" t="str">
        <f>HYPERLINK("https://pbs.twimg.com/profile_images/841693592733155328/Hk0DSFtA.jpg","View")</f>
        <v>View</v>
      </c>
      <c r="V443" s="13"/>
      <c r="W443" s="13"/>
      <c r="X443" s="13"/>
      <c r="Y443" s="13"/>
      <c r="Z443" s="13"/>
    </row>
    <row r="444">
      <c r="A444" s="8">
        <v>43848.697129629625</v>
      </c>
      <c r="B444" s="9" t="str">
        <f>HYPERLINK("https://twitter.com/helenaobrien086","@helenaobrien086")</f>
        <v>@helenaobrien086</v>
      </c>
      <c r="C444" s="10" t="s">
        <v>2065</v>
      </c>
      <c r="D444" s="10" t="s">
        <v>2066</v>
      </c>
      <c r="E444" s="9" t="str">
        <f>HYPERLINK("https://twitter.com/helenaobrien086/status/1218650238040387585","1218650238040387585")</f>
        <v>1218650238040387585</v>
      </c>
      <c r="F444" s="13"/>
      <c r="G444" s="11" t="s">
        <v>2067</v>
      </c>
      <c r="H444" s="13"/>
      <c r="I444" s="14">
        <v>0.0</v>
      </c>
      <c r="J444" s="14">
        <v>16.0</v>
      </c>
      <c r="K444" s="9" t="str">
        <f>HYPERLINK("http://twitter.com/download/iphone","Twitter for iPhone")</f>
        <v>Twitter for iPhone</v>
      </c>
      <c r="L444" s="15">
        <v>416.0</v>
      </c>
      <c r="M444" s="15">
        <v>368.0</v>
      </c>
      <c r="N444" s="15">
        <v>7.0</v>
      </c>
      <c r="O444" s="16"/>
      <c r="P444" s="17">
        <v>42197.2425</v>
      </c>
      <c r="Q444" s="10" t="s">
        <v>2068</v>
      </c>
      <c r="R444" s="10" t="s">
        <v>2069</v>
      </c>
      <c r="S444" s="11" t="s">
        <v>2070</v>
      </c>
      <c r="T444" s="13"/>
      <c r="U444" s="18" t="str">
        <f>HYPERLINK("https://pbs.twimg.com/profile_images/1068605486600204293/-0eOaqMD.jpg","View")</f>
        <v>View</v>
      </c>
      <c r="V444" s="13"/>
      <c r="W444" s="13"/>
      <c r="X444" s="13"/>
      <c r="Y444" s="13"/>
      <c r="Z444" s="13"/>
    </row>
    <row r="445">
      <c r="A445" s="8">
        <v>43848.697129629625</v>
      </c>
      <c r="B445" s="9" t="str">
        <f>HYPERLINK("https://twitter.com/A19L92","@A19L92")</f>
        <v>@A19L92</v>
      </c>
      <c r="C445" s="10" t="s">
        <v>2071</v>
      </c>
      <c r="D445" s="10" t="s">
        <v>2072</v>
      </c>
      <c r="E445" s="9" t="str">
        <f>HYPERLINK("https://twitter.com/A19L92/status/1218650235028885505","1218650235028885505")</f>
        <v>1218650235028885505</v>
      </c>
      <c r="F445" s="13"/>
      <c r="G445" s="13"/>
      <c r="H445" s="13"/>
      <c r="I445" s="14">
        <v>0.0</v>
      </c>
      <c r="J445" s="14">
        <v>1.0</v>
      </c>
      <c r="K445" s="9" t="str">
        <f>HYPERLINK("http://twitter.com/download/android","Twitter for Android")</f>
        <v>Twitter for Android</v>
      </c>
      <c r="L445" s="15">
        <v>24.0</v>
      </c>
      <c r="M445" s="15">
        <v>111.0</v>
      </c>
      <c r="N445" s="15">
        <v>0.0</v>
      </c>
      <c r="O445" s="16"/>
      <c r="P445" s="17">
        <v>43519.63549768519</v>
      </c>
      <c r="Q445" s="13"/>
      <c r="R445" s="10" t="s">
        <v>2073</v>
      </c>
      <c r="S445" s="13"/>
      <c r="T445" s="13"/>
      <c r="U445" s="18" t="str">
        <f>HYPERLINK("https://pbs.twimg.com/profile_images/1217235806756245504/GD1SMXa5.jpg","View")</f>
        <v>View</v>
      </c>
      <c r="V445" s="13"/>
      <c r="W445" s="13"/>
      <c r="X445" s="13"/>
      <c r="Y445" s="13"/>
      <c r="Z445" s="13"/>
    </row>
    <row r="446">
      <c r="A446" s="8">
        <v>43848.69652777778</v>
      </c>
      <c r="B446" s="9" t="str">
        <f>HYPERLINK("https://twitter.com/ASYork1","@ASYork1")</f>
        <v>@ASYork1</v>
      </c>
      <c r="C446" s="10" t="s">
        <v>2074</v>
      </c>
      <c r="D446" s="10" t="s">
        <v>2075</v>
      </c>
      <c r="E446" s="9" t="str">
        <f>HYPERLINK("https://twitter.com/ASYork1/status/1218650017302372353","1218650017302372353")</f>
        <v>1218650017302372353</v>
      </c>
      <c r="F446" s="11" t="s">
        <v>2076</v>
      </c>
      <c r="G446" s="11" t="s">
        <v>2077</v>
      </c>
      <c r="H446" s="13"/>
      <c r="I446" s="14">
        <v>0.0</v>
      </c>
      <c r="J446" s="14">
        <v>0.0</v>
      </c>
      <c r="K446" s="9" t="str">
        <f>HYPERLINK("https://about.twitter.com/products/tweetdeck","TweetDeck")</f>
        <v>TweetDeck</v>
      </c>
      <c r="L446" s="15">
        <v>370.0</v>
      </c>
      <c r="M446" s="15">
        <v>200.0</v>
      </c>
      <c r="N446" s="15">
        <v>23.0</v>
      </c>
      <c r="O446" s="16"/>
      <c r="P446" s="17">
        <v>42108.506990740745</v>
      </c>
      <c r="Q446" s="10" t="s">
        <v>2078</v>
      </c>
      <c r="R446" s="10" t="s">
        <v>2079</v>
      </c>
      <c r="S446" s="13"/>
      <c r="T446" s="13"/>
      <c r="U446" s="18" t="str">
        <f>HYPERLINK("https://pbs.twimg.com/profile_images/804032856565563392/GZMkne-U.jpg","View")</f>
        <v>View</v>
      </c>
      <c r="V446" s="13"/>
      <c r="W446" s="13"/>
      <c r="X446" s="13"/>
      <c r="Y446" s="13"/>
      <c r="Z446" s="13"/>
    </row>
    <row r="447">
      <c r="A447" s="8">
        <v>43848.69651620371</v>
      </c>
      <c r="B447" s="9" t="str">
        <f>HYPERLINK("https://twitter.com/tmj_OR_psych","@tmj_OR_psych")</f>
        <v>@tmj_OR_psych</v>
      </c>
      <c r="C447" s="10" t="s">
        <v>689</v>
      </c>
      <c r="D447" s="10" t="s">
        <v>2080</v>
      </c>
      <c r="E447" s="9" t="str">
        <f>HYPERLINK("https://twitter.com/tmj_OR_psych/status/1218650015213580288","1218650015213580288")</f>
        <v>1218650015213580288</v>
      </c>
      <c r="F447" s="11" t="s">
        <v>2081</v>
      </c>
      <c r="G447" s="13"/>
      <c r="H447" s="9" t="str">
        <f>HYPERLINK("https://ctrlq.org/maps/address/#45.5220648,-122.6757228","Map")</f>
        <v>Map</v>
      </c>
      <c r="I447" s="14">
        <v>0.0</v>
      </c>
      <c r="J447" s="14">
        <v>0.0</v>
      </c>
      <c r="K447" s="9" t="str">
        <f>HYPERLINK("https://www.careerarc.com","CareerArc 2.0")</f>
        <v>CareerArc 2.0</v>
      </c>
      <c r="L447" s="15">
        <v>102.0</v>
      </c>
      <c r="M447" s="15">
        <v>74.0</v>
      </c>
      <c r="N447" s="15">
        <v>8.0</v>
      </c>
      <c r="O447" s="16"/>
      <c r="P447" s="17">
        <v>40630.84755787037</v>
      </c>
      <c r="Q447" s="10" t="s">
        <v>691</v>
      </c>
      <c r="R447" s="10" t="s">
        <v>692</v>
      </c>
      <c r="S447" s="11" t="s">
        <v>693</v>
      </c>
      <c r="T447" s="13"/>
      <c r="U447" s="18" t="str">
        <f>HYPERLINK("https://pbs.twimg.com/profile_images/714996234768031744/v6oW2sCe.jpg","View")</f>
        <v>View</v>
      </c>
      <c r="V447" s="13"/>
      <c r="W447" s="13"/>
      <c r="X447" s="13"/>
      <c r="Y447" s="13"/>
      <c r="Z447" s="13"/>
    </row>
    <row r="448">
      <c r="A448" s="8">
        <v>43848.696377314816</v>
      </c>
      <c r="B448" s="9" t="str">
        <f>HYPERLINK("https://twitter.com/Warrdean1","@Warrdean1")</f>
        <v>@Warrdean1</v>
      </c>
      <c r="C448" s="10" t="s">
        <v>2082</v>
      </c>
      <c r="D448" s="10" t="s">
        <v>2083</v>
      </c>
      <c r="E448" s="9" t="str">
        <f>HYPERLINK("https://twitter.com/Warrdean1/status/1218649962403127296","1218649962403127296")</f>
        <v>1218649962403127296</v>
      </c>
      <c r="F448" s="11" t="s">
        <v>2084</v>
      </c>
      <c r="G448" s="11" t="s">
        <v>2085</v>
      </c>
      <c r="H448" s="13"/>
      <c r="I448" s="14">
        <v>0.0</v>
      </c>
      <c r="J448" s="14">
        <v>4.0</v>
      </c>
      <c r="K448" s="9" t="str">
        <f>HYPERLINK("https://mobile.twitter.com","Twitter Web App")</f>
        <v>Twitter Web App</v>
      </c>
      <c r="L448" s="15">
        <v>154.0</v>
      </c>
      <c r="M448" s="15">
        <v>326.0</v>
      </c>
      <c r="N448" s="15">
        <v>0.0</v>
      </c>
      <c r="O448" s="16"/>
      <c r="P448" s="17">
        <v>43462.61189814815</v>
      </c>
      <c r="Q448" s="10" t="s">
        <v>171</v>
      </c>
      <c r="R448" s="10" t="s">
        <v>2086</v>
      </c>
      <c r="S448" s="11" t="s">
        <v>2087</v>
      </c>
      <c r="T448" s="13"/>
      <c r="U448" s="18" t="str">
        <f>HYPERLINK("https://pbs.twimg.com/profile_images/1078737990262784000/zd-G5xS6.jpg","View")</f>
        <v>View</v>
      </c>
      <c r="V448" s="13"/>
      <c r="W448" s="13"/>
      <c r="X448" s="13"/>
      <c r="Y448" s="13"/>
      <c r="Z448" s="13"/>
    </row>
    <row r="449">
      <c r="A449" s="8">
        <v>43848.69471064815</v>
      </c>
      <c r="B449" s="9" t="str">
        <f>HYPERLINK("https://twitter.com/womapodolchuk","@womapodolchuk")</f>
        <v>@womapodolchuk</v>
      </c>
      <c r="C449" s="10" t="s">
        <v>2088</v>
      </c>
      <c r="D449" s="10" t="s">
        <v>2089</v>
      </c>
      <c r="E449" s="9" t="str">
        <f>HYPERLINK("https://twitter.com/womapodolchuk/status/1218649361376256006","1218649361376256006")</f>
        <v>1218649361376256006</v>
      </c>
      <c r="F449" s="11" t="s">
        <v>2090</v>
      </c>
      <c r="G449" s="13"/>
      <c r="H449" s="13"/>
      <c r="I449" s="14">
        <v>0.0</v>
      </c>
      <c r="J449" s="14">
        <v>0.0</v>
      </c>
      <c r="K449" s="9" t="str">
        <f>HYPERLINK("http://twitter.com","Twitter Web Client")</f>
        <v>Twitter Web Client</v>
      </c>
      <c r="L449" s="15">
        <v>519.0</v>
      </c>
      <c r="M449" s="15">
        <v>953.0</v>
      </c>
      <c r="N449" s="15">
        <v>15.0</v>
      </c>
      <c r="O449" s="16"/>
      <c r="P449" s="17">
        <v>41926.553518518514</v>
      </c>
      <c r="Q449" s="10" t="s">
        <v>2091</v>
      </c>
      <c r="R449" s="10" t="s">
        <v>2092</v>
      </c>
      <c r="S449" s="11" t="s">
        <v>2093</v>
      </c>
      <c r="T449" s="13"/>
      <c r="U449" s="18" t="str">
        <f>HYPERLINK("https://pbs.twimg.com/profile_images/1058767776058228736/m9pe0tY4.jpg","View")</f>
        <v>View</v>
      </c>
      <c r="V449" s="13"/>
      <c r="W449" s="13"/>
      <c r="X449" s="13"/>
      <c r="Y449" s="13"/>
      <c r="Z449" s="13"/>
    </row>
    <row r="450">
      <c r="A450" s="8">
        <v>43848.694386574076</v>
      </c>
      <c r="B450" s="9" t="str">
        <f>HYPERLINK("https://twitter.com/BeautifulInsi11","@BeautifulInsi11")</f>
        <v>@BeautifulInsi11</v>
      </c>
      <c r="C450" s="10" t="s">
        <v>2094</v>
      </c>
      <c r="D450" s="10" t="s">
        <v>2095</v>
      </c>
      <c r="E450" s="9" t="str">
        <f>HYPERLINK("https://twitter.com/BeautifulInsi11/status/1218649243692535808","1218649243692535808")</f>
        <v>1218649243692535808</v>
      </c>
      <c r="F450" s="11" t="s">
        <v>2096</v>
      </c>
      <c r="G450" s="13"/>
      <c r="H450" s="13"/>
      <c r="I450" s="14">
        <v>0.0</v>
      </c>
      <c r="J450" s="14">
        <v>0.0</v>
      </c>
      <c r="K450" s="9" t="str">
        <f>HYPERLINK("https://mobile.twitter.com","Twitter Web App")</f>
        <v>Twitter Web App</v>
      </c>
      <c r="L450" s="15">
        <v>85.0</v>
      </c>
      <c r="M450" s="15">
        <v>117.0</v>
      </c>
      <c r="N450" s="15">
        <v>1.0</v>
      </c>
      <c r="O450" s="16"/>
      <c r="P450" s="17">
        <v>43323.29435185185</v>
      </c>
      <c r="Q450" s="13"/>
      <c r="R450" s="13"/>
      <c r="S450" s="13"/>
      <c r="T450" s="13"/>
      <c r="U450" s="18" t="str">
        <f>HYPERLINK("https://pbs.twimg.com/profile_images/1207150768014450688/xQ-uFDbr.jpg","View")</f>
        <v>View</v>
      </c>
      <c r="V450" s="13"/>
      <c r="W450" s="13"/>
      <c r="X450" s="13"/>
      <c r="Y450" s="13"/>
      <c r="Z450" s="13"/>
    </row>
    <row r="451">
      <c r="A451" s="8">
        <v>43848.69363425926</v>
      </c>
      <c r="B451" s="9" t="str">
        <f>HYPERLINK("https://twitter.com/djdavelive","@djdavelive")</f>
        <v>@djdavelive</v>
      </c>
      <c r="C451" s="11" t="s">
        <v>1652</v>
      </c>
      <c r="D451" s="10" t="s">
        <v>2097</v>
      </c>
      <c r="E451" s="9" t="str">
        <f>HYPERLINK("https://twitter.com/djdavelive/status/1218648970928455686","1218648970928455686")</f>
        <v>1218648970928455686</v>
      </c>
      <c r="F451" s="11" t="s">
        <v>2098</v>
      </c>
      <c r="G451" s="13"/>
      <c r="H451" s="13"/>
      <c r="I451" s="14">
        <v>0.0</v>
      </c>
      <c r="J451" s="14">
        <v>0.0</v>
      </c>
      <c r="K451" s="9" t="str">
        <f>HYPERLINK("http://www.DynamicTweets.com","Dynamic Tweets")</f>
        <v>Dynamic Tweets</v>
      </c>
      <c r="L451" s="15">
        <v>5462.0</v>
      </c>
      <c r="M451" s="15">
        <v>5137.0</v>
      </c>
      <c r="N451" s="15">
        <v>204.0</v>
      </c>
      <c r="O451" s="16"/>
      <c r="P451" s="17">
        <v>40413.89355324074</v>
      </c>
      <c r="Q451" s="10" t="s">
        <v>245</v>
      </c>
      <c r="R451" s="10" t="s">
        <v>1655</v>
      </c>
      <c r="S451" s="11" t="s">
        <v>1656</v>
      </c>
      <c r="T451" s="13"/>
      <c r="U451" s="18" t="str">
        <f>HYPERLINK("https://pbs.twimg.com/profile_images/933351548951838725/KfUxqarF.jpg","View")</f>
        <v>View</v>
      </c>
      <c r="V451" s="13"/>
      <c r="W451" s="13"/>
      <c r="X451" s="13"/>
      <c r="Y451" s="13"/>
      <c r="Z451" s="13"/>
    </row>
    <row r="452">
      <c r="A452" s="8">
        <v>43848.693148148144</v>
      </c>
      <c r="B452" s="9" t="str">
        <f>HYPERLINK("https://twitter.com/jonsalmon","@jonsalmon")</f>
        <v>@jonsalmon</v>
      </c>
      <c r="C452" s="10" t="s">
        <v>2099</v>
      </c>
      <c r="D452" s="10" t="s">
        <v>2100</v>
      </c>
      <c r="E452" s="9" t="str">
        <f>HYPERLINK("https://twitter.com/jonsalmon/status/1218648792137977857","1218648792137977857")</f>
        <v>1218648792137977857</v>
      </c>
      <c r="F452" s="13"/>
      <c r="G452" s="11" t="s">
        <v>2101</v>
      </c>
      <c r="H452" s="13"/>
      <c r="I452" s="14">
        <v>3.0</v>
      </c>
      <c r="J452" s="14">
        <v>10.0</v>
      </c>
      <c r="K452" s="9" t="str">
        <f>HYPERLINK("http://twitter.com/download/android","Twitter for Android")</f>
        <v>Twitter for Android</v>
      </c>
      <c r="L452" s="15">
        <v>2101.0</v>
      </c>
      <c r="M452" s="15">
        <v>3184.0</v>
      </c>
      <c r="N452" s="15">
        <v>54.0</v>
      </c>
      <c r="O452" s="16"/>
      <c r="P452" s="17">
        <v>39867.68064814815</v>
      </c>
      <c r="Q452" s="10" t="s">
        <v>2102</v>
      </c>
      <c r="R452" s="10" t="s">
        <v>2103</v>
      </c>
      <c r="S452" s="11" t="s">
        <v>2104</v>
      </c>
      <c r="T452" s="13"/>
      <c r="U452" s="18" t="str">
        <f>HYPERLINK("https://pbs.twimg.com/profile_images/735788667332001792/DmKmKhUx.jpg","View")</f>
        <v>View</v>
      </c>
      <c r="V452" s="13"/>
      <c r="W452" s="13"/>
      <c r="X452" s="13"/>
      <c r="Y452" s="13"/>
      <c r="Z452" s="13"/>
    </row>
    <row r="453">
      <c r="A453" s="8">
        <v>43848.69256944444</v>
      </c>
      <c r="B453" s="9" t="str">
        <f>HYPERLINK("https://twitter.com/adrianahill900","@adrianahill900")</f>
        <v>@adrianahill900</v>
      </c>
      <c r="C453" s="10" t="s">
        <v>2105</v>
      </c>
      <c r="D453" s="10" t="s">
        <v>2106</v>
      </c>
      <c r="E453" s="9" t="str">
        <f>HYPERLINK("https://twitter.com/adrianahill900/status/1218648584029188101","1218648584029188101")</f>
        <v>1218648584029188101</v>
      </c>
      <c r="F453" s="11" t="s">
        <v>2107</v>
      </c>
      <c r="G453" s="11" t="s">
        <v>2108</v>
      </c>
      <c r="H453" s="13"/>
      <c r="I453" s="14">
        <v>0.0</v>
      </c>
      <c r="J453" s="14">
        <v>0.0</v>
      </c>
      <c r="K453" s="9" t="str">
        <f>HYPERLINK("https://www.corelistingmachine.com/","CORE ListingMachine")</f>
        <v>CORE ListingMachine</v>
      </c>
      <c r="L453" s="15">
        <v>28.0</v>
      </c>
      <c r="M453" s="15">
        <v>68.0</v>
      </c>
      <c r="N453" s="15">
        <v>0.0</v>
      </c>
      <c r="O453" s="16"/>
      <c r="P453" s="17">
        <v>41702.93690972222</v>
      </c>
      <c r="Q453" s="13"/>
      <c r="R453" s="13"/>
      <c r="S453" s="13"/>
      <c r="T453" s="13"/>
      <c r="U453" s="18" t="str">
        <f>HYPERLINK("https://pbs.twimg.com/profile_images/441053027630579712/Bm-3H3F6.jpeg","View")</f>
        <v>View</v>
      </c>
      <c r="V453" s="13"/>
      <c r="W453" s="13"/>
      <c r="X453" s="13"/>
      <c r="Y453" s="13"/>
      <c r="Z453" s="13"/>
    </row>
    <row r="454">
      <c r="A454" s="8">
        <v>43848.692199074074</v>
      </c>
      <c r="B454" s="9" t="str">
        <f>HYPERLINK("https://twitter.com/Imheret45140132","@Imheret45140132")</f>
        <v>@Imheret45140132</v>
      </c>
      <c r="C454" s="10" t="s">
        <v>828</v>
      </c>
      <c r="D454" s="10" t="s">
        <v>2109</v>
      </c>
      <c r="E454" s="9" t="str">
        <f>HYPERLINK("https://twitter.com/Imheret45140132/status/1218648449064849408","1218648449064849408")</f>
        <v>1218648449064849408</v>
      </c>
      <c r="F454" s="13"/>
      <c r="G454" s="13"/>
      <c r="H454" s="13"/>
      <c r="I454" s="14">
        <v>0.0</v>
      </c>
      <c r="J454" s="14">
        <v>0.0</v>
      </c>
      <c r="K454" s="9" t="str">
        <f>HYPERLINK("https://cheapbotsdonequick.com","Cheap Bots, Done Quick!")</f>
        <v>Cheap Bots, Done Quick!</v>
      </c>
      <c r="L454" s="15">
        <v>14.0</v>
      </c>
      <c r="M454" s="15">
        <v>0.0</v>
      </c>
      <c r="N454" s="15">
        <v>0.0</v>
      </c>
      <c r="O454" s="16"/>
      <c r="P454" s="17">
        <v>43686.97521990741</v>
      </c>
      <c r="Q454" s="13"/>
      <c r="R454" s="10" t="s">
        <v>830</v>
      </c>
      <c r="S454" s="13"/>
      <c r="T454" s="13"/>
      <c r="U454" s="18" t="str">
        <f>HYPERLINK("https://pbs.twimg.com/profile_images/1160030521675722753/4elwdbfT.jpg","View")</f>
        <v>View</v>
      </c>
      <c r="V454" s="13"/>
      <c r="W454" s="13"/>
      <c r="X454" s="13"/>
      <c r="Y454" s="13"/>
      <c r="Z454" s="13"/>
    </row>
    <row r="455">
      <c r="A455" s="8">
        <v>43848.69195601852</v>
      </c>
      <c r="B455" s="9" t="str">
        <f>HYPERLINK("https://twitter.com/sheldonbailey","@sheldonbailey")</f>
        <v>@sheldonbailey</v>
      </c>
      <c r="C455" s="10" t="s">
        <v>2110</v>
      </c>
      <c r="D455" s="10" t="s">
        <v>2111</v>
      </c>
      <c r="E455" s="9" t="str">
        <f>HYPERLINK("https://twitter.com/sheldonbailey/status/1218648361701539840","1218648361701539840")</f>
        <v>1218648361701539840</v>
      </c>
      <c r="F455" s="11" t="s">
        <v>2112</v>
      </c>
      <c r="G455" s="13"/>
      <c r="H455" s="13"/>
      <c r="I455" s="14">
        <v>0.0</v>
      </c>
      <c r="J455" s="14">
        <v>1.0</v>
      </c>
      <c r="K455" s="9" t="str">
        <f>HYPERLINK("https://mobile.twitter.com","Twitter Web App")</f>
        <v>Twitter Web App</v>
      </c>
      <c r="L455" s="15">
        <v>1261.0</v>
      </c>
      <c r="M455" s="15">
        <v>1257.0</v>
      </c>
      <c r="N455" s="15">
        <v>28.0</v>
      </c>
      <c r="O455" s="16"/>
      <c r="P455" s="17">
        <v>39743.79922453704</v>
      </c>
      <c r="Q455" s="10" t="s">
        <v>2113</v>
      </c>
      <c r="R455" s="10" t="s">
        <v>2114</v>
      </c>
      <c r="S455" s="13"/>
      <c r="T455" s="13"/>
      <c r="U455" s="18" t="str">
        <f>HYPERLINK("https://pbs.twimg.com/profile_images/1022293945764597760/_UgOTs4N.jpg","View")</f>
        <v>View</v>
      </c>
      <c r="V455" s="13"/>
      <c r="W455" s="13"/>
      <c r="X455" s="13"/>
      <c r="Y455" s="13"/>
      <c r="Z455" s="13"/>
    </row>
    <row r="456">
      <c r="A456" s="8">
        <v>43848.69133101852</v>
      </c>
      <c r="B456" s="9" t="str">
        <f>HYPERLINK("https://twitter.com/teifidancer","@teifidancer")</f>
        <v>@teifidancer</v>
      </c>
      <c r="C456" s="10" t="s">
        <v>2115</v>
      </c>
      <c r="D456" s="10" t="s">
        <v>2116</v>
      </c>
      <c r="E456" s="9" t="str">
        <f>HYPERLINK("https://twitter.com/teifidancer/status/1218648134936678400","1218648134936678400")</f>
        <v>1218648134936678400</v>
      </c>
      <c r="F456" s="11" t="s">
        <v>2117</v>
      </c>
      <c r="G456" s="13"/>
      <c r="H456" s="13"/>
      <c r="I456" s="14">
        <v>0.0</v>
      </c>
      <c r="J456" s="14">
        <v>0.0</v>
      </c>
      <c r="K456" s="9" t="str">
        <f>HYPERLINK("http://twitter.com","Twitter Web Client")</f>
        <v>Twitter Web Client</v>
      </c>
      <c r="L456" s="15">
        <v>2346.0</v>
      </c>
      <c r="M456" s="15">
        <v>2443.0</v>
      </c>
      <c r="N456" s="15">
        <v>64.0</v>
      </c>
      <c r="O456" s="16"/>
      <c r="P456" s="17">
        <v>41986.29241898148</v>
      </c>
      <c r="Q456" s="10" t="s">
        <v>2118</v>
      </c>
      <c r="R456" s="10" t="s">
        <v>2119</v>
      </c>
      <c r="S456" s="11" t="s">
        <v>2120</v>
      </c>
      <c r="T456" s="13"/>
      <c r="U456" s="18" t="str">
        <f>HYPERLINK("https://pbs.twimg.com/profile_images/1197614007143800834/Fy5DEQ4t.jpg","View")</f>
        <v>View</v>
      </c>
      <c r="V456" s="13"/>
      <c r="W456" s="13"/>
      <c r="X456" s="13"/>
      <c r="Y456" s="13"/>
      <c r="Z456" s="13"/>
    </row>
    <row r="457">
      <c r="A457" s="8">
        <v>43848.69119212963</v>
      </c>
      <c r="B457" s="9" t="str">
        <f>HYPERLINK("https://twitter.com/Mindfield8","@Mindfield8")</f>
        <v>@Mindfield8</v>
      </c>
      <c r="C457" s="10" t="s">
        <v>2121</v>
      </c>
      <c r="D457" s="10" t="s">
        <v>2122</v>
      </c>
      <c r="E457" s="9" t="str">
        <f>HYPERLINK("https://twitter.com/Mindfield8/status/1218648085359996929","1218648085359996929")</f>
        <v>1218648085359996929</v>
      </c>
      <c r="F457" s="13"/>
      <c r="G457" s="11" t="s">
        <v>2123</v>
      </c>
      <c r="H457" s="13"/>
      <c r="I457" s="14">
        <v>1.0</v>
      </c>
      <c r="J457" s="14">
        <v>2.0</v>
      </c>
      <c r="K457" s="9" t="str">
        <f>HYPERLINK("http://twitter.com/download/android","Twitter for Android")</f>
        <v>Twitter for Android</v>
      </c>
      <c r="L457" s="15">
        <v>2.0</v>
      </c>
      <c r="M457" s="15">
        <v>0.0</v>
      </c>
      <c r="N457" s="15">
        <v>0.0</v>
      </c>
      <c r="O457" s="16"/>
      <c r="P457" s="17">
        <v>43848.39986111112</v>
      </c>
      <c r="Q457" s="13"/>
      <c r="R457" s="10" t="s">
        <v>2124</v>
      </c>
      <c r="S457" s="13"/>
      <c r="T457" s="13"/>
      <c r="U457" s="18" t="str">
        <f>HYPERLINK("https://pbs.twimg.com/profile_images/1218543833002233857/4yHWd7lr.jpg","View")</f>
        <v>View</v>
      </c>
      <c r="V457" s="13"/>
      <c r="W457" s="13"/>
      <c r="X457" s="13"/>
      <c r="Y457" s="13"/>
      <c r="Z457" s="13"/>
    </row>
    <row r="458">
      <c r="A458" s="8">
        <v>43848.691157407404</v>
      </c>
      <c r="B458" s="9" t="str">
        <f>HYPERLINK("https://twitter.com/dr_metzner","@dr_metzner")</f>
        <v>@dr_metzner</v>
      </c>
      <c r="C458" s="10" t="s">
        <v>1526</v>
      </c>
      <c r="D458" s="10" t="s">
        <v>2125</v>
      </c>
      <c r="E458" s="9" t="str">
        <f>HYPERLINK("https://twitter.com/dr_metzner/status/1218648073875812353","1218648073875812353")</f>
        <v>1218648073875812353</v>
      </c>
      <c r="F458" s="11" t="s">
        <v>2126</v>
      </c>
      <c r="G458" s="13"/>
      <c r="H458" s="13"/>
      <c r="I458" s="14">
        <v>1.0</v>
      </c>
      <c r="J458" s="14">
        <v>0.0</v>
      </c>
      <c r="K458" s="9" t="str">
        <f>HYPERLINK("https://apps.twitter.com","Twitty4Dave")</f>
        <v>Twitty4Dave</v>
      </c>
      <c r="L458" s="15">
        <v>8261.0</v>
      </c>
      <c r="M458" s="15">
        <v>4146.0</v>
      </c>
      <c r="N458" s="15">
        <v>390.0</v>
      </c>
      <c r="O458" s="16"/>
      <c r="P458" s="17">
        <v>41990.31606481482</v>
      </c>
      <c r="Q458" s="10" t="s">
        <v>266</v>
      </c>
      <c r="R458" s="10" t="s">
        <v>1529</v>
      </c>
      <c r="S458" s="11" t="s">
        <v>1530</v>
      </c>
      <c r="T458" s="13"/>
      <c r="U458" s="18" t="str">
        <f>HYPERLINK("https://pbs.twimg.com/profile_images/545196276417974272/6qcohW0K.jpeg","View")</f>
        <v>View</v>
      </c>
      <c r="V458" s="13"/>
      <c r="W458" s="13"/>
      <c r="X458" s="13"/>
      <c r="Y458" s="13"/>
      <c r="Z458" s="13"/>
    </row>
    <row r="459">
      <c r="A459" s="8">
        <v>43848.69112268518</v>
      </c>
      <c r="B459" s="9" t="str">
        <f>HYPERLINK("https://twitter.com/LivingOnTheBor2","@LivingOnTheBor2")</f>
        <v>@LivingOnTheBor2</v>
      </c>
      <c r="C459" s="10" t="s">
        <v>2127</v>
      </c>
      <c r="D459" s="10" t="s">
        <v>2128</v>
      </c>
      <c r="E459" s="9" t="str">
        <f>HYPERLINK("https://twitter.com/LivingOnTheBor2/status/1218648058600116224","1218648058600116224")</f>
        <v>1218648058600116224</v>
      </c>
      <c r="F459" s="13"/>
      <c r="G459" s="13"/>
      <c r="H459" s="13"/>
      <c r="I459" s="14">
        <v>0.0</v>
      </c>
      <c r="J459" s="14">
        <v>1.0</v>
      </c>
      <c r="K459" s="9" t="str">
        <f>HYPERLINK("http://twitter.com/download/android","Twitter for Android")</f>
        <v>Twitter for Android</v>
      </c>
      <c r="L459" s="15">
        <v>92.0</v>
      </c>
      <c r="M459" s="15">
        <v>203.0</v>
      </c>
      <c r="N459" s="15">
        <v>0.0</v>
      </c>
      <c r="O459" s="16"/>
      <c r="P459" s="17">
        <v>43692.018483796295</v>
      </c>
      <c r="Q459" s="13"/>
      <c r="R459" s="10" t="s">
        <v>2129</v>
      </c>
      <c r="S459" s="11" t="s">
        <v>2130</v>
      </c>
      <c r="T459" s="13"/>
      <c r="U459" s="18" t="str">
        <f>HYPERLINK("https://pbs.twimg.com/profile_images/1213303964646563840/zqr2OJJ2.jpg","View")</f>
        <v>View</v>
      </c>
      <c r="V459" s="13"/>
      <c r="W459" s="13"/>
      <c r="X459" s="13"/>
      <c r="Y459" s="13"/>
      <c r="Z459" s="13"/>
    </row>
    <row r="460">
      <c r="A460" s="8">
        <v>43848.69108796296</v>
      </c>
      <c r="B460" s="9" t="str">
        <f>HYPERLINK("https://twitter.com/SukhyJaveed","@SukhyJaveed")</f>
        <v>@SukhyJaveed</v>
      </c>
      <c r="C460" s="10" t="s">
        <v>2131</v>
      </c>
      <c r="D460" s="10" t="s">
        <v>2132</v>
      </c>
      <c r="E460" s="9" t="str">
        <f>HYPERLINK("https://twitter.com/SukhyJaveed/status/1218648047971917824","1218648047971917824")</f>
        <v>1218648047971917824</v>
      </c>
      <c r="F460" s="13"/>
      <c r="G460" s="13"/>
      <c r="H460" s="13"/>
      <c r="I460" s="14">
        <v>0.0</v>
      </c>
      <c r="J460" s="14">
        <v>7.0</v>
      </c>
      <c r="K460" s="9" t="str">
        <f t="shared" ref="K460:K461" si="58">HYPERLINK("http://twitter.com/download/iphone","Twitter for iPhone")</f>
        <v>Twitter for iPhone</v>
      </c>
      <c r="L460" s="15">
        <v>8986.0</v>
      </c>
      <c r="M460" s="15">
        <v>4060.0</v>
      </c>
      <c r="N460" s="15">
        <v>57.0</v>
      </c>
      <c r="O460" s="16"/>
      <c r="P460" s="17">
        <v>40568.697476851856</v>
      </c>
      <c r="Q460" s="10" t="s">
        <v>2133</v>
      </c>
      <c r="R460" s="10" t="s">
        <v>2134</v>
      </c>
      <c r="S460" s="13"/>
      <c r="T460" s="13"/>
      <c r="U460" s="18" t="str">
        <f>HYPERLINK("https://pbs.twimg.com/profile_images/495236346488029184/dG5vibHA.jpeg","View")</f>
        <v>View</v>
      </c>
      <c r="V460" s="13"/>
      <c r="W460" s="13"/>
      <c r="X460" s="13"/>
      <c r="Y460" s="13"/>
      <c r="Z460" s="13"/>
    </row>
    <row r="461">
      <c r="A461" s="8">
        <v>43848.690787037034</v>
      </c>
      <c r="B461" s="9" t="str">
        <f>HYPERLINK("https://twitter.com/liamyule83","@liamyule83")</f>
        <v>@liamyule83</v>
      </c>
      <c r="C461" s="10" t="s">
        <v>2135</v>
      </c>
      <c r="D461" s="10" t="s">
        <v>2136</v>
      </c>
      <c r="E461" s="9" t="str">
        <f>HYPERLINK("https://twitter.com/liamyule83/status/1218647937837862913","1218647937837862913")</f>
        <v>1218647937837862913</v>
      </c>
      <c r="F461" s="10" t="s">
        <v>2137</v>
      </c>
      <c r="G461" s="11" t="s">
        <v>2138</v>
      </c>
      <c r="H461" s="13"/>
      <c r="I461" s="14">
        <v>2.0</v>
      </c>
      <c r="J461" s="14">
        <v>3.0</v>
      </c>
      <c r="K461" s="9" t="str">
        <f t="shared" si="58"/>
        <v>Twitter for iPhone</v>
      </c>
      <c r="L461" s="15">
        <v>516.0</v>
      </c>
      <c r="M461" s="15">
        <v>779.0</v>
      </c>
      <c r="N461" s="15">
        <v>4.0</v>
      </c>
      <c r="O461" s="16"/>
      <c r="P461" s="17">
        <v>42018.46407407407</v>
      </c>
      <c r="Q461" s="10" t="s">
        <v>2139</v>
      </c>
      <c r="R461" s="10" t="s">
        <v>2140</v>
      </c>
      <c r="S461" s="11" t="s">
        <v>2141</v>
      </c>
      <c r="T461" s="13"/>
      <c r="U461" s="18" t="str">
        <f>HYPERLINK("https://pbs.twimg.com/profile_images/1201595130198790145/jhzwNZ86.jpg","View")</f>
        <v>View</v>
      </c>
      <c r="V461" s="13"/>
      <c r="W461" s="13"/>
      <c r="X461" s="13"/>
      <c r="Y461" s="13"/>
      <c r="Z461" s="13"/>
    </row>
    <row r="462">
      <c r="A462" s="8">
        <v>43848.69020833333</v>
      </c>
      <c r="B462" s="9" t="str">
        <f>HYPERLINK("https://twitter.com/djburz","@djburz")</f>
        <v>@djburz</v>
      </c>
      <c r="C462" s="10" t="s">
        <v>2142</v>
      </c>
      <c r="D462" s="10" t="s">
        <v>2143</v>
      </c>
      <c r="E462" s="9" t="str">
        <f>HYPERLINK("https://twitter.com/djburz/status/1218647727527079936","1218647727527079936")</f>
        <v>1218647727527079936</v>
      </c>
      <c r="F462" s="11" t="s">
        <v>2144</v>
      </c>
      <c r="G462" s="13"/>
      <c r="H462" s="13"/>
      <c r="I462" s="14">
        <v>0.0</v>
      </c>
      <c r="J462" s="14">
        <v>0.0</v>
      </c>
      <c r="K462" s="9" t="str">
        <f>HYPERLINK("http://instagram.com","Instagram")</f>
        <v>Instagram</v>
      </c>
      <c r="L462" s="15">
        <v>348.0</v>
      </c>
      <c r="M462" s="15">
        <v>477.0</v>
      </c>
      <c r="N462" s="15">
        <v>17.0</v>
      </c>
      <c r="O462" s="16"/>
      <c r="P462" s="17">
        <v>39947.47961805556</v>
      </c>
      <c r="Q462" s="10" t="s">
        <v>2145</v>
      </c>
      <c r="R462" s="10" t="s">
        <v>2146</v>
      </c>
      <c r="S462" s="13"/>
      <c r="T462" s="13"/>
      <c r="U462" s="18" t="str">
        <f>HYPERLINK("https://pbs.twimg.com/profile_images/1155365144484077569/RUppbOOg.jpg","View")</f>
        <v>View</v>
      </c>
      <c r="V462" s="13"/>
      <c r="W462" s="13"/>
      <c r="X462" s="13"/>
      <c r="Y462" s="13"/>
      <c r="Z462" s="13"/>
    </row>
    <row r="463">
      <c r="A463" s="8">
        <v>43848.68980324074</v>
      </c>
      <c r="B463" s="9" t="str">
        <f>HYPERLINK("https://twitter.com/DonandBubbaPCB","@DonandBubbaPCB")</f>
        <v>@DonandBubbaPCB</v>
      </c>
      <c r="C463" s="10" t="s">
        <v>2147</v>
      </c>
      <c r="D463" s="10" t="s">
        <v>2148</v>
      </c>
      <c r="E463" s="9" t="str">
        <f>HYPERLINK("https://twitter.com/DonandBubbaPCB/status/1218647582156771328","1218647582156771328")</f>
        <v>1218647582156771328</v>
      </c>
      <c r="F463" s="11" t="s">
        <v>2149</v>
      </c>
      <c r="G463" s="11" t="s">
        <v>2150</v>
      </c>
      <c r="H463" s="13"/>
      <c r="I463" s="14">
        <v>0.0</v>
      </c>
      <c r="J463" s="14">
        <v>0.0</v>
      </c>
      <c r="K463" s="9" t="str">
        <f t="shared" ref="K463:K464" si="59">HYPERLINK("https://www.corelistingmachine.com/","CORE ListingMachine")</f>
        <v>CORE ListingMachine</v>
      </c>
      <c r="L463" s="15">
        <v>16.0</v>
      </c>
      <c r="M463" s="15">
        <v>3.0</v>
      </c>
      <c r="N463" s="15">
        <v>11.0</v>
      </c>
      <c r="O463" s="16"/>
      <c r="P463" s="17">
        <v>42331.39908564815</v>
      </c>
      <c r="Q463" s="13"/>
      <c r="R463" s="13"/>
      <c r="S463" s="13"/>
      <c r="T463" s="13"/>
      <c r="U463" s="21" t="s">
        <v>292</v>
      </c>
      <c r="V463" s="13"/>
      <c r="W463" s="13"/>
      <c r="X463" s="13"/>
      <c r="Y463" s="13"/>
      <c r="Z463" s="13"/>
    </row>
    <row r="464">
      <c r="A464" s="8">
        <v>43848.689791666664</v>
      </c>
      <c r="B464" s="9" t="str">
        <f>HYPERLINK("https://twitter.com/BubbaMcCants","@BubbaMcCants")</f>
        <v>@BubbaMcCants</v>
      </c>
      <c r="C464" s="10" t="s">
        <v>2151</v>
      </c>
      <c r="D464" s="10" t="s">
        <v>2148</v>
      </c>
      <c r="E464" s="9" t="str">
        <f>HYPERLINK("https://twitter.com/BubbaMcCants/status/1218647577404616704","1218647577404616704")</f>
        <v>1218647577404616704</v>
      </c>
      <c r="F464" s="11" t="s">
        <v>2152</v>
      </c>
      <c r="G464" s="11" t="s">
        <v>2153</v>
      </c>
      <c r="H464" s="13"/>
      <c r="I464" s="14">
        <v>0.0</v>
      </c>
      <c r="J464" s="14">
        <v>0.0</v>
      </c>
      <c r="K464" s="9" t="str">
        <f t="shared" si="59"/>
        <v>CORE ListingMachine</v>
      </c>
      <c r="L464" s="15">
        <v>1072.0</v>
      </c>
      <c r="M464" s="15">
        <v>763.0</v>
      </c>
      <c r="N464" s="15">
        <v>18.0</v>
      </c>
      <c r="O464" s="16"/>
      <c r="P464" s="17">
        <v>39763.40635416667</v>
      </c>
      <c r="Q464" s="10" t="s">
        <v>2154</v>
      </c>
      <c r="R464" s="10" t="s">
        <v>2155</v>
      </c>
      <c r="S464" s="11" t="s">
        <v>2156</v>
      </c>
      <c r="T464" s="13"/>
      <c r="U464" s="18" t="str">
        <f>HYPERLINK("https://pbs.twimg.com/profile_images/560843488112046082/PRN7TTJX.jpeg","View")</f>
        <v>View</v>
      </c>
      <c r="V464" s="13"/>
      <c r="W464" s="13"/>
      <c r="X464" s="13"/>
      <c r="Y464" s="13"/>
      <c r="Z464" s="13"/>
    </row>
    <row r="465">
      <c r="A465" s="8">
        <v>43848.689618055556</v>
      </c>
      <c r="B465" s="9" t="str">
        <f>HYPERLINK("https://twitter.com/Counselingdance","@Counselingdance")</f>
        <v>@Counselingdance</v>
      </c>
      <c r="C465" s="10" t="s">
        <v>2157</v>
      </c>
      <c r="D465" s="10" t="s">
        <v>2158</v>
      </c>
      <c r="E465" s="9" t="str">
        <f>HYPERLINK("https://twitter.com/Counselingdance/status/1218647516260065280","1218647516260065280")</f>
        <v>1218647516260065280</v>
      </c>
      <c r="F465" s="11" t="s">
        <v>2159</v>
      </c>
      <c r="G465" s="13"/>
      <c r="H465" s="13"/>
      <c r="I465" s="14">
        <v>1.0</v>
      </c>
      <c r="J465" s="14">
        <v>0.0</v>
      </c>
      <c r="K465" s="9" t="str">
        <f t="shared" ref="K465:K466" si="60">HYPERLINK("http://twitter.com/download/android","Twitter for Android")</f>
        <v>Twitter for Android</v>
      </c>
      <c r="L465" s="15">
        <v>577.0</v>
      </c>
      <c r="M465" s="15">
        <v>669.0</v>
      </c>
      <c r="N465" s="15">
        <v>5.0</v>
      </c>
      <c r="O465" s="16"/>
      <c r="P465" s="17">
        <v>42825.44634259259</v>
      </c>
      <c r="Q465" s="10" t="s">
        <v>161</v>
      </c>
      <c r="R465" s="10" t="s">
        <v>2160</v>
      </c>
      <c r="S465" s="11" t="s">
        <v>2161</v>
      </c>
      <c r="T465" s="13"/>
      <c r="U465" s="18" t="str">
        <f>HYPERLINK("https://pbs.twimg.com/profile_images/848648179763564544/hD8Fpmsx.jpg","View")</f>
        <v>View</v>
      </c>
      <c r="V465" s="13"/>
      <c r="W465" s="13"/>
      <c r="X465" s="13"/>
      <c r="Y465" s="13"/>
      <c r="Z465" s="13"/>
    </row>
    <row r="466">
      <c r="A466" s="8">
        <v>43848.68944444445</v>
      </c>
      <c r="B466" s="9" t="str">
        <f>HYPERLINK("https://twitter.com/Asminor_author","@Asminor_author")</f>
        <v>@Asminor_author</v>
      </c>
      <c r="C466" s="10" t="s">
        <v>2162</v>
      </c>
      <c r="D466" s="10" t="s">
        <v>2163</v>
      </c>
      <c r="E466" s="9" t="str">
        <f>HYPERLINK("https://twitter.com/Asminor_author/status/1218647450090602496","1218647450090602496")</f>
        <v>1218647450090602496</v>
      </c>
      <c r="F466" s="13"/>
      <c r="G466" s="13"/>
      <c r="H466" s="13"/>
      <c r="I466" s="14">
        <v>0.0</v>
      </c>
      <c r="J466" s="14">
        <v>1.0</v>
      </c>
      <c r="K466" s="9" t="str">
        <f t="shared" si="60"/>
        <v>Twitter for Android</v>
      </c>
      <c r="L466" s="15">
        <v>228.0</v>
      </c>
      <c r="M466" s="15">
        <v>433.0</v>
      </c>
      <c r="N466" s="15">
        <v>40.0</v>
      </c>
      <c r="O466" s="16"/>
      <c r="P466" s="17">
        <v>41067.49597222223</v>
      </c>
      <c r="Q466" s="10" t="s">
        <v>2164</v>
      </c>
      <c r="R466" s="10" t="s">
        <v>2165</v>
      </c>
      <c r="S466" s="11" t="s">
        <v>2166</v>
      </c>
      <c r="T466" s="13"/>
      <c r="U466" s="18" t="str">
        <f>HYPERLINK("https://pbs.twimg.com/profile_images/1024542470556839936/5LWP9tbM.jpg","View")</f>
        <v>View</v>
      </c>
      <c r="V466" s="13"/>
      <c r="W466" s="13"/>
      <c r="X466" s="13"/>
      <c r="Y466" s="13"/>
      <c r="Z466" s="13"/>
    </row>
    <row r="467">
      <c r="A467" s="8">
        <v>43848.68900462963</v>
      </c>
      <c r="B467" s="9" t="str">
        <f>HYPERLINK("https://twitter.com/Chris_CLBaker","@Chris_CLBaker")</f>
        <v>@Chris_CLBaker</v>
      </c>
      <c r="C467" s="10" t="s">
        <v>2167</v>
      </c>
      <c r="D467" s="10" t="s">
        <v>2168</v>
      </c>
      <c r="E467" s="9" t="str">
        <f>HYPERLINK("https://twitter.com/Chris_CLBaker/status/1218647292942733313","1218647292942733313")</f>
        <v>1218647292942733313</v>
      </c>
      <c r="F467" s="11" t="s">
        <v>2169</v>
      </c>
      <c r="G467" s="13"/>
      <c r="H467" s="13"/>
      <c r="I467" s="14">
        <v>0.0</v>
      </c>
      <c r="J467" s="14">
        <v>0.0</v>
      </c>
      <c r="K467" s="9" t="str">
        <f>HYPERLINK("http://twitter.com/#!/download/ipad","Twitter for iPad")</f>
        <v>Twitter for iPad</v>
      </c>
      <c r="L467" s="15">
        <v>846.0</v>
      </c>
      <c r="M467" s="15">
        <v>1652.0</v>
      </c>
      <c r="N467" s="15">
        <v>42.0</v>
      </c>
      <c r="O467" s="16"/>
      <c r="P467" s="17">
        <v>40216.215370370366</v>
      </c>
      <c r="Q467" s="10" t="s">
        <v>2170</v>
      </c>
      <c r="R467" s="10" t="s">
        <v>2171</v>
      </c>
      <c r="S467" s="13"/>
      <c r="T467" s="13"/>
      <c r="U467" s="18" t="str">
        <f>HYPERLINK("https://pbs.twimg.com/profile_images/3700074349/c19e2d530f5fcfd55c0bd3abc74d02fb.jpeg","View")</f>
        <v>View</v>
      </c>
      <c r="V467" s="13"/>
      <c r="W467" s="13"/>
      <c r="X467" s="13"/>
      <c r="Y467" s="13"/>
      <c r="Z467" s="13"/>
    </row>
    <row r="468">
      <c r="A468" s="8">
        <v>43848.6884837963</v>
      </c>
      <c r="B468" s="9" t="str">
        <f>HYPERLINK("https://twitter.com/grouptherapy33","@grouptherapy33")</f>
        <v>@grouptherapy33</v>
      </c>
      <c r="C468" s="10" t="s">
        <v>831</v>
      </c>
      <c r="D468" s="10" t="s">
        <v>2172</v>
      </c>
      <c r="E468" s="9" t="str">
        <f>HYPERLINK("https://twitter.com/grouptherapy33/status/1218647103167254528","1218647103167254528")</f>
        <v>1218647103167254528</v>
      </c>
      <c r="F468" s="13"/>
      <c r="G468" s="13"/>
      <c r="H468" s="13"/>
      <c r="I468" s="14">
        <v>0.0</v>
      </c>
      <c r="J468" s="14">
        <v>1.0</v>
      </c>
      <c r="K468" s="9" t="str">
        <f>HYPERLINK("http://www.DynamicTweets.com","Dynamic Tweets")</f>
        <v>Dynamic Tweets</v>
      </c>
      <c r="L468" s="15">
        <v>4053.0</v>
      </c>
      <c r="M468" s="15">
        <v>3517.0</v>
      </c>
      <c r="N468" s="15">
        <v>74.0</v>
      </c>
      <c r="O468" s="16"/>
      <c r="P468" s="17">
        <v>42375.45542824074</v>
      </c>
      <c r="Q468" s="13"/>
      <c r="R468" s="13"/>
      <c r="S468" s="11" t="s">
        <v>833</v>
      </c>
      <c r="T468" s="13"/>
      <c r="U468" s="18" t="str">
        <f>HYPERLINK("https://pbs.twimg.com/profile_images/773354507157671941/wE10yy8j.jpg","View")</f>
        <v>View</v>
      </c>
      <c r="V468" s="13"/>
      <c r="W468" s="13"/>
      <c r="X468" s="13"/>
      <c r="Y468" s="13"/>
      <c r="Z468" s="13"/>
    </row>
    <row r="469">
      <c r="A469" s="8">
        <v>43848.68833333333</v>
      </c>
      <c r="B469" s="9" t="str">
        <f>HYPERLINK("https://twitter.com/sharonblady","@sharonblady")</f>
        <v>@sharonblady</v>
      </c>
      <c r="C469" s="10" t="s">
        <v>2173</v>
      </c>
      <c r="D469" s="10" t="s">
        <v>2174</v>
      </c>
      <c r="E469" s="9" t="str">
        <f>HYPERLINK("https://twitter.com/sharonblady/status/1218647050532712448","1218647050532712448")</f>
        <v>1218647050532712448</v>
      </c>
      <c r="F469" s="10" t="s">
        <v>2175</v>
      </c>
      <c r="G469" s="13"/>
      <c r="H469" s="13"/>
      <c r="I469" s="14">
        <v>1.0</v>
      </c>
      <c r="J469" s="14">
        <v>1.0</v>
      </c>
      <c r="K469" s="9" t="str">
        <f>HYPERLINK("http://twitter.com/download/android","Twitter for Android")</f>
        <v>Twitter for Android</v>
      </c>
      <c r="L469" s="15">
        <v>1364.0</v>
      </c>
      <c r="M469" s="15">
        <v>795.0</v>
      </c>
      <c r="N469" s="15">
        <v>35.0</v>
      </c>
      <c r="O469" s="16"/>
      <c r="P469" s="17">
        <v>40233.77675925926</v>
      </c>
      <c r="Q469" s="10" t="s">
        <v>2091</v>
      </c>
      <c r="R469" s="10" t="s">
        <v>2176</v>
      </c>
      <c r="S469" s="11" t="s">
        <v>2177</v>
      </c>
      <c r="T469" s="13"/>
      <c r="U469" s="18" t="str">
        <f>HYPERLINK("https://pbs.twimg.com/profile_images/1154082069410123776/bZw4fW7y.jpg","View")</f>
        <v>View</v>
      </c>
      <c r="V469" s="13"/>
      <c r="W469" s="13"/>
      <c r="X469" s="13"/>
      <c r="Y469" s="13"/>
      <c r="Z469" s="13"/>
    </row>
    <row r="470">
      <c r="A470" s="8">
        <v>43848.68810185185</v>
      </c>
      <c r="B470" s="9" t="str">
        <f>HYPERLINK("https://twitter.com/catmck12","@catmck12")</f>
        <v>@catmck12</v>
      </c>
      <c r="C470" s="10" t="s">
        <v>2178</v>
      </c>
      <c r="D470" s="10" t="s">
        <v>2179</v>
      </c>
      <c r="E470" s="9" t="str">
        <f>HYPERLINK("https://twitter.com/catmck12/status/1218646967154282497","1218646967154282497")</f>
        <v>1218646967154282497</v>
      </c>
      <c r="F470" s="13"/>
      <c r="G470" s="11" t="s">
        <v>2180</v>
      </c>
      <c r="H470" s="13"/>
      <c r="I470" s="14">
        <v>1.0</v>
      </c>
      <c r="J470" s="14">
        <v>6.0</v>
      </c>
      <c r="K470" s="9" t="str">
        <f>HYPERLINK("http://twitter.com/download/iphone","Twitter for iPhone")</f>
        <v>Twitter for iPhone</v>
      </c>
      <c r="L470" s="15">
        <v>344.0</v>
      </c>
      <c r="M470" s="15">
        <v>184.0</v>
      </c>
      <c r="N470" s="15">
        <v>1.0</v>
      </c>
      <c r="O470" s="16"/>
      <c r="P470" s="17">
        <v>42627.29982638889</v>
      </c>
      <c r="Q470" s="13"/>
      <c r="R470" s="10" t="s">
        <v>2181</v>
      </c>
      <c r="S470" s="13"/>
      <c r="T470" s="13"/>
      <c r="U470" s="18" t="str">
        <f>HYPERLINK("https://pbs.twimg.com/profile_images/873599075039444992/raCPzs9Y.jpg","View")</f>
        <v>View</v>
      </c>
      <c r="V470" s="13"/>
      <c r="W470" s="13"/>
      <c r="X470" s="13"/>
      <c r="Y470" s="13"/>
      <c r="Z470" s="13"/>
    </row>
    <row r="471">
      <c r="A471" s="8">
        <v>43848.68761574074</v>
      </c>
      <c r="B471" s="9" t="str">
        <f>HYPERLINK("https://twitter.com/BorrowBox","@BorrowBox")</f>
        <v>@BorrowBox</v>
      </c>
      <c r="C471" s="10" t="s">
        <v>2182</v>
      </c>
      <c r="D471" s="10" t="s">
        <v>2183</v>
      </c>
      <c r="E471" s="9" t="str">
        <f>HYPERLINK("https://twitter.com/BorrowBox/status/1218646788950970368","1218646788950970368")</f>
        <v>1218646788950970368</v>
      </c>
      <c r="F471" s="13"/>
      <c r="G471" s="11" t="s">
        <v>2184</v>
      </c>
      <c r="H471" s="13"/>
      <c r="I471" s="14">
        <v>0.0</v>
      </c>
      <c r="J471" s="14">
        <v>0.0</v>
      </c>
      <c r="K471" s="9" t="str">
        <f>HYPERLINK("https://www.hootsuite.com","Hootsuite Inc.")</f>
        <v>Hootsuite Inc.</v>
      </c>
      <c r="L471" s="15">
        <v>2096.0</v>
      </c>
      <c r="M471" s="15">
        <v>1240.0</v>
      </c>
      <c r="N471" s="15">
        <v>56.0</v>
      </c>
      <c r="O471" s="16"/>
      <c r="P471" s="17">
        <v>43053.00215277778</v>
      </c>
      <c r="Q471" s="10" t="s">
        <v>614</v>
      </c>
      <c r="R471" s="10" t="s">
        <v>2185</v>
      </c>
      <c r="S471" s="11" t="s">
        <v>2186</v>
      </c>
      <c r="T471" s="13"/>
      <c r="U471" s="18" t="str">
        <f>HYPERLINK("https://pbs.twimg.com/profile_images/931298499840241664/v08cEAsH.jpg","View")</f>
        <v>View</v>
      </c>
      <c r="V471" s="13"/>
      <c r="W471" s="13"/>
      <c r="X471" s="13"/>
      <c r="Y471" s="13"/>
      <c r="Z471" s="13"/>
    </row>
    <row r="472">
      <c r="A472" s="8">
        <v>43848.687569444446</v>
      </c>
      <c r="B472" s="9" t="str">
        <f>HYPERLINK("https://twitter.com/Mad_In_America","@Mad_In_America")</f>
        <v>@Mad_In_America</v>
      </c>
      <c r="C472" s="10" t="s">
        <v>2187</v>
      </c>
      <c r="D472" s="10" t="s">
        <v>2188</v>
      </c>
      <c r="E472" s="9" t="str">
        <f>HYPERLINK("https://twitter.com/Mad_In_America/status/1218646772333060096","1218646772333060096")</f>
        <v>1218646772333060096</v>
      </c>
      <c r="F472" s="11" t="s">
        <v>2189</v>
      </c>
      <c r="G472" s="13"/>
      <c r="H472" s="13"/>
      <c r="I472" s="14">
        <v>4.0</v>
      </c>
      <c r="J472" s="14">
        <v>10.0</v>
      </c>
      <c r="K472" s="9" t="str">
        <f>HYPERLINK("http://twitter.com/#!/download/ipad","Twitter for iPad")</f>
        <v>Twitter for iPad</v>
      </c>
      <c r="L472" s="15">
        <v>15770.0</v>
      </c>
      <c r="M472" s="15">
        <v>734.0</v>
      </c>
      <c r="N472" s="15">
        <v>354.0</v>
      </c>
      <c r="O472" s="16"/>
      <c r="P472" s="17">
        <v>40916.653090277774</v>
      </c>
      <c r="Q472" s="10" t="s">
        <v>2190</v>
      </c>
      <c r="R472" s="10" t="s">
        <v>2191</v>
      </c>
      <c r="S472" s="11" t="s">
        <v>2192</v>
      </c>
      <c r="T472" s="13"/>
      <c r="U472" s="18" t="str">
        <f>HYPERLINK("https://pbs.twimg.com/profile_images/895185387706081284/RLrJuHed.jpg","View")</f>
        <v>View</v>
      </c>
      <c r="V472" s="13"/>
      <c r="W472" s="13"/>
      <c r="X472" s="13"/>
      <c r="Y472" s="13"/>
      <c r="Z472" s="13"/>
    </row>
    <row r="473">
      <c r="A473" s="8">
        <v>43848.68755787037</v>
      </c>
      <c r="B473" s="9" t="str">
        <f>HYPERLINK("https://twitter.com/HealthyPlace","@HealthyPlace")</f>
        <v>@HealthyPlace</v>
      </c>
      <c r="C473" s="10" t="s">
        <v>1457</v>
      </c>
      <c r="D473" s="10" t="s">
        <v>2193</v>
      </c>
      <c r="E473" s="9" t="str">
        <f>HYPERLINK("https://twitter.com/HealthyPlace/status/1218646769992683520","1218646769992683520")</f>
        <v>1218646769992683520</v>
      </c>
      <c r="F473" s="11" t="s">
        <v>2194</v>
      </c>
      <c r="G473" s="11" t="s">
        <v>2195</v>
      </c>
      <c r="H473" s="13"/>
      <c r="I473" s="14">
        <v>1.0</v>
      </c>
      <c r="J473" s="14">
        <v>0.0</v>
      </c>
      <c r="K473" s="9" t="str">
        <f>HYPERLINK("https://sproutsocial.com","Sprout Social")</f>
        <v>Sprout Social</v>
      </c>
      <c r="L473" s="15">
        <v>64943.0</v>
      </c>
      <c r="M473" s="15">
        <v>25049.0</v>
      </c>
      <c r="N473" s="15">
        <v>1710.0</v>
      </c>
      <c r="O473" s="16"/>
      <c r="P473" s="17">
        <v>39681.03928240741</v>
      </c>
      <c r="Q473" s="10" t="s">
        <v>1460</v>
      </c>
      <c r="R473" s="10" t="s">
        <v>1461</v>
      </c>
      <c r="S473" s="11" t="s">
        <v>1462</v>
      </c>
      <c r="T473" s="13"/>
      <c r="U473" s="18" t="str">
        <f>HYPERLINK("https://pbs.twimg.com/profile_images/753613454083252225/i5pr2xny.jpg","View")</f>
        <v>View</v>
      </c>
      <c r="V473" s="13"/>
      <c r="W473" s="13"/>
      <c r="X473" s="13"/>
      <c r="Y473" s="13"/>
      <c r="Z473" s="13"/>
    </row>
    <row r="474">
      <c r="A474" s="8">
        <v>43848.68708333334</v>
      </c>
      <c r="B474" s="9" t="str">
        <f>HYPERLINK("https://twitter.com/MartinKoss","@MartinKoss")</f>
        <v>@MartinKoss</v>
      </c>
      <c r="C474" s="10" t="s">
        <v>2196</v>
      </c>
      <c r="D474" s="10" t="s">
        <v>2197</v>
      </c>
      <c r="E474" s="9" t="str">
        <f>HYPERLINK("https://twitter.com/MartinKoss/status/1218646594993651712","1218646594993651712")</f>
        <v>1218646594993651712</v>
      </c>
      <c r="F474" s="11" t="s">
        <v>2198</v>
      </c>
      <c r="G474" s="13"/>
      <c r="H474" s="13"/>
      <c r="I474" s="14">
        <v>2.0</v>
      </c>
      <c r="J474" s="14">
        <v>5.0</v>
      </c>
      <c r="K474" s="9" t="str">
        <f>HYPERLINK("http://twitter.com/download/iphone","Twitter for iPhone")</f>
        <v>Twitter for iPhone</v>
      </c>
      <c r="L474" s="15">
        <v>1107.0</v>
      </c>
      <c r="M474" s="15">
        <v>1404.0</v>
      </c>
      <c r="N474" s="15">
        <v>46.0</v>
      </c>
      <c r="O474" s="16"/>
      <c r="P474" s="17">
        <v>39756.08305555556</v>
      </c>
      <c r="Q474" s="10" t="s">
        <v>2199</v>
      </c>
      <c r="R474" s="10" t="s">
        <v>2200</v>
      </c>
      <c r="S474" s="13"/>
      <c r="T474" s="13"/>
      <c r="U474" s="18" t="str">
        <f>HYPERLINK("https://pbs.twimg.com/profile_images/1207226273942163456/3Q4VredY.jpg","View")</f>
        <v>View</v>
      </c>
      <c r="V474" s="13"/>
      <c r="W474" s="13"/>
      <c r="X474" s="13"/>
      <c r="Y474" s="13"/>
      <c r="Z474" s="13"/>
    </row>
    <row r="475">
      <c r="A475" s="8">
        <v>43848.68636574074</v>
      </c>
      <c r="B475" s="9" t="str">
        <f>HYPERLINK("https://twitter.com/grouptherapy33","@grouptherapy33")</f>
        <v>@grouptherapy33</v>
      </c>
      <c r="C475" s="10" t="s">
        <v>831</v>
      </c>
      <c r="D475" s="10" t="s">
        <v>2201</v>
      </c>
      <c r="E475" s="9" t="str">
        <f>HYPERLINK("https://twitter.com/grouptherapy33/status/1218646337987796992","1218646337987796992")</f>
        <v>1218646337987796992</v>
      </c>
      <c r="F475" s="11" t="s">
        <v>2202</v>
      </c>
      <c r="G475" s="13"/>
      <c r="H475" s="13"/>
      <c r="I475" s="14">
        <v>0.0</v>
      </c>
      <c r="J475" s="14">
        <v>1.0</v>
      </c>
      <c r="K475" s="9" t="str">
        <f>HYPERLINK("http://www.DynamicTweets.com","Dynamic Tweets")</f>
        <v>Dynamic Tweets</v>
      </c>
      <c r="L475" s="15">
        <v>4053.0</v>
      </c>
      <c r="M475" s="15">
        <v>3517.0</v>
      </c>
      <c r="N475" s="15">
        <v>74.0</v>
      </c>
      <c r="O475" s="16"/>
      <c r="P475" s="17">
        <v>42375.45542824074</v>
      </c>
      <c r="Q475" s="13"/>
      <c r="R475" s="13"/>
      <c r="S475" s="11" t="s">
        <v>833</v>
      </c>
      <c r="T475" s="13"/>
      <c r="U475" s="18" t="str">
        <f>HYPERLINK("https://pbs.twimg.com/profile_images/773354507157671941/wE10yy8j.jpg","View")</f>
        <v>View</v>
      </c>
      <c r="V475" s="13"/>
      <c r="W475" s="13"/>
      <c r="X475" s="13"/>
      <c r="Y475" s="13"/>
      <c r="Z475" s="13"/>
    </row>
    <row r="476">
      <c r="A476" s="8">
        <v>43848.686203703706</v>
      </c>
      <c r="B476" s="9" t="str">
        <f>HYPERLINK("https://twitter.com/Jolliffe03","@Jolliffe03")</f>
        <v>@Jolliffe03</v>
      </c>
      <c r="C476" s="10" t="s">
        <v>2203</v>
      </c>
      <c r="D476" s="10" t="s">
        <v>2204</v>
      </c>
      <c r="E476" s="9" t="str">
        <f>HYPERLINK("https://twitter.com/Jolliffe03/status/1218646276859887618","1218646276859887618")</f>
        <v>1218646276859887618</v>
      </c>
      <c r="F476" s="11" t="s">
        <v>2205</v>
      </c>
      <c r="G476" s="13"/>
      <c r="H476" s="13"/>
      <c r="I476" s="14">
        <v>0.0</v>
      </c>
      <c r="J476" s="14">
        <v>0.0</v>
      </c>
      <c r="K476" s="9" t="str">
        <f>HYPERLINK("http://publicize.wp.com/","WordPress.com")</f>
        <v>WordPress.com</v>
      </c>
      <c r="L476" s="15">
        <v>6491.0</v>
      </c>
      <c r="M476" s="15">
        <v>5787.0</v>
      </c>
      <c r="N476" s="15">
        <v>179.0</v>
      </c>
      <c r="O476" s="16"/>
      <c r="P476" s="17">
        <v>41054.54636574074</v>
      </c>
      <c r="Q476" s="10" t="s">
        <v>1024</v>
      </c>
      <c r="R476" s="10" t="s">
        <v>2206</v>
      </c>
      <c r="S476" s="11" t="s">
        <v>2207</v>
      </c>
      <c r="T476" s="13"/>
      <c r="U476" s="18" t="str">
        <f>HYPERLINK("https://pbs.twimg.com/profile_images/717018036545433603/20UrjLmB.jpg","View")</f>
        <v>View</v>
      </c>
      <c r="V476" s="13"/>
      <c r="W476" s="13"/>
      <c r="X476" s="13"/>
      <c r="Y476" s="13"/>
      <c r="Z476" s="13"/>
    </row>
    <row r="477">
      <c r="A477" s="8">
        <v>43848.68613425926</v>
      </c>
      <c r="B477" s="9" t="str">
        <f>HYPERLINK("https://twitter.com/TrueNorthHR","@TrueNorthHR")</f>
        <v>@TrueNorthHR</v>
      </c>
      <c r="C477" s="10" t="s">
        <v>2208</v>
      </c>
      <c r="D477" s="10" t="s">
        <v>2209</v>
      </c>
      <c r="E477" s="9" t="str">
        <f>HYPERLINK("https://twitter.com/TrueNorthHR/status/1218646253967495173","1218646253967495173")</f>
        <v>1218646253967495173</v>
      </c>
      <c r="F477" s="11" t="s">
        <v>2210</v>
      </c>
      <c r="G477" s="11" t="s">
        <v>2211</v>
      </c>
      <c r="H477" s="13"/>
      <c r="I477" s="14">
        <v>0.0</v>
      </c>
      <c r="J477" s="14">
        <v>0.0</v>
      </c>
      <c r="K477" s="9" t="str">
        <f>HYPERLINK("https://buffer.com","Buffer")</f>
        <v>Buffer</v>
      </c>
      <c r="L477" s="15">
        <v>36.0</v>
      </c>
      <c r="M477" s="15">
        <v>160.0</v>
      </c>
      <c r="N477" s="15">
        <v>1.0</v>
      </c>
      <c r="O477" s="16"/>
      <c r="P477" s="17">
        <v>43798.578055555554</v>
      </c>
      <c r="Q477" s="10" t="s">
        <v>245</v>
      </c>
      <c r="R477" s="10" t="s">
        <v>2212</v>
      </c>
      <c r="S477" s="11" t="s">
        <v>2213</v>
      </c>
      <c r="T477" s="13"/>
      <c r="U477" s="18" t="str">
        <f>HYPERLINK("https://pbs.twimg.com/profile_images/1200489124110721024/dToS69s3.jpg","View")</f>
        <v>View</v>
      </c>
      <c r="V477" s="13"/>
      <c r="W477" s="13"/>
      <c r="X477" s="13"/>
      <c r="Y477" s="13"/>
      <c r="Z477" s="13"/>
    </row>
    <row r="478">
      <c r="A478" s="8">
        <v>43848.68583333334</v>
      </c>
      <c r="B478" s="9" t="str">
        <f>HYPERLINK("https://twitter.com/TimRecovery","@TimRecovery")</f>
        <v>@TimRecovery</v>
      </c>
      <c r="C478" s="10" t="s">
        <v>2214</v>
      </c>
      <c r="D478" s="10" t="s">
        <v>2215</v>
      </c>
      <c r="E478" s="9" t="str">
        <f>HYPERLINK("https://twitter.com/TimRecovery/status/1218646141866139648","1218646141866139648")</f>
        <v>1218646141866139648</v>
      </c>
      <c r="F478" s="11" t="s">
        <v>2216</v>
      </c>
      <c r="G478" s="13"/>
      <c r="H478" s="13"/>
      <c r="I478" s="14">
        <v>0.0</v>
      </c>
      <c r="J478" s="14">
        <v>0.0</v>
      </c>
      <c r="K478" s="9" t="str">
        <f>HYPERLINK("http://twitter.com","Twitter Web Client")</f>
        <v>Twitter Web Client</v>
      </c>
      <c r="L478" s="15">
        <v>553.0</v>
      </c>
      <c r="M478" s="15">
        <v>1090.0</v>
      </c>
      <c r="N478" s="15">
        <v>7.0</v>
      </c>
      <c r="O478" s="16"/>
      <c r="P478" s="17">
        <v>41334.6859375</v>
      </c>
      <c r="Q478" s="10" t="s">
        <v>1182</v>
      </c>
      <c r="R478" s="10" t="s">
        <v>2217</v>
      </c>
      <c r="S478" s="11" t="s">
        <v>2218</v>
      </c>
      <c r="T478" s="13"/>
      <c r="U478" s="18" t="str">
        <f>HYPERLINK("https://pbs.twimg.com/profile_images/980489621820723200/AGAEhmnU.jpg","View")</f>
        <v>View</v>
      </c>
      <c r="V478" s="13"/>
      <c r="W478" s="13"/>
      <c r="X478" s="13"/>
      <c r="Y478" s="13"/>
      <c r="Z478" s="13"/>
    </row>
    <row r="479">
      <c r="A479" s="8">
        <v>43848.685636574075</v>
      </c>
      <c r="B479" s="9" t="str">
        <f>HYPERLINK("https://twitter.com/ReMaxSarasota","@ReMaxSarasota")</f>
        <v>@ReMaxSarasota</v>
      </c>
      <c r="C479" s="10" t="s">
        <v>2219</v>
      </c>
      <c r="D479" s="10" t="s">
        <v>2220</v>
      </c>
      <c r="E479" s="9" t="str">
        <f>HYPERLINK("https://twitter.com/ReMaxSarasota/status/1218646073780162560","1218646073780162560")</f>
        <v>1218646073780162560</v>
      </c>
      <c r="F479" s="11" t="s">
        <v>2221</v>
      </c>
      <c r="G479" s="11" t="s">
        <v>2222</v>
      </c>
      <c r="H479" s="13"/>
      <c r="I479" s="14">
        <v>0.0</v>
      </c>
      <c r="J479" s="14">
        <v>0.0</v>
      </c>
      <c r="K479" s="9" t="str">
        <f>HYPERLINK("https://www.corelistingmachine.com/","CORE ListingMachine")</f>
        <v>CORE ListingMachine</v>
      </c>
      <c r="L479" s="15">
        <v>315.0</v>
      </c>
      <c r="M479" s="15">
        <v>474.0</v>
      </c>
      <c r="N479" s="15">
        <v>38.0</v>
      </c>
      <c r="O479" s="16"/>
      <c r="P479" s="17">
        <v>41913.72292824074</v>
      </c>
      <c r="Q479" s="10" t="s">
        <v>2223</v>
      </c>
      <c r="R479" s="10" t="s">
        <v>2224</v>
      </c>
      <c r="S479" s="11" t="s">
        <v>2225</v>
      </c>
      <c r="T479" s="13"/>
      <c r="U479" s="18" t="str">
        <f>HYPERLINK("https://pbs.twimg.com/profile_images/519139584471359489/UU1Hg3PK.jpeg","View")</f>
        <v>View</v>
      </c>
      <c r="V479" s="13"/>
      <c r="W479" s="13"/>
      <c r="X479" s="13"/>
      <c r="Y479" s="13"/>
      <c r="Z479" s="13"/>
    </row>
    <row r="480">
      <c r="A480" s="8">
        <v>43848.68560185185</v>
      </c>
      <c r="B480" s="9" t="str">
        <f>HYPERLINK("https://twitter.com/MentalHGaming","@MentalHGaming")</f>
        <v>@MentalHGaming</v>
      </c>
      <c r="C480" s="10" t="s">
        <v>2226</v>
      </c>
      <c r="D480" s="10" t="s">
        <v>2227</v>
      </c>
      <c r="E480" s="9" t="str">
        <f>HYPERLINK("https://twitter.com/MentalHGaming/status/1218646060979101698","1218646060979101698")</f>
        <v>1218646060979101698</v>
      </c>
      <c r="F480" s="13"/>
      <c r="G480" s="11" t="s">
        <v>2228</v>
      </c>
      <c r="H480" s="13"/>
      <c r="I480" s="14">
        <v>0.0</v>
      </c>
      <c r="J480" s="14">
        <v>2.0</v>
      </c>
      <c r="K480" s="9" t="str">
        <f>HYPERLINK("https://mobile.twitter.com","Twitter Web App")</f>
        <v>Twitter Web App</v>
      </c>
      <c r="L480" s="15">
        <v>280.0</v>
      </c>
      <c r="M480" s="15">
        <v>384.0</v>
      </c>
      <c r="N480" s="15">
        <v>1.0</v>
      </c>
      <c r="O480" s="16"/>
      <c r="P480" s="17">
        <v>43024.27854166667</v>
      </c>
      <c r="Q480" s="10" t="s">
        <v>1324</v>
      </c>
      <c r="R480" s="10" t="s">
        <v>2229</v>
      </c>
      <c r="S480" s="11" t="s">
        <v>2230</v>
      </c>
      <c r="T480" s="13"/>
      <c r="U480" s="18" t="str">
        <f>HYPERLINK("https://pbs.twimg.com/profile_images/996436229980868608/gB8Ksu9F.jpg","View")</f>
        <v>View</v>
      </c>
      <c r="V480" s="13"/>
      <c r="W480" s="13"/>
      <c r="X480" s="13"/>
      <c r="Y480" s="13"/>
      <c r="Z480" s="13"/>
    </row>
    <row r="481">
      <c r="A481" s="8">
        <v>43848.68512731481</v>
      </c>
      <c r="B481" s="9" t="str">
        <f>HYPERLINK("https://twitter.com/DrLisageraghty","@DrLisageraghty")</f>
        <v>@DrLisageraghty</v>
      </c>
      <c r="C481" s="10" t="s">
        <v>2231</v>
      </c>
      <c r="D481" s="10" t="s">
        <v>2232</v>
      </c>
      <c r="E481" s="9" t="str">
        <f>HYPERLINK("https://twitter.com/DrLisageraghty/status/1218645885770440709","1218645885770440709")</f>
        <v>1218645885770440709</v>
      </c>
      <c r="F481" s="11" t="s">
        <v>2233</v>
      </c>
      <c r="G481" s="10" t="s">
        <v>2234</v>
      </c>
      <c r="H481" s="13"/>
      <c r="I481" s="14">
        <v>0.0</v>
      </c>
      <c r="J481" s="14">
        <v>0.0</v>
      </c>
      <c r="K481" s="9" t="str">
        <f>HYPERLINK("http://twitter.com/download/iphone","Twitter for iPhone")</f>
        <v>Twitter for iPhone</v>
      </c>
      <c r="L481" s="15">
        <v>614.0</v>
      </c>
      <c r="M481" s="15">
        <v>2089.0</v>
      </c>
      <c r="N481" s="15">
        <v>11.0</v>
      </c>
      <c r="O481" s="16"/>
      <c r="P481" s="17">
        <v>42549.3458912037</v>
      </c>
      <c r="Q481" s="10" t="s">
        <v>2235</v>
      </c>
      <c r="R481" s="10" t="s">
        <v>2236</v>
      </c>
      <c r="S481" s="11" t="s">
        <v>2237</v>
      </c>
      <c r="T481" s="13"/>
      <c r="U481" s="18" t="str">
        <f>HYPERLINK("https://pbs.twimg.com/profile_images/747769081756004352/BeMpfSe_.jpg","View")</f>
        <v>View</v>
      </c>
      <c r="V481" s="13"/>
      <c r="W481" s="13"/>
      <c r="X481" s="13"/>
      <c r="Y481" s="13"/>
      <c r="Z481" s="13"/>
    </row>
    <row r="482">
      <c r="A482" s="8">
        <v>43848.68435185185</v>
      </c>
      <c r="B482" s="9" t="str">
        <f>HYPERLINK("https://twitter.com/NESTLeeds","@NESTLeeds")</f>
        <v>@NESTLeeds</v>
      </c>
      <c r="C482" s="10" t="s">
        <v>2238</v>
      </c>
      <c r="D482" s="10" t="s">
        <v>2239</v>
      </c>
      <c r="E482" s="9" t="str">
        <f>HYPERLINK("https://twitter.com/NESTLeeds/status/1218645605951660036","1218645605951660036")</f>
        <v>1218645605951660036</v>
      </c>
      <c r="F482" s="13"/>
      <c r="G482" s="11" t="s">
        <v>2240</v>
      </c>
      <c r="H482" s="13"/>
      <c r="I482" s="14">
        <v>1.0</v>
      </c>
      <c r="J482" s="14">
        <v>1.0</v>
      </c>
      <c r="K482" s="9" t="str">
        <f>HYPERLINK("https://mobile.twitter.com","Twitter Web App")</f>
        <v>Twitter Web App</v>
      </c>
      <c r="L482" s="15">
        <v>235.0</v>
      </c>
      <c r="M482" s="15">
        <v>777.0</v>
      </c>
      <c r="N482" s="15">
        <v>2.0</v>
      </c>
      <c r="O482" s="16"/>
      <c r="P482" s="17">
        <v>43535.67597222222</v>
      </c>
      <c r="Q482" s="10" t="s">
        <v>2241</v>
      </c>
      <c r="R482" s="10" t="s">
        <v>2242</v>
      </c>
      <c r="S482" s="11" t="s">
        <v>2243</v>
      </c>
      <c r="T482" s="13"/>
      <c r="U482" s="18" t="str">
        <f>HYPERLINK("https://pbs.twimg.com/profile_images/1119559601165406208/FrjQKjn1.png","View")</f>
        <v>View</v>
      </c>
      <c r="V482" s="13"/>
      <c r="W482" s="13"/>
      <c r="X482" s="13"/>
      <c r="Y482" s="13"/>
      <c r="Z482" s="13"/>
    </row>
    <row r="483">
      <c r="A483" s="8">
        <v>43848.684224537035</v>
      </c>
      <c r="B483" s="9" t="str">
        <f>HYPERLINK("https://twitter.com/JacquiLearoyd","@JacquiLearoyd")</f>
        <v>@JacquiLearoyd</v>
      </c>
      <c r="C483" s="10" t="s">
        <v>2244</v>
      </c>
      <c r="D483" s="10" t="s">
        <v>2245</v>
      </c>
      <c r="E483" s="9" t="str">
        <f>HYPERLINK("https://twitter.com/JacquiLearoyd/status/1218645560036601856","1218645560036601856")</f>
        <v>1218645560036601856</v>
      </c>
      <c r="F483" s="10" t="s">
        <v>2246</v>
      </c>
      <c r="G483" s="11" t="s">
        <v>2247</v>
      </c>
      <c r="H483" s="13"/>
      <c r="I483" s="14">
        <v>0.0</v>
      </c>
      <c r="J483" s="14">
        <v>4.0</v>
      </c>
      <c r="K483" s="9" t="str">
        <f>HYPERLINK("http://twitter.com/download/iphone","Twitter for iPhone")</f>
        <v>Twitter for iPhone</v>
      </c>
      <c r="L483" s="15">
        <v>500.0</v>
      </c>
      <c r="M483" s="15">
        <v>301.0</v>
      </c>
      <c r="N483" s="15">
        <v>1.0</v>
      </c>
      <c r="O483" s="16"/>
      <c r="P483" s="17">
        <v>43685.58770833333</v>
      </c>
      <c r="Q483" s="10" t="s">
        <v>2248</v>
      </c>
      <c r="R483" s="10" t="s">
        <v>2249</v>
      </c>
      <c r="S483" s="13"/>
      <c r="T483" s="13"/>
      <c r="U483" s="18" t="str">
        <f>HYPERLINK("https://pbs.twimg.com/profile_images/1192556765365362689/cnfrHy1N.jpg","View")</f>
        <v>View</v>
      </c>
      <c r="V483" s="13"/>
      <c r="W483" s="13"/>
      <c r="X483" s="13"/>
      <c r="Y483" s="13"/>
      <c r="Z483" s="13"/>
    </row>
    <row r="484">
      <c r="A484" s="8">
        <v>43848.684120370366</v>
      </c>
      <c r="B484" s="9" t="str">
        <f>HYPERLINK("https://twitter.com/melanieabas","@melanieabas")</f>
        <v>@melanieabas</v>
      </c>
      <c r="C484" s="10" t="s">
        <v>2250</v>
      </c>
      <c r="D484" s="10" t="s">
        <v>2251</v>
      </c>
      <c r="E484" s="9" t="str">
        <f>HYPERLINK("https://twitter.com/melanieabas/status/1218645522636005376","1218645522636005376")</f>
        <v>1218645522636005376</v>
      </c>
      <c r="F484" s="11" t="s">
        <v>2252</v>
      </c>
      <c r="G484" s="11" t="s">
        <v>2253</v>
      </c>
      <c r="H484" s="13"/>
      <c r="I484" s="14">
        <v>3.0</v>
      </c>
      <c r="J484" s="14">
        <v>11.0</v>
      </c>
      <c r="K484" s="9" t="str">
        <f>HYPERLINK("https://mobile.twitter.com","Twitter Web App")</f>
        <v>Twitter Web App</v>
      </c>
      <c r="L484" s="15">
        <v>2244.0</v>
      </c>
      <c r="M484" s="15">
        <v>976.0</v>
      </c>
      <c r="N484" s="15">
        <v>44.0</v>
      </c>
      <c r="O484" s="16"/>
      <c r="P484" s="17">
        <v>40530.42240740741</v>
      </c>
      <c r="Q484" s="10" t="s">
        <v>2254</v>
      </c>
      <c r="R484" s="10" t="s">
        <v>2255</v>
      </c>
      <c r="S484" s="11" t="s">
        <v>2256</v>
      </c>
      <c r="T484" s="13"/>
      <c r="U484" s="18" t="str">
        <f>HYPERLINK("https://pbs.twimg.com/profile_images/500367428165980161/8AU8tbx1.jpeg","View")</f>
        <v>View</v>
      </c>
      <c r="V484" s="13"/>
      <c r="W484" s="13"/>
      <c r="X484" s="13"/>
      <c r="Y484" s="13"/>
      <c r="Z484" s="13"/>
    </row>
    <row r="485">
      <c r="A485" s="8">
        <v>43848.68409722223</v>
      </c>
      <c r="B485" s="9" t="str">
        <f>HYPERLINK("https://twitter.com/clarrouge","@clarrouge")</f>
        <v>@clarrouge</v>
      </c>
      <c r="C485" s="10" t="s">
        <v>2257</v>
      </c>
      <c r="D485" s="10" t="s">
        <v>2258</v>
      </c>
      <c r="E485" s="9" t="str">
        <f>HYPERLINK("https://twitter.com/clarrouge/status/1218645512657784833","1218645512657784833")</f>
        <v>1218645512657784833</v>
      </c>
      <c r="F485" s="11" t="s">
        <v>2259</v>
      </c>
      <c r="G485" s="13"/>
      <c r="H485" s="13"/>
      <c r="I485" s="14">
        <v>0.0</v>
      </c>
      <c r="J485" s="14">
        <v>1.0</v>
      </c>
      <c r="K485" s="9" t="str">
        <f>HYPERLINK("http://twitter.com","Twitter Web Client")</f>
        <v>Twitter Web Client</v>
      </c>
      <c r="L485" s="15">
        <v>340.0</v>
      </c>
      <c r="M485" s="15">
        <v>3304.0</v>
      </c>
      <c r="N485" s="15">
        <v>0.0</v>
      </c>
      <c r="O485" s="16"/>
      <c r="P485" s="17">
        <v>43804.3515625</v>
      </c>
      <c r="Q485" s="13"/>
      <c r="R485" s="10" t="s">
        <v>2260</v>
      </c>
      <c r="S485" s="11" t="s">
        <v>2261</v>
      </c>
      <c r="T485" s="13"/>
      <c r="U485" s="18" t="str">
        <f>HYPERLINK("https://pbs.twimg.com/profile_images/1211756219498745857/5X2mVXIB.jpg","View")</f>
        <v>View</v>
      </c>
      <c r="V485" s="13"/>
      <c r="W485" s="13"/>
      <c r="X485" s="13"/>
      <c r="Y485" s="13"/>
      <c r="Z485" s="13"/>
    </row>
    <row r="486">
      <c r="A486" s="8">
        <v>43848.68208333333</v>
      </c>
      <c r="B486" s="9" t="str">
        <f>HYPERLINK("https://twitter.com/MHA0582","@MHA0582")</f>
        <v>@MHA0582</v>
      </c>
      <c r="C486" s="10" t="s">
        <v>2262</v>
      </c>
      <c r="D486" s="10" t="s">
        <v>2263</v>
      </c>
      <c r="E486" s="9" t="str">
        <f>HYPERLINK("https://twitter.com/MHA0582/status/1218644782475550720","1218644782475550720")</f>
        <v>1218644782475550720</v>
      </c>
      <c r="F486" s="13"/>
      <c r="G486" s="11" t="s">
        <v>2264</v>
      </c>
      <c r="H486" s="13"/>
      <c r="I486" s="14">
        <v>0.0</v>
      </c>
      <c r="J486" s="14">
        <v>8.0</v>
      </c>
      <c r="K486" s="9" t="str">
        <f>HYPERLINK("http://twitter.com/download/android","Twitter for Android")</f>
        <v>Twitter for Android</v>
      </c>
      <c r="L486" s="15">
        <v>5099.0</v>
      </c>
      <c r="M486" s="15">
        <v>5079.0</v>
      </c>
      <c r="N486" s="15">
        <v>24.0</v>
      </c>
      <c r="O486" s="16"/>
      <c r="P486" s="17">
        <v>42776.421053240745</v>
      </c>
      <c r="Q486" s="10" t="s">
        <v>2265</v>
      </c>
      <c r="R486" s="10" t="s">
        <v>2266</v>
      </c>
      <c r="S486" s="11" t="s">
        <v>2267</v>
      </c>
      <c r="T486" s="13"/>
      <c r="U486" s="18" t="str">
        <f>HYPERLINK("https://pbs.twimg.com/profile_images/1194240134117515270/1egRUMHv.jpg","View")</f>
        <v>View</v>
      </c>
      <c r="V486" s="13"/>
      <c r="W486" s="13"/>
      <c r="X486" s="13"/>
      <c r="Y486" s="13"/>
      <c r="Z486" s="13"/>
    </row>
    <row r="487">
      <c r="A487" s="8">
        <v>43848.68172453703</v>
      </c>
      <c r="B487" s="9" t="str">
        <f>HYPERLINK("https://twitter.com/BeachRights4All","@BeachRights4All")</f>
        <v>@BeachRights4All</v>
      </c>
      <c r="C487" s="10" t="s">
        <v>1902</v>
      </c>
      <c r="D487" s="10" t="s">
        <v>2268</v>
      </c>
      <c r="E487" s="9" t="str">
        <f>HYPERLINK("https://twitter.com/BeachRights4All/status/1218644655086039040","1218644655086039040")</f>
        <v>1218644655086039040</v>
      </c>
      <c r="F487" s="11" t="s">
        <v>2269</v>
      </c>
      <c r="G487" s="11" t="s">
        <v>2270</v>
      </c>
      <c r="H487" s="13"/>
      <c r="I487" s="14">
        <v>0.0</v>
      </c>
      <c r="J487" s="14">
        <v>1.0</v>
      </c>
      <c r="K487" s="9" t="str">
        <f>HYPERLINK("http://twitter.com/download/iphone","Twitter for iPhone")</f>
        <v>Twitter for iPhone</v>
      </c>
      <c r="L487" s="15">
        <v>3540.0</v>
      </c>
      <c r="M487" s="15">
        <v>3860.0</v>
      </c>
      <c r="N487" s="15">
        <v>62.0</v>
      </c>
      <c r="O487" s="16"/>
      <c r="P487" s="17">
        <v>39954.6512037037</v>
      </c>
      <c r="Q487" s="10" t="s">
        <v>1906</v>
      </c>
      <c r="R487" s="10" t="s">
        <v>1907</v>
      </c>
      <c r="S487" s="13"/>
      <c r="T487" s="13"/>
      <c r="U487" s="18" t="str">
        <f>HYPERLINK("https://pbs.twimg.com/profile_images/912208578299039744/eVgl-5M9.jpg","View")</f>
        <v>View</v>
      </c>
      <c r="V487" s="13"/>
      <c r="W487" s="13"/>
      <c r="X487" s="13"/>
      <c r="Y487" s="13"/>
      <c r="Z487" s="13"/>
    </row>
    <row r="488">
      <c r="A488" s="8">
        <v>43848.68163194445</v>
      </c>
      <c r="B488" s="9" t="str">
        <f>HYPERLINK("https://twitter.com/briancanavan1","@briancanavan1")</f>
        <v>@briancanavan1</v>
      </c>
      <c r="C488" s="10" t="s">
        <v>2271</v>
      </c>
      <c r="D488" s="10" t="s">
        <v>2272</v>
      </c>
      <c r="E488" s="9" t="str">
        <f>HYPERLINK("https://twitter.com/briancanavan1/status/1218644621242310656","1218644621242310656")</f>
        <v>1218644621242310656</v>
      </c>
      <c r="F488" s="11" t="s">
        <v>2273</v>
      </c>
      <c r="G488" s="11" t="s">
        <v>2274</v>
      </c>
      <c r="H488" s="13"/>
      <c r="I488" s="14">
        <v>2.0</v>
      </c>
      <c r="J488" s="14">
        <v>3.0</v>
      </c>
      <c r="K488" s="9" t="str">
        <f>HYPERLINK("http://twitter.com/download/android","Twitter for Android")</f>
        <v>Twitter for Android</v>
      </c>
      <c r="L488" s="15">
        <v>548.0</v>
      </c>
      <c r="M488" s="15">
        <v>442.0</v>
      </c>
      <c r="N488" s="15">
        <v>1.0</v>
      </c>
      <c r="O488" s="16"/>
      <c r="P488" s="17">
        <v>40686.46528935185</v>
      </c>
      <c r="Q488" s="10" t="s">
        <v>1116</v>
      </c>
      <c r="R488" s="10" t="s">
        <v>2275</v>
      </c>
      <c r="S488" s="11" t="s">
        <v>2276</v>
      </c>
      <c r="T488" s="13"/>
      <c r="U488" s="18" t="str">
        <f>HYPERLINK("https://pbs.twimg.com/profile_images/1159009330156494848/2QqjOOQv.jpg","View")</f>
        <v>View</v>
      </c>
      <c r="V488" s="13"/>
      <c r="W488" s="13"/>
      <c r="X488" s="13"/>
      <c r="Y488" s="13"/>
      <c r="Z488" s="13"/>
    </row>
    <row r="489">
      <c r="A489" s="8">
        <v>43848.6812037037</v>
      </c>
      <c r="B489" s="9" t="str">
        <f>HYPERLINK("https://twitter.com/DrShannaK","@DrShannaK")</f>
        <v>@DrShannaK</v>
      </c>
      <c r="C489" s="10" t="s">
        <v>2277</v>
      </c>
      <c r="D489" s="10" t="s">
        <v>2278</v>
      </c>
      <c r="E489" s="9" t="str">
        <f>HYPERLINK("https://twitter.com/DrShannaK/status/1218644464836730880","1218644464836730880")</f>
        <v>1218644464836730880</v>
      </c>
      <c r="F489" s="13"/>
      <c r="G489" s="11" t="s">
        <v>2279</v>
      </c>
      <c r="H489" s="13"/>
      <c r="I489" s="14">
        <v>0.0</v>
      </c>
      <c r="J489" s="14">
        <v>1.0</v>
      </c>
      <c r="K489" s="9" t="str">
        <f>HYPERLINK("http://twitter.com/download/iphone","Twitter for iPhone")</f>
        <v>Twitter for iPhone</v>
      </c>
      <c r="L489" s="15">
        <v>3540.0</v>
      </c>
      <c r="M489" s="15">
        <v>662.0</v>
      </c>
      <c r="N489" s="15">
        <v>254.0</v>
      </c>
      <c r="O489" s="16"/>
      <c r="P489" s="17">
        <v>39573.96108796296</v>
      </c>
      <c r="Q489" s="10" t="s">
        <v>2280</v>
      </c>
      <c r="R489" s="10" t="s">
        <v>2281</v>
      </c>
      <c r="S489" s="11" t="s">
        <v>2282</v>
      </c>
      <c r="T489" s="13"/>
      <c r="U489" s="18" t="str">
        <f>HYPERLINK("https://pbs.twimg.com/profile_images/1087382173416636417/jN0gzAR_.jpg","View")</f>
        <v>View</v>
      </c>
      <c r="V489" s="13"/>
      <c r="W489" s="13"/>
      <c r="X489" s="13"/>
      <c r="Y489" s="13"/>
      <c r="Z489" s="13"/>
    </row>
    <row r="490">
      <c r="A490" s="8">
        <v>43848.68082175926</v>
      </c>
      <c r="B490" s="9" t="str">
        <f>HYPERLINK("https://twitter.com/HisImage1","@HisImage1")</f>
        <v>@HisImage1</v>
      </c>
      <c r="C490" s="10" t="s">
        <v>2283</v>
      </c>
      <c r="D490" s="10" t="s">
        <v>2284</v>
      </c>
      <c r="E490" s="9" t="str">
        <f>HYPERLINK("https://twitter.com/HisImage1/status/1218644326663827460","1218644326663827460")</f>
        <v>1218644326663827460</v>
      </c>
      <c r="F490" s="11" t="s">
        <v>2285</v>
      </c>
      <c r="G490" s="13"/>
      <c r="H490" s="13"/>
      <c r="I490" s="14">
        <v>1.0</v>
      </c>
      <c r="J490" s="14">
        <v>0.0</v>
      </c>
      <c r="K490" s="9" t="str">
        <f>HYPERLINK("http://instagram.com","Instagram")</f>
        <v>Instagram</v>
      </c>
      <c r="L490" s="15">
        <v>51.0</v>
      </c>
      <c r="M490" s="15">
        <v>159.0</v>
      </c>
      <c r="N490" s="15">
        <v>19.0</v>
      </c>
      <c r="O490" s="16"/>
      <c r="P490" s="17">
        <v>42156.16950231481</v>
      </c>
      <c r="Q490" s="10" t="s">
        <v>2286</v>
      </c>
      <c r="R490" s="10" t="s">
        <v>2287</v>
      </c>
      <c r="S490" s="11" t="s">
        <v>2288</v>
      </c>
      <c r="T490" s="13"/>
      <c r="U490" s="18" t="str">
        <f>HYPERLINK("https://pbs.twimg.com/profile_images/1215433607294025733/fDXx5re9.jpg","View")</f>
        <v>View</v>
      </c>
      <c r="V490" s="13"/>
      <c r="W490" s="13"/>
      <c r="X490" s="13"/>
      <c r="Y490" s="13"/>
      <c r="Z490" s="13"/>
    </row>
    <row r="491">
      <c r="A491" s="8">
        <v>43848.680601851855</v>
      </c>
      <c r="B491" s="9" t="str">
        <f>HYPERLINK("https://twitter.com/paulwalters1989","@paulwalters1989")</f>
        <v>@paulwalters1989</v>
      </c>
      <c r="C491" s="10" t="s">
        <v>2289</v>
      </c>
      <c r="D491" s="10" t="s">
        <v>2290</v>
      </c>
      <c r="E491" s="9" t="str">
        <f>HYPERLINK("https://twitter.com/paulwalters1989/status/1218644248867885056","1218644248867885056")</f>
        <v>1218644248867885056</v>
      </c>
      <c r="F491" s="11" t="s">
        <v>2291</v>
      </c>
      <c r="G491" s="13"/>
      <c r="H491" s="13"/>
      <c r="I491" s="14">
        <v>0.0</v>
      </c>
      <c r="J491" s="14">
        <v>0.0</v>
      </c>
      <c r="K491" s="9" t="str">
        <f>HYPERLINK("http://apps.twitter.com","Twitty4Paul")</f>
        <v>Twitty4Paul</v>
      </c>
      <c r="L491" s="15">
        <v>4326.0</v>
      </c>
      <c r="M491" s="15">
        <v>4982.0</v>
      </c>
      <c r="N491" s="15">
        <v>49.0</v>
      </c>
      <c r="O491" s="16"/>
      <c r="P491" s="17">
        <v>41611.30431712963</v>
      </c>
      <c r="Q491" s="10" t="s">
        <v>2292</v>
      </c>
      <c r="R491" s="10" t="s">
        <v>2293</v>
      </c>
      <c r="S491" s="11" t="s">
        <v>2294</v>
      </c>
      <c r="T491" s="13"/>
      <c r="U491" s="18" t="str">
        <f>HYPERLINK("https://pbs.twimg.com/profile_images/985150024278568960/R49sDFmD.jpg","View")</f>
        <v>View</v>
      </c>
      <c r="V491" s="13"/>
      <c r="W491" s="13"/>
      <c r="X491" s="13"/>
      <c r="Y491" s="13"/>
      <c r="Z491" s="13"/>
    </row>
    <row r="492">
      <c r="A492" s="8">
        <v>43848.68025462963</v>
      </c>
      <c r="B492" s="9" t="str">
        <f>HYPERLINK("https://twitter.com/theresaboyle","@theresaboyle")</f>
        <v>@theresaboyle</v>
      </c>
      <c r="C492" s="10" t="s">
        <v>2295</v>
      </c>
      <c r="D492" s="10" t="s">
        <v>2296</v>
      </c>
      <c r="E492" s="9" t="str">
        <f>HYPERLINK("https://twitter.com/theresaboyle/status/1218644121004445696","1218644121004445696")</f>
        <v>1218644121004445696</v>
      </c>
      <c r="F492" s="10" t="s">
        <v>2297</v>
      </c>
      <c r="G492" s="13"/>
      <c r="H492" s="13"/>
      <c r="I492" s="14">
        <v>1.0</v>
      </c>
      <c r="J492" s="14">
        <v>3.0</v>
      </c>
      <c r="K492" s="9" t="str">
        <f>HYPERLINK("http://twitter.com/#!/download/ipad","Twitter for iPad")</f>
        <v>Twitter for iPad</v>
      </c>
      <c r="L492" s="15">
        <v>14808.0</v>
      </c>
      <c r="M492" s="15">
        <v>1764.0</v>
      </c>
      <c r="N492" s="15">
        <v>395.0</v>
      </c>
      <c r="O492" s="21" t="s">
        <v>522</v>
      </c>
      <c r="P492" s="17">
        <v>39938.443032407406</v>
      </c>
      <c r="Q492" s="10" t="s">
        <v>2298</v>
      </c>
      <c r="R492" s="10" t="s">
        <v>2299</v>
      </c>
      <c r="S492" s="11" t="s">
        <v>2300</v>
      </c>
      <c r="T492" s="13"/>
      <c r="U492" s="18" t="str">
        <f>HYPERLINK("https://pbs.twimg.com/profile_images/622201916009918464/oPC1_aPv.jpg","View")</f>
        <v>View</v>
      </c>
      <c r="V492" s="13"/>
      <c r="W492" s="13"/>
      <c r="X492" s="13"/>
      <c r="Y492" s="13"/>
      <c r="Z492" s="13"/>
    </row>
    <row r="493">
      <c r="A493" s="8">
        <v>43848.680138888885</v>
      </c>
      <c r="B493" s="9" t="str">
        <f>HYPERLINK("https://twitter.com/looby_loo72","@looby_loo72")</f>
        <v>@looby_loo72</v>
      </c>
      <c r="C493" s="10" t="s">
        <v>2301</v>
      </c>
      <c r="D493" s="10" t="s">
        <v>2302</v>
      </c>
      <c r="E493" s="9" t="str">
        <f>HYPERLINK("https://twitter.com/looby_loo72/status/1218644080235896832","1218644080235896832")</f>
        <v>1218644080235896832</v>
      </c>
      <c r="F493" s="13"/>
      <c r="G493" s="11" t="s">
        <v>2303</v>
      </c>
      <c r="H493" s="13"/>
      <c r="I493" s="14">
        <v>0.0</v>
      </c>
      <c r="J493" s="14">
        <v>2.0</v>
      </c>
      <c r="K493" s="9" t="str">
        <f t="shared" ref="K493:K494" si="61">HYPERLINK("http://twitter.com/download/iphone","Twitter for iPhone")</f>
        <v>Twitter for iPhone</v>
      </c>
      <c r="L493" s="15">
        <v>732.0</v>
      </c>
      <c r="M493" s="15">
        <v>770.0</v>
      </c>
      <c r="N493" s="15">
        <v>5.0</v>
      </c>
      <c r="O493" s="16"/>
      <c r="P493" s="17">
        <v>40965.71134259259</v>
      </c>
      <c r="Q493" s="10" t="s">
        <v>2304</v>
      </c>
      <c r="R493" s="10" t="s">
        <v>2305</v>
      </c>
      <c r="S493" s="13"/>
      <c r="T493" s="13"/>
      <c r="U493" s="18" t="str">
        <f>HYPERLINK("https://pbs.twimg.com/profile_images/1216362525320798208/6OGlWGAo.jpg","View")</f>
        <v>View</v>
      </c>
      <c r="V493" s="13"/>
      <c r="W493" s="13"/>
      <c r="X493" s="13"/>
      <c r="Y493" s="13"/>
      <c r="Z493" s="13"/>
    </row>
    <row r="494">
      <c r="A494" s="8">
        <v>43848.67983796296</v>
      </c>
      <c r="B494" s="9" t="str">
        <f>HYPERLINK("https://twitter.com/finding_heather","@finding_heather")</f>
        <v>@finding_heather</v>
      </c>
      <c r="C494" s="10" t="s">
        <v>2306</v>
      </c>
      <c r="D494" s="10" t="s">
        <v>2307</v>
      </c>
      <c r="E494" s="9" t="str">
        <f>HYPERLINK("https://twitter.com/finding_heather/status/1218643972102545408","1218643972102545408")</f>
        <v>1218643972102545408</v>
      </c>
      <c r="F494" s="11" t="s">
        <v>2308</v>
      </c>
      <c r="G494" s="13"/>
      <c r="H494" s="13"/>
      <c r="I494" s="14">
        <v>0.0</v>
      </c>
      <c r="J494" s="14">
        <v>0.0</v>
      </c>
      <c r="K494" s="9" t="str">
        <f t="shared" si="61"/>
        <v>Twitter for iPhone</v>
      </c>
      <c r="L494" s="15">
        <v>856.0</v>
      </c>
      <c r="M494" s="15">
        <v>1063.0</v>
      </c>
      <c r="N494" s="15">
        <v>4.0</v>
      </c>
      <c r="O494" s="16"/>
      <c r="P494" s="17">
        <v>43732.694247685184</v>
      </c>
      <c r="Q494" s="13"/>
      <c r="R494" s="10" t="s">
        <v>2309</v>
      </c>
      <c r="S494" s="11" t="s">
        <v>2310</v>
      </c>
      <c r="T494" s="13"/>
      <c r="U494" s="18" t="str">
        <f>HYPERLINK("https://pbs.twimg.com/profile_images/1176597287885320192/fKx0PvHj.jpg","View")</f>
        <v>View</v>
      </c>
      <c r="V494" s="13"/>
      <c r="W494" s="13"/>
      <c r="X494" s="13"/>
      <c r="Y494" s="13"/>
      <c r="Z494" s="13"/>
    </row>
    <row r="495">
      <c r="A495" s="8">
        <v>43848.67946759259</v>
      </c>
      <c r="B495" s="9" t="str">
        <f>HYPERLINK("https://twitter.com/LuluDigitale","@LuluDigitale")</f>
        <v>@LuluDigitale</v>
      </c>
      <c r="C495" s="10" t="s">
        <v>2311</v>
      </c>
      <c r="D495" s="10" t="s">
        <v>2312</v>
      </c>
      <c r="E495" s="9" t="str">
        <f>HYPERLINK("https://twitter.com/LuluDigitale/status/1218643834080579584","1218643834080579584")</f>
        <v>1218643834080579584</v>
      </c>
      <c r="F495" s="11" t="s">
        <v>2313</v>
      </c>
      <c r="G495" s="13"/>
      <c r="H495" s="13"/>
      <c r="I495" s="14">
        <v>0.0</v>
      </c>
      <c r="J495" s="14">
        <v>1.0</v>
      </c>
      <c r="K495" s="9" t="str">
        <f>HYPERLINK("https://mobile.twitter.com","Twitter Web App")</f>
        <v>Twitter Web App</v>
      </c>
      <c r="L495" s="15">
        <v>162.0</v>
      </c>
      <c r="M495" s="15">
        <v>135.0</v>
      </c>
      <c r="N495" s="15">
        <v>45.0</v>
      </c>
      <c r="O495" s="16"/>
      <c r="P495" s="17">
        <v>42302.268275462964</v>
      </c>
      <c r="Q495" s="10" t="s">
        <v>2314</v>
      </c>
      <c r="R495" s="10" t="s">
        <v>2315</v>
      </c>
      <c r="S495" s="11" t="s">
        <v>2316</v>
      </c>
      <c r="T495" s="13"/>
      <c r="U495" s="18" t="str">
        <f>HYPERLINK("https://pbs.twimg.com/profile_images/1095411859602243593/mvROvQ0u.jpg","View")</f>
        <v>View</v>
      </c>
      <c r="V495" s="13"/>
      <c r="W495" s="13"/>
      <c r="X495" s="13"/>
      <c r="Y495" s="13"/>
      <c r="Z495" s="13"/>
    </row>
    <row r="496">
      <c r="A496" s="8">
        <v>43848.67858796296</v>
      </c>
      <c r="B496" s="9" t="str">
        <f>HYPERLINK("https://twitter.com/IzabelMaciver","@IzabelMaciver")</f>
        <v>@IzabelMaciver</v>
      </c>
      <c r="C496" s="10" t="s">
        <v>2317</v>
      </c>
      <c r="D496" s="10" t="s">
        <v>2318</v>
      </c>
      <c r="E496" s="9" t="str">
        <f>HYPERLINK("https://twitter.com/IzabelMaciver/status/1218643518274535426","1218643518274535426")</f>
        <v>1218643518274535426</v>
      </c>
      <c r="F496" s="13"/>
      <c r="G496" s="13"/>
      <c r="H496" s="13"/>
      <c r="I496" s="14">
        <v>0.0</v>
      </c>
      <c r="J496" s="14">
        <v>1.0</v>
      </c>
      <c r="K496" s="9" t="str">
        <f>HYPERLINK("http://twitter.com/download/android","Twitter for Android")</f>
        <v>Twitter for Android</v>
      </c>
      <c r="L496" s="15">
        <v>53.0</v>
      </c>
      <c r="M496" s="15">
        <v>284.0</v>
      </c>
      <c r="N496" s="15">
        <v>0.0</v>
      </c>
      <c r="O496" s="16"/>
      <c r="P496" s="17">
        <v>43357.563576388886</v>
      </c>
      <c r="Q496" s="10" t="s">
        <v>161</v>
      </c>
      <c r="R496" s="13"/>
      <c r="S496" s="13"/>
      <c r="T496" s="13"/>
      <c r="U496" s="18" t="str">
        <f>HYPERLINK("https://pbs.twimg.com/profile_images/1040655567864389632/NpK9YdhL.jpg","View")</f>
        <v>View</v>
      </c>
      <c r="V496" s="13"/>
      <c r="W496" s="13"/>
      <c r="X496" s="13"/>
      <c r="Y496" s="13"/>
      <c r="Z496" s="13"/>
    </row>
    <row r="497">
      <c r="A497" s="8">
        <v>43848.67780092593</v>
      </c>
      <c r="B497" s="9" t="str">
        <f>HYPERLINK("https://twitter.com/Brathay","@Brathay")</f>
        <v>@Brathay</v>
      </c>
      <c r="C497" s="10" t="s">
        <v>2319</v>
      </c>
      <c r="D497" s="10" t="s">
        <v>2320</v>
      </c>
      <c r="E497" s="9" t="str">
        <f>HYPERLINK("https://twitter.com/Brathay/status/1218643232634044416","1218643232634044416")</f>
        <v>1218643232634044416</v>
      </c>
      <c r="F497" s="11" t="s">
        <v>2321</v>
      </c>
      <c r="G497" s="11" t="s">
        <v>2322</v>
      </c>
      <c r="H497" s="13"/>
      <c r="I497" s="14">
        <v>0.0</v>
      </c>
      <c r="J497" s="14">
        <v>0.0</v>
      </c>
      <c r="K497" s="9" t="str">
        <f>HYPERLINK("https://buffer.com","Buffer")</f>
        <v>Buffer</v>
      </c>
      <c r="L497" s="15">
        <v>5958.0</v>
      </c>
      <c r="M497" s="15">
        <v>1684.0</v>
      </c>
      <c r="N497" s="15">
        <v>192.0</v>
      </c>
      <c r="O497" s="21" t="s">
        <v>522</v>
      </c>
      <c r="P497" s="17">
        <v>39877.47269675926</v>
      </c>
      <c r="Q497" s="10" t="s">
        <v>2323</v>
      </c>
      <c r="R497" s="10" t="s">
        <v>2324</v>
      </c>
      <c r="S497" s="11" t="s">
        <v>2325</v>
      </c>
      <c r="T497" s="13"/>
      <c r="U497" s="18" t="str">
        <f>HYPERLINK("https://pbs.twimg.com/profile_images/903542308750204928/yY2uxLyU.jpg","View")</f>
        <v>View</v>
      </c>
      <c r="V497" s="13"/>
      <c r="W497" s="13"/>
      <c r="X497" s="13"/>
      <c r="Y497" s="13"/>
      <c r="Z497" s="13"/>
    </row>
    <row r="498">
      <c r="A498" s="8">
        <v>43848.677777777775</v>
      </c>
      <c r="B498" s="9" t="str">
        <f>HYPERLINK("https://twitter.com/ChatTogether","@ChatTogether")</f>
        <v>@ChatTogether</v>
      </c>
      <c r="C498" s="10" t="s">
        <v>2326</v>
      </c>
      <c r="D498" s="10" t="s">
        <v>2327</v>
      </c>
      <c r="E498" s="9" t="str">
        <f>HYPERLINK("https://twitter.com/ChatTogether/status/1218643222664286209","1218643222664286209")</f>
        <v>1218643222664286209</v>
      </c>
      <c r="F498" s="11" t="s">
        <v>2328</v>
      </c>
      <c r="G498" s="13"/>
      <c r="H498" s="13"/>
      <c r="I498" s="14">
        <v>3.0</v>
      </c>
      <c r="J498" s="14">
        <v>2.0</v>
      </c>
      <c r="K498" s="9" t="str">
        <f>HYPERLINK("https://about.twitter.com/products/tweetdeck","TweetDeck")</f>
        <v>TweetDeck</v>
      </c>
      <c r="L498" s="15">
        <v>1387.0</v>
      </c>
      <c r="M498" s="15">
        <v>1569.0</v>
      </c>
      <c r="N498" s="15">
        <v>55.0</v>
      </c>
      <c r="O498" s="16"/>
      <c r="P498" s="17">
        <v>41801.33769675926</v>
      </c>
      <c r="Q498" s="10" t="s">
        <v>2329</v>
      </c>
      <c r="R498" s="10" t="s">
        <v>2330</v>
      </c>
      <c r="S498" s="11" t="s">
        <v>2331</v>
      </c>
      <c r="T498" s="13"/>
      <c r="U498" s="18" t="str">
        <f>HYPERLINK("https://pbs.twimg.com/profile_images/479725427993219072/BI6BlCBV.png","View")</f>
        <v>View</v>
      </c>
      <c r="V498" s="13"/>
      <c r="W498" s="13"/>
      <c r="X498" s="13"/>
      <c r="Y498" s="13"/>
      <c r="Z498" s="13"/>
    </row>
    <row r="499">
      <c r="A499" s="8">
        <v>43848.67712962963</v>
      </c>
      <c r="B499" s="9" t="str">
        <f>HYPERLINK("https://twitter.com/TheDevinaKaur","@TheDevinaKaur")</f>
        <v>@TheDevinaKaur</v>
      </c>
      <c r="C499" s="10" t="s">
        <v>295</v>
      </c>
      <c r="D499" s="10" t="s">
        <v>296</v>
      </c>
      <c r="E499" s="9" t="str">
        <f>HYPERLINK("https://twitter.com/TheDevinaKaur/status/1218642989968433154","1218642989968433154")</f>
        <v>1218642989968433154</v>
      </c>
      <c r="F499" s="11" t="s">
        <v>297</v>
      </c>
      <c r="G499" s="11" t="s">
        <v>2332</v>
      </c>
      <c r="H499" s="13"/>
      <c r="I499" s="14">
        <v>3.0</v>
      </c>
      <c r="J499" s="14">
        <v>1.0</v>
      </c>
      <c r="K499" s="9" t="str">
        <f>HYPERLINK("https://postfity.com","Postfity.com")</f>
        <v>Postfity.com</v>
      </c>
      <c r="L499" s="15">
        <v>7406.0</v>
      </c>
      <c r="M499" s="15">
        <v>3869.0</v>
      </c>
      <c r="N499" s="15">
        <v>36.0</v>
      </c>
      <c r="O499" s="16"/>
      <c r="P499" s="17">
        <v>42815.69490740741</v>
      </c>
      <c r="Q499" s="10" t="s">
        <v>177</v>
      </c>
      <c r="R499" s="10" t="s">
        <v>299</v>
      </c>
      <c r="S499" s="11" t="s">
        <v>297</v>
      </c>
      <c r="T499" s="13"/>
      <c r="U499" s="18" t="str">
        <f>HYPERLINK("https://pbs.twimg.com/profile_images/1147663141389656064/dg9XFyFN.jpg","View")</f>
        <v>View</v>
      </c>
      <c r="V499" s="13"/>
      <c r="W499" s="13"/>
      <c r="X499" s="13"/>
      <c r="Y499" s="13"/>
      <c r="Z499" s="13"/>
    </row>
    <row r="500">
      <c r="A500" s="8">
        <v>43848.67642361111</v>
      </c>
      <c r="B500" s="9" t="str">
        <f>HYPERLINK("https://twitter.com/CELAlvernia","@CELAlvernia")</f>
        <v>@CELAlvernia</v>
      </c>
      <c r="C500" s="10" t="s">
        <v>2333</v>
      </c>
      <c r="D500" s="10" t="s">
        <v>2334</v>
      </c>
      <c r="E500" s="9" t="str">
        <f>HYPERLINK("https://twitter.com/CELAlvernia/status/1218642733491019779","1218642733491019779")</f>
        <v>1218642733491019779</v>
      </c>
      <c r="F500" s="11" t="s">
        <v>2335</v>
      </c>
      <c r="G500" s="13"/>
      <c r="H500" s="13"/>
      <c r="I500" s="14">
        <v>1.0</v>
      </c>
      <c r="J500" s="14">
        <v>0.0</v>
      </c>
      <c r="K500" s="9" t="str">
        <f>HYPERLINK("https://sproutsocial.com","Sprout Social")</f>
        <v>Sprout Social</v>
      </c>
      <c r="L500" s="15">
        <v>366.0</v>
      </c>
      <c r="M500" s="15">
        <v>370.0</v>
      </c>
      <c r="N500" s="15">
        <v>28.0</v>
      </c>
      <c r="O500" s="16"/>
      <c r="P500" s="17">
        <v>42275.543541666666</v>
      </c>
      <c r="Q500" s="10" t="s">
        <v>2336</v>
      </c>
      <c r="R500" s="10" t="s">
        <v>2337</v>
      </c>
      <c r="S500" s="11" t="s">
        <v>2338</v>
      </c>
      <c r="T500" s="13"/>
      <c r="U500" s="18" t="str">
        <f>HYPERLINK("https://pbs.twimg.com/profile_images/648546674189709312/hHI8Cbzl.png","View")</f>
        <v>View</v>
      </c>
      <c r="V500" s="13"/>
      <c r="W500" s="13"/>
      <c r="X500" s="13"/>
      <c r="Y500" s="13"/>
      <c r="Z500" s="13"/>
    </row>
    <row r="501">
      <c r="A501" s="8">
        <v>43848.67623842593</v>
      </c>
      <c r="B501" s="9" t="str">
        <f>HYPERLINK("https://twitter.com/GynerOzgul","@GynerOzgul")</f>
        <v>@GynerOzgul</v>
      </c>
      <c r="C501" s="10" t="s">
        <v>2339</v>
      </c>
      <c r="D501" s="10" t="s">
        <v>2340</v>
      </c>
      <c r="E501" s="9" t="str">
        <f>HYPERLINK("https://twitter.com/GynerOzgul/status/1218642667690700806","1218642667690700806")</f>
        <v>1218642667690700806</v>
      </c>
      <c r="F501" s="13"/>
      <c r="G501" s="11" t="s">
        <v>2341</v>
      </c>
      <c r="H501" s="13"/>
      <c r="I501" s="14">
        <v>1.0</v>
      </c>
      <c r="J501" s="14">
        <v>1.0</v>
      </c>
      <c r="K501" s="9" t="str">
        <f>HYPERLINK("http://twitter.com/download/iphone","Twitter for iPhone")</f>
        <v>Twitter for iPhone</v>
      </c>
      <c r="L501" s="15">
        <v>119.0</v>
      </c>
      <c r="M501" s="15">
        <v>316.0</v>
      </c>
      <c r="N501" s="15">
        <v>2.0</v>
      </c>
      <c r="O501" s="16"/>
      <c r="P501" s="17">
        <v>41056.912152777775</v>
      </c>
      <c r="Q501" s="10" t="s">
        <v>24</v>
      </c>
      <c r="R501" s="10" t="s">
        <v>2342</v>
      </c>
      <c r="S501" s="13"/>
      <c r="T501" s="13"/>
      <c r="U501" s="18" t="str">
        <f>HYPERLINK("https://pbs.twimg.com/profile_images/1216960089023606784/9CnDpjfx.jpg","View")</f>
        <v>View</v>
      </c>
      <c r="V501" s="13"/>
      <c r="W501" s="13"/>
      <c r="X501" s="13"/>
      <c r="Y501" s="13"/>
      <c r="Z501" s="13"/>
    </row>
    <row r="502">
      <c r="A502" s="8">
        <v>43848.67619212963</v>
      </c>
      <c r="B502" s="9" t="str">
        <f>HYPERLINK("https://twitter.com/NenchinNG","@NenchinNG")</f>
        <v>@NenchinNG</v>
      </c>
      <c r="C502" s="10" t="s">
        <v>2343</v>
      </c>
      <c r="D502" s="10" t="s">
        <v>238</v>
      </c>
      <c r="E502" s="9" t="str">
        <f>HYPERLINK("https://twitter.com/NenchinNG/status/1218642648182988802","1218642648182988802")</f>
        <v>1218642648182988802</v>
      </c>
      <c r="F502" s="13"/>
      <c r="G502" s="13"/>
      <c r="H502" s="13"/>
      <c r="I502" s="14">
        <v>1.0</v>
      </c>
      <c r="J502" s="14">
        <v>1.0</v>
      </c>
      <c r="K502" s="9" t="str">
        <f t="shared" ref="K502:K503" si="62">HYPERLINK("http://twitter.com/download/android","Twitter for Android")</f>
        <v>Twitter for Android</v>
      </c>
      <c r="L502" s="15">
        <v>1970.0</v>
      </c>
      <c r="M502" s="15">
        <v>2202.0</v>
      </c>
      <c r="N502" s="15">
        <v>0.0</v>
      </c>
      <c r="O502" s="16"/>
      <c r="P502" s="17">
        <v>41734.1134375</v>
      </c>
      <c r="Q502" s="10" t="s">
        <v>2344</v>
      </c>
      <c r="R502" s="10" t="s">
        <v>2345</v>
      </c>
      <c r="S502" s="13"/>
      <c r="T502" s="13"/>
      <c r="U502" s="18" t="str">
        <f>HYPERLINK("https://pbs.twimg.com/profile_images/1212260505458487296/R1bvSPxG.jpg","View")</f>
        <v>View</v>
      </c>
      <c r="V502" s="13"/>
      <c r="W502" s="13"/>
      <c r="X502" s="13"/>
      <c r="Y502" s="13"/>
      <c r="Z502" s="13"/>
    </row>
    <row r="503">
      <c r="A503" s="8">
        <v>43848.675578703704</v>
      </c>
      <c r="B503" s="9" t="str">
        <f>HYPERLINK("https://twitter.com/MouseyNevermore","@MouseyNevermore")</f>
        <v>@MouseyNevermore</v>
      </c>
      <c r="C503" s="10" t="s">
        <v>2346</v>
      </c>
      <c r="D503" s="10" t="s">
        <v>2347</v>
      </c>
      <c r="E503" s="9" t="str">
        <f>HYPERLINK("https://twitter.com/MouseyNevermore/status/1218642428816777216","1218642428816777216")</f>
        <v>1218642428816777216</v>
      </c>
      <c r="F503" s="11" t="s">
        <v>2348</v>
      </c>
      <c r="G503" s="13"/>
      <c r="H503" s="13"/>
      <c r="I503" s="14">
        <v>3.0</v>
      </c>
      <c r="J503" s="14">
        <v>5.0</v>
      </c>
      <c r="K503" s="9" t="str">
        <f t="shared" si="62"/>
        <v>Twitter for Android</v>
      </c>
      <c r="L503" s="15">
        <v>754.0</v>
      </c>
      <c r="M503" s="15">
        <v>1982.0</v>
      </c>
      <c r="N503" s="15">
        <v>2.0</v>
      </c>
      <c r="O503" s="16"/>
      <c r="P503" s="17">
        <v>42960.56671296296</v>
      </c>
      <c r="Q503" s="10" t="s">
        <v>161</v>
      </c>
      <c r="R503" s="10" t="s">
        <v>2349</v>
      </c>
      <c r="S503" s="11" t="s">
        <v>2350</v>
      </c>
      <c r="T503" s="13"/>
      <c r="U503" s="18" t="str">
        <f>HYPERLINK("https://pbs.twimg.com/profile_images/1217886343717695488/8GAzx_G8.jpg","View")</f>
        <v>View</v>
      </c>
      <c r="V503" s="13"/>
      <c r="W503" s="13"/>
      <c r="X503" s="13"/>
      <c r="Y503" s="13"/>
      <c r="Z503" s="13"/>
    </row>
    <row r="504">
      <c r="A504" s="8">
        <v>43848.67454861111</v>
      </c>
      <c r="B504" s="9" t="str">
        <f>HYPERLINK("https://twitter.com/hanna_higher","@hanna_higher")</f>
        <v>@hanna_higher</v>
      </c>
      <c r="C504" s="10" t="s">
        <v>1486</v>
      </c>
      <c r="D504" s="10" t="s">
        <v>2351</v>
      </c>
      <c r="E504" s="9" t="str">
        <f>HYPERLINK("https://twitter.com/hanna_higher/status/1218642055318179840","1218642055318179840")</f>
        <v>1218642055318179840</v>
      </c>
      <c r="F504" s="11" t="s">
        <v>2352</v>
      </c>
      <c r="G504" s="13"/>
      <c r="H504" s="13"/>
      <c r="I504" s="14">
        <v>1.0</v>
      </c>
      <c r="J504" s="14">
        <v>0.0</v>
      </c>
      <c r="K504" s="9" t="str">
        <f>HYPERLINK("https://coschedule.com","CoSchedule")</f>
        <v>CoSchedule</v>
      </c>
      <c r="L504" s="15">
        <v>32622.0</v>
      </c>
      <c r="M504" s="15">
        <v>22883.0</v>
      </c>
      <c r="N504" s="15">
        <v>321.0</v>
      </c>
      <c r="O504" s="16"/>
      <c r="P504" s="17">
        <v>42464.42574074074</v>
      </c>
      <c r="Q504" s="10" t="s">
        <v>382</v>
      </c>
      <c r="R504" s="10" t="s">
        <v>1489</v>
      </c>
      <c r="S504" s="11" t="s">
        <v>1490</v>
      </c>
      <c r="T504" s="13"/>
      <c r="U504" s="18" t="str">
        <f>HYPERLINK("https://pbs.twimg.com/profile_images/1170703917379928066/9Wzw-O1O.jpg","View")</f>
        <v>View</v>
      </c>
      <c r="V504" s="13"/>
      <c r="W504" s="13"/>
      <c r="X504" s="13"/>
      <c r="Y504" s="13"/>
      <c r="Z504" s="13"/>
    </row>
    <row r="505">
      <c r="A505" s="8">
        <v>43848.674409722225</v>
      </c>
      <c r="B505" s="9" t="str">
        <f>HYPERLINK("https://twitter.com/JeffEsTake","@JeffEsTake")</f>
        <v>@JeffEsTake</v>
      </c>
      <c r="C505" s="10" t="s">
        <v>2353</v>
      </c>
      <c r="D505" s="10" t="s">
        <v>2354</v>
      </c>
      <c r="E505" s="9" t="str">
        <f>HYPERLINK("https://twitter.com/JeffEsTake/status/1218642001161269260","1218642001161269260")</f>
        <v>1218642001161269260</v>
      </c>
      <c r="F505" s="13"/>
      <c r="G505" s="11" t="s">
        <v>2355</v>
      </c>
      <c r="H505" s="13"/>
      <c r="I505" s="14">
        <v>0.0</v>
      </c>
      <c r="J505" s="14">
        <v>6.0</v>
      </c>
      <c r="K505" s="9" t="str">
        <f>HYPERLINK("https://crowdfireapp.com","Crowdfire App")</f>
        <v>Crowdfire App</v>
      </c>
      <c r="L505" s="15">
        <v>6245.0</v>
      </c>
      <c r="M505" s="15">
        <v>6852.0</v>
      </c>
      <c r="N505" s="15">
        <v>42.0</v>
      </c>
      <c r="O505" s="16"/>
      <c r="P505" s="17">
        <v>42948.81599537037</v>
      </c>
      <c r="Q505" s="10" t="s">
        <v>171</v>
      </c>
      <c r="R505" s="10" t="s">
        <v>2356</v>
      </c>
      <c r="S505" s="11" t="s">
        <v>2357</v>
      </c>
      <c r="T505" s="13"/>
      <c r="U505" s="18" t="str">
        <f>HYPERLINK("https://pbs.twimg.com/profile_images/1168678746368303104/Oz0bee4D.jpg","View")</f>
        <v>View</v>
      </c>
      <c r="V505" s="13"/>
      <c r="W505" s="13"/>
      <c r="X505" s="13"/>
      <c r="Y505" s="13"/>
      <c r="Z505" s="13"/>
    </row>
    <row r="506">
      <c r="A506" s="8">
        <v>43848.67435185185</v>
      </c>
      <c r="B506" s="9" t="str">
        <f>HYPERLINK("https://twitter.com/YunusYakubu","@YunusYakubu")</f>
        <v>@YunusYakubu</v>
      </c>
      <c r="C506" s="10" t="s">
        <v>2358</v>
      </c>
      <c r="D506" s="10" t="s">
        <v>238</v>
      </c>
      <c r="E506" s="9" t="str">
        <f>HYPERLINK("https://twitter.com/YunusYakubu/status/1218641980936335362","1218641980936335362")</f>
        <v>1218641980936335362</v>
      </c>
      <c r="F506" s="13"/>
      <c r="G506" s="13"/>
      <c r="H506" s="13"/>
      <c r="I506" s="14">
        <v>1.0</v>
      </c>
      <c r="J506" s="14">
        <v>2.0</v>
      </c>
      <c r="K506" s="9" t="str">
        <f>HYPERLINK("http://twitter.com/download/iphone","Twitter for iPhone")</f>
        <v>Twitter for iPhone</v>
      </c>
      <c r="L506" s="15">
        <v>382.0</v>
      </c>
      <c r="M506" s="15">
        <v>630.0</v>
      </c>
      <c r="N506" s="15">
        <v>1.0</v>
      </c>
      <c r="O506" s="16"/>
      <c r="P506" s="17">
        <v>41080.40445601852</v>
      </c>
      <c r="Q506" s="10" t="s">
        <v>2359</v>
      </c>
      <c r="R506" s="10" t="s">
        <v>2360</v>
      </c>
      <c r="S506" s="13"/>
      <c r="T506" s="13"/>
      <c r="U506" s="18" t="str">
        <f>HYPERLINK("https://pbs.twimg.com/profile_images/1216849274304172033/PKyEW7_t.jpg","View")</f>
        <v>View</v>
      </c>
      <c r="V506" s="13"/>
      <c r="W506" s="13"/>
      <c r="X506" s="13"/>
      <c r="Y506" s="13"/>
      <c r="Z506" s="13"/>
    </row>
    <row r="507">
      <c r="A507" s="8">
        <v>43848.67395833333</v>
      </c>
      <c r="B507" s="9" t="str">
        <f>HYPERLINK("https://twitter.com/explorearoundt1","@explorearoundt1")</f>
        <v>@explorearoundt1</v>
      </c>
      <c r="C507" s="10" t="s">
        <v>2361</v>
      </c>
      <c r="D507" s="10" t="s">
        <v>2362</v>
      </c>
      <c r="E507" s="9" t="str">
        <f>HYPERLINK("https://twitter.com/explorearoundt1/status/1218641838648807424","1218641838648807424")</f>
        <v>1218641838648807424</v>
      </c>
      <c r="F507" s="11" t="s">
        <v>2363</v>
      </c>
      <c r="G507" s="11" t="s">
        <v>2364</v>
      </c>
      <c r="H507" s="13"/>
      <c r="I507" s="14">
        <v>0.0</v>
      </c>
      <c r="J507" s="14">
        <v>0.0</v>
      </c>
      <c r="K507" s="9" t="str">
        <f>HYPERLINK("http://twitter.com/download/android","Twitter for Android")</f>
        <v>Twitter for Android</v>
      </c>
      <c r="L507" s="15">
        <v>17.0</v>
      </c>
      <c r="M507" s="15">
        <v>37.0</v>
      </c>
      <c r="N507" s="15">
        <v>0.0</v>
      </c>
      <c r="O507" s="16"/>
      <c r="P507" s="17">
        <v>43793.33327546297</v>
      </c>
      <c r="Q507" s="13"/>
      <c r="R507" s="10" t="s">
        <v>2365</v>
      </c>
      <c r="S507" s="11" t="s">
        <v>2366</v>
      </c>
      <c r="T507" s="13"/>
      <c r="U507" s="18" t="str">
        <f>HYPERLINK("https://pbs.twimg.com/profile_images/1198587594914877442/DBFQMCom.jpg","View")</f>
        <v>View</v>
      </c>
      <c r="V507" s="13"/>
      <c r="W507" s="13"/>
      <c r="X507" s="13"/>
      <c r="Y507" s="13"/>
      <c r="Z507" s="13"/>
    </row>
    <row r="508">
      <c r="A508" s="8">
        <v>43848.67328703703</v>
      </c>
      <c r="B508" s="9" t="str">
        <f>HYPERLINK("https://twitter.com/emmaydorman","@emmaydorman")</f>
        <v>@emmaydorman</v>
      </c>
      <c r="C508" s="10" t="s">
        <v>2367</v>
      </c>
      <c r="D508" s="10" t="s">
        <v>2368</v>
      </c>
      <c r="E508" s="9" t="str">
        <f>HYPERLINK("https://twitter.com/emmaydorman/status/1218641594460659715","1218641594460659715")</f>
        <v>1218641594460659715</v>
      </c>
      <c r="F508" s="11" t="s">
        <v>2369</v>
      </c>
      <c r="G508" s="13"/>
      <c r="H508" s="13"/>
      <c r="I508" s="14">
        <v>0.0</v>
      </c>
      <c r="J508" s="14">
        <v>1.0</v>
      </c>
      <c r="K508" s="9" t="str">
        <f>HYPERLINK("https://mobile.twitter.com","Twitter Web App")</f>
        <v>Twitter Web App</v>
      </c>
      <c r="L508" s="15">
        <v>369.0</v>
      </c>
      <c r="M508" s="15">
        <v>415.0</v>
      </c>
      <c r="N508" s="15">
        <v>2.0</v>
      </c>
      <c r="O508" s="16"/>
      <c r="P508" s="17">
        <v>41278.27378472222</v>
      </c>
      <c r="Q508" s="10" t="s">
        <v>95</v>
      </c>
      <c r="R508" s="10" t="s">
        <v>2370</v>
      </c>
      <c r="S508" s="11" t="s">
        <v>2371</v>
      </c>
      <c r="T508" s="13"/>
      <c r="U508" s="18" t="str">
        <f>HYPERLINK("https://pbs.twimg.com/profile_images/1135237221789908992/byt4mKQ8.jpg","View")</f>
        <v>View</v>
      </c>
      <c r="V508" s="13"/>
      <c r="W508" s="13"/>
      <c r="X508" s="13"/>
      <c r="Y508" s="13"/>
      <c r="Z508" s="13"/>
    </row>
    <row r="509">
      <c r="A509" s="8">
        <v>43848.672997685186</v>
      </c>
      <c r="B509" s="9" t="str">
        <f>HYPERLINK("https://twitter.com/BLACKCARD_KENNY","@BLACKCARD_KENNY")</f>
        <v>@BLACKCARD_KENNY</v>
      </c>
      <c r="C509" s="10" t="s">
        <v>2372</v>
      </c>
      <c r="D509" s="10" t="s">
        <v>2373</v>
      </c>
      <c r="E509" s="9" t="str">
        <f>HYPERLINK("https://twitter.com/BLACKCARD_KENNY/status/1218641490823352320","1218641490823352320")</f>
        <v>1218641490823352320</v>
      </c>
      <c r="F509" s="13"/>
      <c r="G509" s="11" t="s">
        <v>2374</v>
      </c>
      <c r="H509" s="13"/>
      <c r="I509" s="14">
        <v>1.0</v>
      </c>
      <c r="J509" s="14">
        <v>1.0</v>
      </c>
      <c r="K509" s="9" t="str">
        <f t="shared" ref="K509:K510" si="63">HYPERLINK("http://twitter.com/download/iphone","Twitter for iPhone")</f>
        <v>Twitter for iPhone</v>
      </c>
      <c r="L509" s="15">
        <v>528.0</v>
      </c>
      <c r="M509" s="15">
        <v>670.0</v>
      </c>
      <c r="N509" s="15">
        <v>5.0</v>
      </c>
      <c r="O509" s="16"/>
      <c r="P509" s="17">
        <v>39896.93099537037</v>
      </c>
      <c r="Q509" s="10" t="s">
        <v>2375</v>
      </c>
      <c r="R509" s="10" t="s">
        <v>2376</v>
      </c>
      <c r="S509" s="11" t="s">
        <v>2377</v>
      </c>
      <c r="T509" s="13"/>
      <c r="U509" s="18" t="str">
        <f>HYPERLINK("https://pbs.twimg.com/profile_images/1148349345537728512/Qoptk011.jpg","View")</f>
        <v>View</v>
      </c>
      <c r="V509" s="13"/>
      <c r="W509" s="13"/>
      <c r="X509" s="13"/>
      <c r="Y509" s="13"/>
      <c r="Z509" s="13"/>
    </row>
    <row r="510">
      <c r="A510" s="8">
        <v>43848.672893518524</v>
      </c>
      <c r="B510" s="9" t="str">
        <f>HYPERLINK("https://twitter.com/LiaTheBookBat","@LiaTheBookBat")</f>
        <v>@LiaTheBookBat</v>
      </c>
      <c r="C510" s="10" t="s">
        <v>2378</v>
      </c>
      <c r="D510" s="10" t="s">
        <v>2379</v>
      </c>
      <c r="E510" s="9" t="str">
        <f>HYPERLINK("https://twitter.com/LiaTheBookBat/status/1218641452676321288","1218641452676321288")</f>
        <v>1218641452676321288</v>
      </c>
      <c r="F510" s="13"/>
      <c r="G510" s="11" t="s">
        <v>2380</v>
      </c>
      <c r="H510" s="13"/>
      <c r="I510" s="14">
        <v>0.0</v>
      </c>
      <c r="J510" s="14">
        <v>1.0</v>
      </c>
      <c r="K510" s="9" t="str">
        <f t="shared" si="63"/>
        <v>Twitter for iPhone</v>
      </c>
      <c r="L510" s="15">
        <v>490.0</v>
      </c>
      <c r="M510" s="15">
        <v>184.0</v>
      </c>
      <c r="N510" s="15">
        <v>3.0</v>
      </c>
      <c r="O510" s="16"/>
      <c r="P510" s="17">
        <v>42851.940150462964</v>
      </c>
      <c r="Q510" s="10" t="s">
        <v>2381</v>
      </c>
      <c r="R510" s="10" t="s">
        <v>2382</v>
      </c>
      <c r="S510" s="11" t="s">
        <v>2383</v>
      </c>
      <c r="T510" s="13"/>
      <c r="U510" s="18" t="str">
        <f>HYPERLINK("https://pbs.twimg.com/profile_images/1198829241397325824/wGIsYeCN.jpg","View")</f>
        <v>View</v>
      </c>
      <c r="V510" s="13"/>
      <c r="W510" s="13"/>
      <c r="X510" s="13"/>
      <c r="Y510" s="13"/>
      <c r="Z510" s="13"/>
    </row>
    <row r="511">
      <c r="A511" s="8">
        <v>43848.672743055555</v>
      </c>
      <c r="B511" s="9" t="str">
        <f>HYPERLINK("https://twitter.com/elloisb","@elloisb")</f>
        <v>@elloisb</v>
      </c>
      <c r="C511" s="10" t="s">
        <v>2384</v>
      </c>
      <c r="D511" s="10" t="s">
        <v>2385</v>
      </c>
      <c r="E511" s="9" t="str">
        <f>HYPERLINK("https://twitter.com/elloisb/status/1218641398666153984","1218641398666153984")</f>
        <v>1218641398666153984</v>
      </c>
      <c r="F511" s="11" t="s">
        <v>2386</v>
      </c>
      <c r="G511" s="11" t="s">
        <v>2387</v>
      </c>
      <c r="H511" s="13"/>
      <c r="I511" s="14">
        <v>0.0</v>
      </c>
      <c r="J511" s="14">
        <v>2.0</v>
      </c>
      <c r="K511" s="9" t="str">
        <f>HYPERLINK("https://mobile.twitter.com","Twitter Web App")</f>
        <v>Twitter Web App</v>
      </c>
      <c r="L511" s="15">
        <v>47.0</v>
      </c>
      <c r="M511" s="15">
        <v>103.0</v>
      </c>
      <c r="N511" s="15">
        <v>2.0</v>
      </c>
      <c r="O511" s="16"/>
      <c r="P511" s="17">
        <v>41271.5750462963</v>
      </c>
      <c r="Q511" s="13"/>
      <c r="R511" s="10" t="s">
        <v>2388</v>
      </c>
      <c r="S511" s="13"/>
      <c r="T511" s="13"/>
      <c r="U511" s="18" t="str">
        <f>HYPERLINK("https://pbs.twimg.com/profile_images/1210457109042610176/f-DpSmY7.jpg","View")</f>
        <v>View</v>
      </c>
      <c r="V511" s="13"/>
      <c r="W511" s="13"/>
      <c r="X511" s="13"/>
      <c r="Y511" s="13"/>
      <c r="Z511" s="13"/>
    </row>
    <row r="512">
      <c r="A512" s="8">
        <v>43848.67260416667</v>
      </c>
      <c r="B512" s="9" t="str">
        <f>HYPERLINK("https://twitter.com/yourpurespark","@yourpurespark")</f>
        <v>@yourpurespark</v>
      </c>
      <c r="C512" s="10" t="s">
        <v>2389</v>
      </c>
      <c r="D512" s="10" t="s">
        <v>2390</v>
      </c>
      <c r="E512" s="9" t="str">
        <f>HYPERLINK("https://twitter.com/yourpurespark/status/1218641349576097792","1218641349576097792")</f>
        <v>1218641349576097792</v>
      </c>
      <c r="F512" s="13"/>
      <c r="G512" s="11" t="s">
        <v>2391</v>
      </c>
      <c r="H512" s="13"/>
      <c r="I512" s="14">
        <v>0.0</v>
      </c>
      <c r="J512" s="14">
        <v>1.0</v>
      </c>
      <c r="K512" s="9" t="str">
        <f>HYPERLINK("http://twitter.com/download/iphone","Twitter for iPhone")</f>
        <v>Twitter for iPhone</v>
      </c>
      <c r="L512" s="15">
        <v>109.0</v>
      </c>
      <c r="M512" s="15">
        <v>511.0</v>
      </c>
      <c r="N512" s="15">
        <v>1.0</v>
      </c>
      <c r="O512" s="16"/>
      <c r="P512" s="17">
        <v>43769.72090277778</v>
      </c>
      <c r="Q512" s="10" t="s">
        <v>251</v>
      </c>
      <c r="R512" s="10" t="s">
        <v>2392</v>
      </c>
      <c r="S512" s="11" t="s">
        <v>2393</v>
      </c>
      <c r="T512" s="13"/>
      <c r="U512" s="18" t="str">
        <f>HYPERLINK("https://pbs.twimg.com/profile_images/1190015588120350720/Qm_E-HLi.jpg","View")</f>
        <v>View</v>
      </c>
      <c r="V512" s="13"/>
      <c r="W512" s="13"/>
      <c r="X512" s="13"/>
      <c r="Y512" s="13"/>
      <c r="Z512" s="13"/>
    </row>
    <row r="513">
      <c r="A513" s="8">
        <v>43848.67152777778</v>
      </c>
      <c r="B513" s="9" t="str">
        <f>HYPERLINK("https://twitter.com/DistressCentreO","@DistressCentreO")</f>
        <v>@DistressCentreO</v>
      </c>
      <c r="C513" s="10" t="s">
        <v>2394</v>
      </c>
      <c r="D513" s="10" t="s">
        <v>2395</v>
      </c>
      <c r="E513" s="9" t="str">
        <f>HYPERLINK("https://twitter.com/DistressCentreO/status/1218640957727498240","1218640957727498240")</f>
        <v>1218640957727498240</v>
      </c>
      <c r="F513" s="13"/>
      <c r="G513" s="13"/>
      <c r="H513" s="13"/>
      <c r="I513" s="14">
        <v>13.0</v>
      </c>
      <c r="J513" s="14">
        <v>12.0</v>
      </c>
      <c r="K513" s="9" t="str">
        <f>HYPERLINK("https://about.twitter.com/products/tweetdeck","TweetDeck")</f>
        <v>TweetDeck</v>
      </c>
      <c r="L513" s="15">
        <v>4298.0</v>
      </c>
      <c r="M513" s="15">
        <v>3661.0</v>
      </c>
      <c r="N513" s="15">
        <v>92.0</v>
      </c>
      <c r="O513" s="16"/>
      <c r="P513" s="17">
        <v>41026.50486111111</v>
      </c>
      <c r="Q513" s="10" t="s">
        <v>2396</v>
      </c>
      <c r="R513" s="10" t="s">
        <v>2397</v>
      </c>
      <c r="S513" s="11" t="s">
        <v>2398</v>
      </c>
      <c r="T513" s="13"/>
      <c r="U513" s="18" t="str">
        <f>HYPERLINK("https://pbs.twimg.com/profile_images/1151878542323519488/JEAgfv1P.png","View")</f>
        <v>View</v>
      </c>
      <c r="V513" s="13"/>
      <c r="W513" s="13"/>
      <c r="X513" s="13"/>
      <c r="Y513" s="13"/>
      <c r="Z513" s="13"/>
    </row>
    <row r="514">
      <c r="A514" s="8">
        <v>43848.671423611115</v>
      </c>
      <c r="B514" s="9" t="str">
        <f>HYPERLINK("https://twitter.com/amadril","@amadril")</f>
        <v>@amadril</v>
      </c>
      <c r="C514" s="10" t="s">
        <v>2399</v>
      </c>
      <c r="D514" s="10" t="s">
        <v>2400</v>
      </c>
      <c r="E514" s="9" t="str">
        <f>HYPERLINK("https://twitter.com/amadril/status/1218640919315939328","1218640919315939328")</f>
        <v>1218640919315939328</v>
      </c>
      <c r="F514" s="11" t="s">
        <v>2401</v>
      </c>
      <c r="G514" s="13"/>
      <c r="H514" s="13"/>
      <c r="I514" s="14">
        <v>0.0</v>
      </c>
      <c r="J514" s="14">
        <v>1.0</v>
      </c>
      <c r="K514" s="9" t="str">
        <f>HYPERLINK("http://twitter.com/download/iphone","Twitter for iPhone")</f>
        <v>Twitter for iPhone</v>
      </c>
      <c r="L514" s="15">
        <v>6855.0</v>
      </c>
      <c r="M514" s="15">
        <v>6278.0</v>
      </c>
      <c r="N514" s="15">
        <v>138.0</v>
      </c>
      <c r="O514" s="16"/>
      <c r="P514" s="17">
        <v>39919.01472222222</v>
      </c>
      <c r="Q514" s="10" t="s">
        <v>2402</v>
      </c>
      <c r="R514" s="10" t="s">
        <v>2403</v>
      </c>
      <c r="S514" s="11" t="s">
        <v>2404</v>
      </c>
      <c r="T514" s="13"/>
      <c r="U514" s="18" t="str">
        <f>HYPERLINK("https://pbs.twimg.com/profile_images/1212629506738909184/F4aBHsI9.jpg","View")</f>
        <v>View</v>
      </c>
      <c r="V514" s="13"/>
      <c r="W514" s="13"/>
      <c r="X514" s="13"/>
      <c r="Y514" s="13"/>
      <c r="Z514" s="13"/>
    </row>
    <row r="515">
      <c r="A515" s="8">
        <v>43848.6703125</v>
      </c>
      <c r="B515" s="9" t="str">
        <f>HYPERLINK("https://twitter.com/banjeeboo","@banjeeboo")</f>
        <v>@banjeeboo</v>
      </c>
      <c r="C515" s="10" t="s">
        <v>2405</v>
      </c>
      <c r="D515" s="10" t="s">
        <v>2406</v>
      </c>
      <c r="E515" s="9" t="str">
        <f>HYPERLINK("https://twitter.com/banjeeboo/status/1218640517736681473","1218640517736681473")</f>
        <v>1218640517736681473</v>
      </c>
      <c r="F515" s="13"/>
      <c r="G515" s="13"/>
      <c r="H515" s="13"/>
      <c r="I515" s="14">
        <v>0.0</v>
      </c>
      <c r="J515" s="14">
        <v>2.0</v>
      </c>
      <c r="K515" s="9" t="str">
        <f>HYPERLINK("http://twitter.com/download/android","Twitter for Android")</f>
        <v>Twitter for Android</v>
      </c>
      <c r="L515" s="15">
        <v>279.0</v>
      </c>
      <c r="M515" s="15">
        <v>793.0</v>
      </c>
      <c r="N515" s="15">
        <v>19.0</v>
      </c>
      <c r="O515" s="16"/>
      <c r="P515" s="17">
        <v>40879.28755787037</v>
      </c>
      <c r="Q515" s="10" t="s">
        <v>2407</v>
      </c>
      <c r="R515" s="10" t="s">
        <v>2408</v>
      </c>
      <c r="S515" s="13"/>
      <c r="T515" s="13"/>
      <c r="U515" s="18" t="str">
        <f>HYPERLINK("https://pbs.twimg.com/profile_images/1134133332218961926/D31njyyr.jpg","View")</f>
        <v>View</v>
      </c>
      <c r="V515" s="13"/>
      <c r="W515" s="13"/>
      <c r="X515" s="13"/>
      <c r="Y515" s="13"/>
      <c r="Z515" s="13"/>
    </row>
    <row r="516">
      <c r="A516" s="8">
        <v>43848.67019675926</v>
      </c>
      <c r="B516" s="9" t="str">
        <f>HYPERLINK("https://twitter.com/Wellinfive","@Wellinfive")</f>
        <v>@Wellinfive</v>
      </c>
      <c r="C516" s="10" t="s">
        <v>2409</v>
      </c>
      <c r="D516" s="10" t="s">
        <v>2410</v>
      </c>
      <c r="E516" s="9" t="str">
        <f>HYPERLINK("https://twitter.com/Wellinfive/status/1218640474505928704","1218640474505928704")</f>
        <v>1218640474505928704</v>
      </c>
      <c r="F516" s="11" t="s">
        <v>2411</v>
      </c>
      <c r="G516" s="13"/>
      <c r="H516" s="13"/>
      <c r="I516" s="14">
        <v>0.0</v>
      </c>
      <c r="J516" s="14">
        <v>0.0</v>
      </c>
      <c r="K516" s="9" t="str">
        <f>HYPERLINK("https://www.hootsuite.com","Hootsuite Inc.")</f>
        <v>Hootsuite Inc.</v>
      </c>
      <c r="L516" s="15">
        <v>233.0</v>
      </c>
      <c r="M516" s="15">
        <v>835.0</v>
      </c>
      <c r="N516" s="15">
        <v>11.0</v>
      </c>
      <c r="O516" s="16"/>
      <c r="P516" s="17">
        <v>41619.94658564815</v>
      </c>
      <c r="Q516" s="10" t="s">
        <v>2412</v>
      </c>
      <c r="R516" s="10" t="s">
        <v>2413</v>
      </c>
      <c r="S516" s="11" t="s">
        <v>2414</v>
      </c>
      <c r="T516" s="13"/>
      <c r="U516" s="18" t="str">
        <f>HYPERLINK("https://pbs.twimg.com/profile_images/1052293335782633472/uMya150A.jpg","View")</f>
        <v>View</v>
      </c>
      <c r="V516" s="13"/>
      <c r="W516" s="13"/>
      <c r="X516" s="13"/>
      <c r="Y516" s="13"/>
      <c r="Z516" s="13"/>
    </row>
    <row r="517">
      <c r="A517" s="8">
        <v>43848.66881944444</v>
      </c>
      <c r="B517" s="9" t="str">
        <f>HYPERLINK("https://twitter.com/AuthorLauraJ","@AuthorLauraJ")</f>
        <v>@AuthorLauraJ</v>
      </c>
      <c r="C517" s="10" t="s">
        <v>2415</v>
      </c>
      <c r="D517" s="10" t="s">
        <v>2416</v>
      </c>
      <c r="E517" s="9" t="str">
        <f>HYPERLINK("https://twitter.com/AuthorLauraJ/status/1218639975459303424","1218639975459303424")</f>
        <v>1218639975459303424</v>
      </c>
      <c r="F517" s="10" t="s">
        <v>2417</v>
      </c>
      <c r="G517" s="13"/>
      <c r="H517" s="13"/>
      <c r="I517" s="14">
        <v>0.0</v>
      </c>
      <c r="J517" s="14">
        <v>0.0</v>
      </c>
      <c r="K517" s="9" t="str">
        <f>HYPERLINK("http://twitter.com/download/android","Twitter for Android")</f>
        <v>Twitter for Android</v>
      </c>
      <c r="L517" s="15">
        <v>2607.0</v>
      </c>
      <c r="M517" s="15">
        <v>2410.0</v>
      </c>
      <c r="N517" s="15">
        <v>66.0</v>
      </c>
      <c r="O517" s="16"/>
      <c r="P517" s="17">
        <v>40006.6905787037</v>
      </c>
      <c r="Q517" s="10" t="s">
        <v>2418</v>
      </c>
      <c r="R517" s="10" t="s">
        <v>2419</v>
      </c>
      <c r="S517" s="13"/>
      <c r="T517" s="13"/>
      <c r="U517" s="18" t="str">
        <f>HYPERLINK("https://pbs.twimg.com/profile_images/738065214130802688/Q2rCFJWN.jpg","View")</f>
        <v>View</v>
      </c>
      <c r="V517" s="13"/>
      <c r="W517" s="13"/>
      <c r="X517" s="13"/>
      <c r="Y517" s="13"/>
      <c r="Z517" s="13"/>
    </row>
    <row r="518">
      <c r="A518" s="8">
        <v>43848.66875</v>
      </c>
      <c r="B518" s="9" t="str">
        <f>HYPERLINK("https://twitter.com/talkspace","@talkspace")</f>
        <v>@talkspace</v>
      </c>
      <c r="C518" s="10" t="s">
        <v>1166</v>
      </c>
      <c r="D518" s="10" t="s">
        <v>2420</v>
      </c>
      <c r="E518" s="9" t="str">
        <f>HYPERLINK("https://twitter.com/talkspace/status/1218639951421755392","1218639951421755392")</f>
        <v>1218639951421755392</v>
      </c>
      <c r="F518" s="11" t="s">
        <v>2421</v>
      </c>
      <c r="G518" s="13"/>
      <c r="H518" s="13"/>
      <c r="I518" s="14">
        <v>0.0</v>
      </c>
      <c r="J518" s="14">
        <v>2.0</v>
      </c>
      <c r="K518" s="9" t="str">
        <f>HYPERLINK("https://about.twitter.com/products/tweetdeck","TweetDeck")</f>
        <v>TweetDeck</v>
      </c>
      <c r="L518" s="15">
        <v>29550.0</v>
      </c>
      <c r="M518" s="15">
        <v>5868.0</v>
      </c>
      <c r="N518" s="15">
        <v>451.0</v>
      </c>
      <c r="O518" s="21" t="s">
        <v>522</v>
      </c>
      <c r="P518" s="17">
        <v>41024.919444444444</v>
      </c>
      <c r="Q518" s="10" t="s">
        <v>1169</v>
      </c>
      <c r="R518" s="10" t="s">
        <v>1170</v>
      </c>
      <c r="S518" s="11" t="s">
        <v>1171</v>
      </c>
      <c r="T518" s="13"/>
      <c r="U518" s="18" t="str">
        <f>HYPERLINK("https://pbs.twimg.com/profile_images/1145692730649120769/01H2MCMP.png","View")</f>
        <v>View</v>
      </c>
      <c r="V518" s="13"/>
      <c r="W518" s="13"/>
      <c r="X518" s="13"/>
      <c r="Y518" s="13"/>
      <c r="Z518" s="13"/>
    </row>
    <row r="519">
      <c r="A519" s="8">
        <v>43848.66855324074</v>
      </c>
      <c r="B519" s="9" t="str">
        <f>HYPERLINK("https://twitter.com/NicholasHayman","@NicholasHayman")</f>
        <v>@NicholasHayman</v>
      </c>
      <c r="C519" s="10" t="s">
        <v>2422</v>
      </c>
      <c r="D519" s="10" t="s">
        <v>2423</v>
      </c>
      <c r="E519" s="9" t="str">
        <f>HYPERLINK("https://twitter.com/NicholasHayman/status/1218639879543906304","1218639879543906304")</f>
        <v>1218639879543906304</v>
      </c>
      <c r="F519" s="11" t="s">
        <v>2424</v>
      </c>
      <c r="G519" s="13"/>
      <c r="H519" s="13"/>
      <c r="I519" s="14">
        <v>0.0</v>
      </c>
      <c r="J519" s="14">
        <v>0.0</v>
      </c>
      <c r="K519" s="9" t="str">
        <f>HYPERLINK("https://mobile.twitter.com","Twitter Web App")</f>
        <v>Twitter Web App</v>
      </c>
      <c r="L519" s="15">
        <v>1328.0</v>
      </c>
      <c r="M519" s="15">
        <v>2976.0</v>
      </c>
      <c r="N519" s="15">
        <v>94.0</v>
      </c>
      <c r="O519" s="16"/>
      <c r="P519" s="17">
        <v>41822.51847222222</v>
      </c>
      <c r="Q519" s="10" t="s">
        <v>2425</v>
      </c>
      <c r="R519" s="10" t="s">
        <v>2426</v>
      </c>
      <c r="S519" s="13"/>
      <c r="T519" s="13"/>
      <c r="U519" s="18" t="str">
        <f>HYPERLINK("https://pbs.twimg.com/profile_images/1145219181488615425/ShpXdXac.jpg","View")</f>
        <v>View</v>
      </c>
      <c r="V519" s="13"/>
      <c r="W519" s="13"/>
      <c r="X519" s="13"/>
      <c r="Y519" s="13"/>
      <c r="Z519" s="13"/>
    </row>
    <row r="520">
      <c r="A520" s="8">
        <v>43848.66813657407</v>
      </c>
      <c r="B520" s="9" t="str">
        <f>HYPERLINK("https://twitter.com/KINGTWISTIC","@KINGTWISTIC")</f>
        <v>@KINGTWISTIC</v>
      </c>
      <c r="C520" s="10" t="s">
        <v>2427</v>
      </c>
      <c r="D520" s="10" t="s">
        <v>2428</v>
      </c>
      <c r="E520" s="9" t="str">
        <f>HYPERLINK("https://twitter.com/KINGTWISTIC/status/1218639728771321857","1218639728771321857")</f>
        <v>1218639728771321857</v>
      </c>
      <c r="F520" s="11" t="s">
        <v>2429</v>
      </c>
      <c r="G520" s="13"/>
      <c r="H520" s="13"/>
      <c r="I520" s="14">
        <v>0.0</v>
      </c>
      <c r="J520" s="14">
        <v>0.0</v>
      </c>
      <c r="K520" s="9" t="str">
        <f>HYPERLINK("http://instagram.com","Instagram")</f>
        <v>Instagram</v>
      </c>
      <c r="L520" s="15">
        <v>517.0</v>
      </c>
      <c r="M520" s="15">
        <v>1452.0</v>
      </c>
      <c r="N520" s="15">
        <v>33.0</v>
      </c>
      <c r="O520" s="16"/>
      <c r="P520" s="17">
        <v>39912.200844907406</v>
      </c>
      <c r="Q520" s="10" t="s">
        <v>2430</v>
      </c>
      <c r="R520" s="10" t="s">
        <v>2431</v>
      </c>
      <c r="S520" s="11" t="s">
        <v>2432</v>
      </c>
      <c r="T520" s="13"/>
      <c r="U520" s="18" t="str">
        <f>HYPERLINK("https://pbs.twimg.com/profile_images/827281147876896768/CbS614HT.jpg","View")</f>
        <v>View</v>
      </c>
      <c r="V520" s="13"/>
      <c r="W520" s="13"/>
      <c r="X520" s="13"/>
      <c r="Y520" s="13"/>
      <c r="Z520" s="13"/>
    </row>
    <row r="521">
      <c r="A521" s="8">
        <v>43848.66810185185</v>
      </c>
      <c r="B521" s="9" t="str">
        <f>HYPERLINK("https://twitter.com/tmj_WA_psych","@tmj_WA_psych")</f>
        <v>@tmj_WA_psych</v>
      </c>
      <c r="C521" s="10" t="s">
        <v>502</v>
      </c>
      <c r="D521" s="10" t="s">
        <v>2433</v>
      </c>
      <c r="E521" s="9" t="str">
        <f>HYPERLINK("https://twitter.com/tmj_WA_psych/status/1218639719090704384","1218639719090704384")</f>
        <v>1218639719090704384</v>
      </c>
      <c r="F521" s="13"/>
      <c r="G521" s="13"/>
      <c r="H521" s="9" t="str">
        <f>HYPERLINK("https://ctrlq.org/maps/address/#48.5449971,-117.9009544","Map")</f>
        <v>Map</v>
      </c>
      <c r="I521" s="14">
        <v>0.0</v>
      </c>
      <c r="J521" s="14">
        <v>0.0</v>
      </c>
      <c r="K521" s="9" t="str">
        <f>HYPERLINK("https://www.careerarc.com","CareerArc 2.0")</f>
        <v>CareerArc 2.0</v>
      </c>
      <c r="L521" s="15">
        <v>100.0</v>
      </c>
      <c r="M521" s="15">
        <v>79.0</v>
      </c>
      <c r="N521" s="15">
        <v>9.0</v>
      </c>
      <c r="O521" s="16"/>
      <c r="P521" s="17">
        <v>40630.909733796296</v>
      </c>
      <c r="Q521" s="10" t="s">
        <v>505</v>
      </c>
      <c r="R521" s="10" t="s">
        <v>506</v>
      </c>
      <c r="S521" s="11" t="s">
        <v>507</v>
      </c>
      <c r="T521" s="13"/>
      <c r="U521" s="18" t="str">
        <f>HYPERLINK("https://pbs.twimg.com/profile_images/715031203821273088/U0hIR2RD.jpg","View")</f>
        <v>View</v>
      </c>
      <c r="V521" s="13"/>
      <c r="W521" s="13"/>
      <c r="X521" s="13"/>
      <c r="Y521" s="13"/>
      <c r="Z521" s="13"/>
    </row>
    <row r="522">
      <c r="A522" s="8">
        <v>43848.66809027777</v>
      </c>
      <c r="B522" s="9" t="str">
        <f>HYPERLINK("https://twitter.com/knockknockerica","@knockknockerica")</f>
        <v>@knockknockerica</v>
      </c>
      <c r="C522" s="10" t="s">
        <v>2434</v>
      </c>
      <c r="D522" s="10" t="s">
        <v>2435</v>
      </c>
      <c r="E522" s="9" t="str">
        <f>HYPERLINK("https://twitter.com/knockknockerica/status/1218639711318827008","1218639711318827008")</f>
        <v>1218639711318827008</v>
      </c>
      <c r="F522" s="13"/>
      <c r="G522" s="11" t="s">
        <v>2436</v>
      </c>
      <c r="H522" s="13"/>
      <c r="I522" s="14">
        <v>0.0</v>
      </c>
      <c r="J522" s="14">
        <v>1.0</v>
      </c>
      <c r="K522" s="9" t="str">
        <f>HYPERLINK("http://twitter.com/download/iphone","Twitter for iPhone")</f>
        <v>Twitter for iPhone</v>
      </c>
      <c r="L522" s="15">
        <v>10.0</v>
      </c>
      <c r="M522" s="15">
        <v>42.0</v>
      </c>
      <c r="N522" s="15">
        <v>0.0</v>
      </c>
      <c r="O522" s="16"/>
      <c r="P522" s="17">
        <v>43844.51068287037</v>
      </c>
      <c r="Q522" s="13"/>
      <c r="R522" s="13"/>
      <c r="S522" s="13"/>
      <c r="T522" s="13"/>
      <c r="U522" s="18" t="str">
        <f>HYPERLINK("https://pbs.twimg.com/profile_images/1217133536974712832/EO5gtKqd.jpg","View")</f>
        <v>View</v>
      </c>
      <c r="V522" s="13"/>
      <c r="W522" s="13"/>
      <c r="X522" s="13"/>
      <c r="Y522" s="13"/>
      <c r="Z522" s="13"/>
    </row>
    <row r="523">
      <c r="A523" s="8">
        <v>43848.66761574074</v>
      </c>
      <c r="B523" s="9" t="str">
        <f>HYPERLINK("https://twitter.com/redhed67","@redhed67")</f>
        <v>@redhed67</v>
      </c>
      <c r="C523" s="10" t="s">
        <v>2437</v>
      </c>
      <c r="D523" s="10" t="s">
        <v>2438</v>
      </c>
      <c r="E523" s="9" t="str">
        <f>HYPERLINK("https://twitter.com/redhed67/status/1218639540254056454","1218639540254056454")</f>
        <v>1218639540254056454</v>
      </c>
      <c r="F523" s="11" t="s">
        <v>2439</v>
      </c>
      <c r="G523" s="13"/>
      <c r="H523" s="13"/>
      <c r="I523" s="14">
        <v>0.0</v>
      </c>
      <c r="J523" s="14">
        <v>0.0</v>
      </c>
      <c r="K523" s="9" t="str">
        <f>HYPERLINK("http://twitter.com/download/android","Twitter for Android")</f>
        <v>Twitter for Android</v>
      </c>
      <c r="L523" s="15">
        <v>12409.0</v>
      </c>
      <c r="M523" s="15">
        <v>12055.0</v>
      </c>
      <c r="N523" s="15">
        <v>403.0</v>
      </c>
      <c r="O523" s="16"/>
      <c r="P523" s="17">
        <v>39949.986921296295</v>
      </c>
      <c r="Q523" s="10" t="s">
        <v>2440</v>
      </c>
      <c r="R523" s="10" t="s">
        <v>2441</v>
      </c>
      <c r="S523" s="13"/>
      <c r="T523" s="13"/>
      <c r="U523" s="18" t="str">
        <f>HYPERLINK("https://pbs.twimg.com/profile_images/988933406976303104/dhHLQ4Xa.jpg","View")</f>
        <v>View</v>
      </c>
      <c r="V523" s="13"/>
      <c r="W523" s="13"/>
      <c r="X523" s="13"/>
      <c r="Y523" s="13"/>
      <c r="Z523" s="13"/>
    </row>
    <row r="524">
      <c r="A524" s="8">
        <v>43848.66753472222</v>
      </c>
      <c r="B524" s="9" t="str">
        <f>HYPERLINK("https://twitter.com/BambiDel","@BambiDel")</f>
        <v>@BambiDel</v>
      </c>
      <c r="C524" s="10" t="s">
        <v>2442</v>
      </c>
      <c r="D524" s="10" t="s">
        <v>2443</v>
      </c>
      <c r="E524" s="9" t="str">
        <f>HYPERLINK("https://twitter.com/BambiDel/status/1218639513699913734","1218639513699913734")</f>
        <v>1218639513699913734</v>
      </c>
      <c r="F524" s="11" t="s">
        <v>2444</v>
      </c>
      <c r="G524" s="11" t="s">
        <v>2445</v>
      </c>
      <c r="H524" s="13"/>
      <c r="I524" s="14">
        <v>0.0</v>
      </c>
      <c r="J524" s="14">
        <v>3.0</v>
      </c>
      <c r="K524" s="9" t="str">
        <f>HYPERLINK("http://twitter.com/download/iphone","Twitter for iPhone")</f>
        <v>Twitter for iPhone</v>
      </c>
      <c r="L524" s="15">
        <v>102.0</v>
      </c>
      <c r="M524" s="15">
        <v>397.0</v>
      </c>
      <c r="N524" s="15">
        <v>1.0</v>
      </c>
      <c r="O524" s="16"/>
      <c r="P524" s="17">
        <v>40007.33552083334</v>
      </c>
      <c r="Q524" s="10" t="s">
        <v>2446</v>
      </c>
      <c r="R524" s="10" t="s">
        <v>2447</v>
      </c>
      <c r="S524" s="13"/>
      <c r="T524" s="13"/>
      <c r="U524" s="18" t="str">
        <f>HYPERLINK("https://pbs.twimg.com/profile_images/1211815127525269505/4M5n7M_9.jpg","View")</f>
        <v>View</v>
      </c>
      <c r="V524" s="13"/>
      <c r="W524" s="13"/>
      <c r="X524" s="13"/>
      <c r="Y524" s="13"/>
      <c r="Z524" s="13"/>
    </row>
    <row r="525">
      <c r="A525" s="8">
        <v>43848.66746527777</v>
      </c>
      <c r="B525" s="9" t="str">
        <f>HYPERLINK("https://twitter.com/RosyWindow","@RosyWindow")</f>
        <v>@RosyWindow</v>
      </c>
      <c r="C525" s="10" t="s">
        <v>2448</v>
      </c>
      <c r="D525" s="10" t="s">
        <v>2449</v>
      </c>
      <c r="E525" s="9" t="str">
        <f>HYPERLINK("https://twitter.com/RosyWindow/status/1218639484696264704","1218639484696264704")</f>
        <v>1218639484696264704</v>
      </c>
      <c r="F525" s="11" t="s">
        <v>2450</v>
      </c>
      <c r="G525" s="11" t="s">
        <v>2451</v>
      </c>
      <c r="H525" s="13"/>
      <c r="I525" s="14">
        <v>0.0</v>
      </c>
      <c r="J525" s="14">
        <v>1.0</v>
      </c>
      <c r="K525" s="9" t="str">
        <f>HYPERLINK("https://www.later.com","LaterMedia")</f>
        <v>LaterMedia</v>
      </c>
      <c r="L525" s="15">
        <v>25.0</v>
      </c>
      <c r="M525" s="15">
        <v>84.0</v>
      </c>
      <c r="N525" s="15">
        <v>0.0</v>
      </c>
      <c r="O525" s="16"/>
      <c r="P525" s="17">
        <v>43153.59730324074</v>
      </c>
      <c r="Q525" s="10" t="s">
        <v>2452</v>
      </c>
      <c r="R525" s="10" t="s">
        <v>2453</v>
      </c>
      <c r="S525" s="11" t="s">
        <v>2450</v>
      </c>
      <c r="T525" s="13"/>
      <c r="U525" s="18" t="str">
        <f>HYPERLINK("https://pbs.twimg.com/profile_images/1171517761995980800/wrrPbXu6.jpg","View")</f>
        <v>View</v>
      </c>
      <c r="V525" s="13"/>
      <c r="W525" s="13"/>
      <c r="X525" s="13"/>
      <c r="Y525" s="13"/>
      <c r="Z525" s="13"/>
    </row>
    <row r="526">
      <c r="A526" s="8">
        <v>43848.66743055556</v>
      </c>
      <c r="B526" s="9" t="str">
        <f>HYPERLINK("https://twitter.com/LoveLeggingsUK","@LoveLeggingsUK")</f>
        <v>@LoveLeggingsUK</v>
      </c>
      <c r="C526" s="10" t="s">
        <v>2454</v>
      </c>
      <c r="D526" s="10" t="s">
        <v>2455</v>
      </c>
      <c r="E526" s="9" t="str">
        <f>HYPERLINK("https://twitter.com/LoveLeggingsUK/status/1218639473614913537","1218639473614913537")</f>
        <v>1218639473614913537</v>
      </c>
      <c r="F526" s="11" t="s">
        <v>2456</v>
      </c>
      <c r="G526" s="11" t="s">
        <v>2457</v>
      </c>
      <c r="H526" s="13"/>
      <c r="I526" s="14">
        <v>0.0</v>
      </c>
      <c r="J526" s="14">
        <v>0.0</v>
      </c>
      <c r="K526" s="9" t="str">
        <f t="shared" ref="K526:K528" si="64">HYPERLINK("https://www.hootsuite.com","Hootsuite Inc.")</f>
        <v>Hootsuite Inc.</v>
      </c>
      <c r="L526" s="15">
        <v>1749.0</v>
      </c>
      <c r="M526" s="15">
        <v>622.0</v>
      </c>
      <c r="N526" s="15">
        <v>1.0</v>
      </c>
      <c r="O526" s="16"/>
      <c r="P526" s="17">
        <v>43395.47993055556</v>
      </c>
      <c r="Q526" s="10" t="s">
        <v>446</v>
      </c>
      <c r="R526" s="10" t="s">
        <v>2458</v>
      </c>
      <c r="S526" s="11" t="s">
        <v>2459</v>
      </c>
      <c r="T526" s="13"/>
      <c r="U526" s="18" t="str">
        <f>HYPERLINK("https://pbs.twimg.com/profile_images/1054398209408278528/KYBEZ-1y.jpg","View")</f>
        <v>View</v>
      </c>
      <c r="V526" s="13"/>
      <c r="W526" s="13"/>
      <c r="X526" s="13"/>
      <c r="Y526" s="13"/>
      <c r="Z526" s="13"/>
    </row>
    <row r="527">
      <c r="A527" s="8">
        <v>43848.66743055556</v>
      </c>
      <c r="B527" s="9" t="str">
        <f>HYPERLINK("https://twitter.com/NoStigmas","@NoStigmas")</f>
        <v>@NoStigmas</v>
      </c>
      <c r="C527" s="10" t="s">
        <v>2460</v>
      </c>
      <c r="D527" s="10" t="s">
        <v>2461</v>
      </c>
      <c r="E527" s="9" t="str">
        <f>HYPERLINK("https://twitter.com/NoStigmas/status/1218639472293765121","1218639472293765121")</f>
        <v>1218639472293765121</v>
      </c>
      <c r="F527" s="11" t="s">
        <v>2462</v>
      </c>
      <c r="G527" s="13"/>
      <c r="H527" s="13"/>
      <c r="I527" s="14">
        <v>9.0</v>
      </c>
      <c r="J527" s="14">
        <v>11.0</v>
      </c>
      <c r="K527" s="9" t="str">
        <f t="shared" si="64"/>
        <v>Hootsuite Inc.</v>
      </c>
      <c r="L527" s="15">
        <v>45584.0</v>
      </c>
      <c r="M527" s="15">
        <v>8475.0</v>
      </c>
      <c r="N527" s="15">
        <v>758.0</v>
      </c>
      <c r="O527" s="16"/>
      <c r="P527" s="17">
        <v>39874.9441087963</v>
      </c>
      <c r="Q527" s="10" t="s">
        <v>2463</v>
      </c>
      <c r="R527" s="10" t="s">
        <v>2464</v>
      </c>
      <c r="S527" s="11" t="s">
        <v>2465</v>
      </c>
      <c r="T527" s="13"/>
      <c r="U527" s="18" t="str">
        <f>HYPERLINK("https://pbs.twimg.com/profile_images/1155672306955407361/enhs99Vu.jpg","View")</f>
        <v>View</v>
      </c>
      <c r="V527" s="13"/>
      <c r="W527" s="13"/>
      <c r="X527" s="13"/>
      <c r="Y527" s="13"/>
      <c r="Z527" s="13"/>
    </row>
    <row r="528">
      <c r="A528" s="8">
        <v>43848.66731481481</v>
      </c>
      <c r="B528" s="9" t="str">
        <f>HYPERLINK("https://twitter.com/TheHPPJournal","@TheHPPJournal")</f>
        <v>@TheHPPJournal</v>
      </c>
      <c r="C528" s="10" t="s">
        <v>2466</v>
      </c>
      <c r="D528" s="10" t="s">
        <v>2467</v>
      </c>
      <c r="E528" s="9" t="str">
        <f>HYPERLINK("https://twitter.com/TheHPPJournal/status/1218639434205290496","1218639434205290496")</f>
        <v>1218639434205290496</v>
      </c>
      <c r="F528" s="11" t="s">
        <v>2468</v>
      </c>
      <c r="G528" s="11" t="s">
        <v>2469</v>
      </c>
      <c r="H528" s="13"/>
      <c r="I528" s="14">
        <v>0.0</v>
      </c>
      <c r="J528" s="14">
        <v>0.0</v>
      </c>
      <c r="K528" s="9" t="str">
        <f t="shared" si="64"/>
        <v>Hootsuite Inc.</v>
      </c>
      <c r="L528" s="15">
        <v>469.0</v>
      </c>
      <c r="M528" s="15">
        <v>98.0</v>
      </c>
      <c r="N528" s="15">
        <v>1.0</v>
      </c>
      <c r="O528" s="16"/>
      <c r="P528" s="17">
        <v>43387.77978009259</v>
      </c>
      <c r="Q528" s="10" t="s">
        <v>2470</v>
      </c>
      <c r="R528" s="10" t="s">
        <v>2471</v>
      </c>
      <c r="S528" s="11" t="s">
        <v>2472</v>
      </c>
      <c r="T528" s="13"/>
      <c r="U528" s="18" t="str">
        <f>HYPERLINK("https://pbs.twimg.com/profile_images/1070124810020081665/zogWd5Hk.jpg","View")</f>
        <v>View</v>
      </c>
      <c r="V528" s="13"/>
      <c r="W528" s="13"/>
      <c r="X528" s="13"/>
      <c r="Y528" s="13"/>
      <c r="Z528" s="13"/>
    </row>
    <row r="529">
      <c r="A529" s="8">
        <v>43848.66711805556</v>
      </c>
      <c r="B529" s="9" t="str">
        <f>HYPERLINK("https://twitter.com/EuropeanTHA","@EuropeanTHA")</f>
        <v>@EuropeanTHA</v>
      </c>
      <c r="C529" s="10" t="s">
        <v>2473</v>
      </c>
      <c r="D529" s="10" t="s">
        <v>2474</v>
      </c>
      <c r="E529" s="9" t="str">
        <f>HYPERLINK("https://twitter.com/EuropeanTHA/status/1218639360586866688","1218639360586866688")</f>
        <v>1218639360586866688</v>
      </c>
      <c r="F529" s="11" t="s">
        <v>2475</v>
      </c>
      <c r="G529" s="11" t="s">
        <v>2476</v>
      </c>
      <c r="H529" s="13"/>
      <c r="I529" s="14">
        <v>2.0</v>
      </c>
      <c r="J529" s="14">
        <v>6.0</v>
      </c>
      <c r="K529" s="9" t="str">
        <f>HYPERLINK("https://mobile.twitter.com","Twitter Web App")</f>
        <v>Twitter Web App</v>
      </c>
      <c r="L529" s="15">
        <v>1044.0</v>
      </c>
      <c r="M529" s="15">
        <v>730.0</v>
      </c>
      <c r="N529" s="15">
        <v>9.0</v>
      </c>
      <c r="O529" s="16"/>
      <c r="P529" s="17">
        <v>43153.688576388886</v>
      </c>
      <c r="Q529" s="10" t="s">
        <v>2477</v>
      </c>
      <c r="R529" s="10" t="s">
        <v>2478</v>
      </c>
      <c r="S529" s="11" t="s">
        <v>2479</v>
      </c>
      <c r="T529" s="13"/>
      <c r="U529" s="18" t="str">
        <f>HYPERLINK("https://pbs.twimg.com/profile_images/967092423825416192/xcdRDuxH.jpg","View")</f>
        <v>View</v>
      </c>
      <c r="V529" s="13"/>
      <c r="W529" s="13"/>
      <c r="X529" s="13"/>
      <c r="Y529" s="13"/>
      <c r="Z529" s="13"/>
    </row>
    <row r="530">
      <c r="A530" s="8">
        <v>43848.66704861111</v>
      </c>
      <c r="B530" s="9" t="str">
        <f>HYPERLINK("https://twitter.com/Progress_Place","@Progress_Place")</f>
        <v>@Progress_Place</v>
      </c>
      <c r="C530" s="10" t="s">
        <v>2480</v>
      </c>
      <c r="D530" s="10" t="s">
        <v>2481</v>
      </c>
      <c r="E530" s="9" t="str">
        <f>HYPERLINK("https://twitter.com/Progress_Place/status/1218639335718891525","1218639335718891525")</f>
        <v>1218639335718891525</v>
      </c>
      <c r="F530" s="11" t="s">
        <v>2482</v>
      </c>
      <c r="G530" s="11" t="s">
        <v>2483</v>
      </c>
      <c r="H530" s="13"/>
      <c r="I530" s="14">
        <v>0.0</v>
      </c>
      <c r="J530" s="14">
        <v>0.0</v>
      </c>
      <c r="K530" s="9" t="str">
        <f>HYPERLINK("https://www.hootsuite.com","Hootsuite Inc.")</f>
        <v>Hootsuite Inc.</v>
      </c>
      <c r="L530" s="15">
        <v>618.0</v>
      </c>
      <c r="M530" s="15">
        <v>324.0</v>
      </c>
      <c r="N530" s="15">
        <v>9.0</v>
      </c>
      <c r="O530" s="16"/>
      <c r="P530" s="17">
        <v>41548.49381944444</v>
      </c>
      <c r="Q530" s="10" t="s">
        <v>2484</v>
      </c>
      <c r="R530" s="10" t="s">
        <v>2485</v>
      </c>
      <c r="S530" s="11" t="s">
        <v>2486</v>
      </c>
      <c r="T530" s="13"/>
      <c r="U530" s="18" t="str">
        <f>HYPERLINK("https://pbs.twimg.com/profile_images/664884444784779264/2SUfsV-w.jpg","View")</f>
        <v>View</v>
      </c>
      <c r="V530" s="13"/>
      <c r="W530" s="13"/>
      <c r="X530" s="13"/>
      <c r="Y530" s="13"/>
      <c r="Z530" s="13"/>
    </row>
    <row r="531">
      <c r="A531" s="8">
        <v>43848.66701388889</v>
      </c>
      <c r="B531" s="9" t="str">
        <f>HYPERLINK("https://twitter.com/LoopilouI","@LoopilouI")</f>
        <v>@LoopilouI</v>
      </c>
      <c r="C531" s="10" t="s">
        <v>158</v>
      </c>
      <c r="D531" s="10" t="s">
        <v>2487</v>
      </c>
      <c r="E531" s="9" t="str">
        <f>HYPERLINK("https://twitter.com/LoopilouI/status/1218639325023363072","1218639325023363072")</f>
        <v>1218639325023363072</v>
      </c>
      <c r="F531" s="11" t="s">
        <v>2488</v>
      </c>
      <c r="G531" s="13"/>
      <c r="H531" s="13"/>
      <c r="I531" s="14">
        <v>0.0</v>
      </c>
      <c r="J531" s="14">
        <v>1.0</v>
      </c>
      <c r="K531" s="9" t="str">
        <f>HYPERLINK("http://twitter.com/download/android","Twitter for Android")</f>
        <v>Twitter for Android</v>
      </c>
      <c r="L531" s="15">
        <v>920.0</v>
      </c>
      <c r="M531" s="15">
        <v>1462.0</v>
      </c>
      <c r="N531" s="15">
        <v>29.0</v>
      </c>
      <c r="O531" s="16"/>
      <c r="P531" s="17">
        <v>42295.61822916666</v>
      </c>
      <c r="Q531" s="10" t="s">
        <v>161</v>
      </c>
      <c r="R531" s="10" t="s">
        <v>162</v>
      </c>
      <c r="S531" s="13"/>
      <c r="T531" s="13"/>
      <c r="U531" s="18" t="str">
        <f>HYPERLINK("https://pbs.twimg.com/profile_images/1100155327545331712/mvzoGsdk.jpg","View")</f>
        <v>View</v>
      </c>
      <c r="V531" s="13"/>
      <c r="W531" s="13"/>
      <c r="X531" s="13"/>
      <c r="Y531" s="13"/>
      <c r="Z531" s="13"/>
    </row>
    <row r="532">
      <c r="A532" s="8">
        <v>43848.66689814815</v>
      </c>
      <c r="B532" s="9" t="str">
        <f>HYPERLINK("https://twitter.com/psychologybook1","@psychologybook1")</f>
        <v>@psychologybook1</v>
      </c>
      <c r="C532" s="10" t="s">
        <v>2489</v>
      </c>
      <c r="D532" s="10" t="s">
        <v>2490</v>
      </c>
      <c r="E532" s="9" t="str">
        <f>HYPERLINK("https://twitter.com/psychologybook1/status/1218639282568605697","1218639282568605697")</f>
        <v>1218639282568605697</v>
      </c>
      <c r="F532" s="11" t="s">
        <v>2491</v>
      </c>
      <c r="G532" s="13"/>
      <c r="H532" s="13"/>
      <c r="I532" s="14">
        <v>0.0</v>
      </c>
      <c r="J532" s="14">
        <v>0.0</v>
      </c>
      <c r="K532" s="9" t="str">
        <f>HYPERLINK("https://ifttt.com","IFTTT")</f>
        <v>IFTTT</v>
      </c>
      <c r="L532" s="15">
        <v>282.0</v>
      </c>
      <c r="M532" s="15">
        <v>236.0</v>
      </c>
      <c r="N532" s="15">
        <v>123.0</v>
      </c>
      <c r="O532" s="16"/>
      <c r="P532" s="17">
        <v>42467.2908449074</v>
      </c>
      <c r="Q532" s="13"/>
      <c r="R532" s="10" t="s">
        <v>2492</v>
      </c>
      <c r="S532" s="13"/>
      <c r="T532" s="13"/>
      <c r="U532" s="18" t="str">
        <f>HYPERLINK("https://pbs.twimg.com/profile_images/718032989939220481/OyVxSmu6.jpg","View")</f>
        <v>View</v>
      </c>
      <c r="V532" s="13"/>
      <c r="W532" s="13"/>
      <c r="X532" s="13"/>
      <c r="Y532" s="13"/>
      <c r="Z532" s="13"/>
    </row>
    <row r="533">
      <c r="A533" s="8">
        <v>43848.66688657408</v>
      </c>
      <c r="B533" s="9" t="str">
        <f>HYPERLINK("https://twitter.com/HealthyPlace","@HealthyPlace")</f>
        <v>@HealthyPlace</v>
      </c>
      <c r="C533" s="10" t="s">
        <v>1457</v>
      </c>
      <c r="D533" s="10" t="s">
        <v>2493</v>
      </c>
      <c r="E533" s="9" t="str">
        <f>HYPERLINK("https://twitter.com/HealthyPlace/status/1218639276608557056","1218639276608557056")</f>
        <v>1218639276608557056</v>
      </c>
      <c r="F533" s="11" t="s">
        <v>2494</v>
      </c>
      <c r="G533" s="11" t="s">
        <v>2495</v>
      </c>
      <c r="H533" s="13"/>
      <c r="I533" s="14">
        <v>0.0</v>
      </c>
      <c r="J533" s="14">
        <v>0.0</v>
      </c>
      <c r="K533" s="9" t="str">
        <f>HYPERLINK("https://sproutsocial.com","Sprout Social")</f>
        <v>Sprout Social</v>
      </c>
      <c r="L533" s="15">
        <v>64943.0</v>
      </c>
      <c r="M533" s="15">
        <v>25049.0</v>
      </c>
      <c r="N533" s="15">
        <v>1710.0</v>
      </c>
      <c r="O533" s="16"/>
      <c r="P533" s="17">
        <v>39681.03928240741</v>
      </c>
      <c r="Q533" s="10" t="s">
        <v>1460</v>
      </c>
      <c r="R533" s="10" t="s">
        <v>1461</v>
      </c>
      <c r="S533" s="11" t="s">
        <v>1462</v>
      </c>
      <c r="T533" s="13"/>
      <c r="U533" s="18" t="str">
        <f>HYPERLINK("https://pbs.twimg.com/profile_images/753613454083252225/i5pr2xny.jpg","View")</f>
        <v>View</v>
      </c>
      <c r="V533" s="13"/>
      <c r="W533" s="13"/>
      <c r="X533" s="13"/>
      <c r="Y533" s="13"/>
      <c r="Z533" s="13"/>
    </row>
    <row r="534">
      <c r="A534" s="8">
        <v>43848.666874999995</v>
      </c>
      <c r="B534" s="9" t="str">
        <f>HYPERLINK("https://twitter.com/coumcollege","@coumcollege")</f>
        <v>@coumcollege</v>
      </c>
      <c r="C534" s="10" t="s">
        <v>2496</v>
      </c>
      <c r="D534" s="10" t="s">
        <v>2497</v>
      </c>
      <c r="E534" s="9" t="str">
        <f>HYPERLINK("https://twitter.com/coumcollege/status/1218639271210442752","1218639271210442752")</f>
        <v>1218639271210442752</v>
      </c>
      <c r="F534" s="11" t="s">
        <v>2498</v>
      </c>
      <c r="G534" s="11" t="s">
        <v>2499</v>
      </c>
      <c r="H534" s="13"/>
      <c r="I534" s="14">
        <v>0.0</v>
      </c>
      <c r="J534" s="14">
        <v>0.0</v>
      </c>
      <c r="K534" s="9" t="str">
        <f t="shared" ref="K534:K536" si="65">HYPERLINK("https://buffer.com","Buffer")</f>
        <v>Buffer</v>
      </c>
      <c r="L534" s="15">
        <v>362.0</v>
      </c>
      <c r="M534" s="15">
        <v>292.0</v>
      </c>
      <c r="N534" s="15">
        <v>9.0</v>
      </c>
      <c r="O534" s="16"/>
      <c r="P534" s="17">
        <v>41845.545960648145</v>
      </c>
      <c r="Q534" s="13"/>
      <c r="R534" s="13"/>
      <c r="S534" s="11" t="s">
        <v>2500</v>
      </c>
      <c r="T534" s="13"/>
      <c r="U534" s="18" t="str">
        <f>HYPERLINK("https://pbs.twimg.com/profile_images/950279575237402624/d2FSupsK.jpg","View")</f>
        <v>View</v>
      </c>
      <c r="V534" s="13"/>
      <c r="W534" s="13"/>
      <c r="X534" s="13"/>
      <c r="Y534" s="13"/>
      <c r="Z534" s="13"/>
    </row>
    <row r="535">
      <c r="A535" s="8">
        <v>43848.666851851856</v>
      </c>
      <c r="B535" s="9" t="str">
        <f>HYPERLINK("https://twitter.com/thenearlyman1","@thenearlyman1")</f>
        <v>@thenearlyman1</v>
      </c>
      <c r="C535" s="10" t="s">
        <v>2501</v>
      </c>
      <c r="D535" s="10" t="s">
        <v>2502</v>
      </c>
      <c r="E535" s="9" t="str">
        <f>HYPERLINK("https://twitter.com/thenearlyman1/status/1218639262687596550","1218639262687596550")</f>
        <v>1218639262687596550</v>
      </c>
      <c r="F535" s="11" t="s">
        <v>2503</v>
      </c>
      <c r="G535" s="11" t="s">
        <v>2504</v>
      </c>
      <c r="H535" s="13"/>
      <c r="I535" s="14">
        <v>0.0</v>
      </c>
      <c r="J535" s="14">
        <v>0.0</v>
      </c>
      <c r="K535" s="9" t="str">
        <f t="shared" si="65"/>
        <v>Buffer</v>
      </c>
      <c r="L535" s="15">
        <v>109.0</v>
      </c>
      <c r="M535" s="15">
        <v>284.0</v>
      </c>
      <c r="N535" s="15">
        <v>17.0</v>
      </c>
      <c r="O535" s="16"/>
      <c r="P535" s="17">
        <v>42188.37944444444</v>
      </c>
      <c r="Q535" s="13"/>
      <c r="R535" s="10" t="s">
        <v>2505</v>
      </c>
      <c r="S535" s="13"/>
      <c r="T535" s="13"/>
      <c r="U535" s="18" t="str">
        <f>HYPERLINK("https://pbs.twimg.com/profile_images/651991791483400192/w9OUZFNI.jpg","View")</f>
        <v>View</v>
      </c>
      <c r="V535" s="13"/>
      <c r="W535" s="13"/>
      <c r="X535" s="13"/>
      <c r="Y535" s="13"/>
      <c r="Z535" s="13"/>
    </row>
    <row r="536">
      <c r="A536" s="8">
        <v>43848.66680555556</v>
      </c>
      <c r="B536" s="9" t="str">
        <f>HYPERLINK("https://twitter.com/JAcOB_TRoMM","@JAcOB_TRoMM")</f>
        <v>@JAcOB_TRoMM</v>
      </c>
      <c r="C536" s="10" t="s">
        <v>2506</v>
      </c>
      <c r="D536" s="10" t="s">
        <v>2502</v>
      </c>
      <c r="E536" s="9" t="str">
        <f>HYPERLINK("https://twitter.com/JAcOB_TRoMM/status/1218639245964869632","1218639245964869632")</f>
        <v>1218639245964869632</v>
      </c>
      <c r="F536" s="11" t="s">
        <v>2503</v>
      </c>
      <c r="G536" s="11" t="s">
        <v>2507</v>
      </c>
      <c r="H536" s="13"/>
      <c r="I536" s="14">
        <v>0.0</v>
      </c>
      <c r="J536" s="14">
        <v>0.0</v>
      </c>
      <c r="K536" s="9" t="str">
        <f t="shared" si="65"/>
        <v>Buffer</v>
      </c>
      <c r="L536" s="15">
        <v>2293.0</v>
      </c>
      <c r="M536" s="15">
        <v>2312.0</v>
      </c>
      <c r="N536" s="15">
        <v>34.0</v>
      </c>
      <c r="O536" s="16"/>
      <c r="P536" s="17">
        <v>42188.363645833335</v>
      </c>
      <c r="Q536" s="10" t="s">
        <v>161</v>
      </c>
      <c r="R536" s="10" t="s">
        <v>2508</v>
      </c>
      <c r="S536" s="11" t="s">
        <v>2509</v>
      </c>
      <c r="T536" s="13"/>
      <c r="U536" s="18" t="str">
        <f>HYPERLINK("https://pbs.twimg.com/profile_images/616950633661341696/SK_t0_ee.png","View")</f>
        <v>View</v>
      </c>
      <c r="V536" s="13"/>
      <c r="W536" s="13"/>
      <c r="X536" s="13"/>
      <c r="Y536" s="13"/>
      <c r="Z536" s="13"/>
    </row>
    <row r="537">
      <c r="A537" s="8">
        <v>43848.66677083333</v>
      </c>
      <c r="B537" s="9" t="str">
        <f>HYPERLINK("https://twitter.com/theravive","@theravive")</f>
        <v>@theravive</v>
      </c>
      <c r="C537" s="10" t="s">
        <v>2510</v>
      </c>
      <c r="D537" s="10" t="s">
        <v>2511</v>
      </c>
      <c r="E537" s="9" t="str">
        <f>HYPERLINK("https://twitter.com/theravive/status/1218639234564861952","1218639234564861952")</f>
        <v>1218639234564861952</v>
      </c>
      <c r="F537" s="11" t="s">
        <v>2512</v>
      </c>
      <c r="G537" s="13"/>
      <c r="H537" s="13"/>
      <c r="I537" s="14">
        <v>0.0</v>
      </c>
      <c r="J537" s="14">
        <v>0.0</v>
      </c>
      <c r="K537" s="9" t="str">
        <f>HYPERLINK("https://sproutsocial.com","Sprout Social")</f>
        <v>Sprout Social</v>
      </c>
      <c r="L537" s="15">
        <v>1003.0</v>
      </c>
      <c r="M537" s="15">
        <v>311.0</v>
      </c>
      <c r="N537" s="15">
        <v>43.0</v>
      </c>
      <c r="O537" s="16"/>
      <c r="P537" s="17">
        <v>40216.87541666666</v>
      </c>
      <c r="Q537" s="10" t="s">
        <v>2513</v>
      </c>
      <c r="R537" s="10" t="s">
        <v>2514</v>
      </c>
      <c r="S537" s="11" t="s">
        <v>2515</v>
      </c>
      <c r="T537" s="13"/>
      <c r="U537" s="18" t="str">
        <f>HYPERLINK("https://pbs.twimg.com/profile_images/378800000017531892/283e518aa9dce7893f39c69918f45e69.jpeg","View")</f>
        <v>View</v>
      </c>
      <c r="V537" s="13"/>
      <c r="W537" s="13"/>
      <c r="X537" s="13"/>
      <c r="Y537" s="13"/>
      <c r="Z537" s="13"/>
    </row>
    <row r="538">
      <c r="A538" s="8">
        <v>43848.66674768519</v>
      </c>
      <c r="B538" s="9" t="str">
        <f>HYPERLINK("https://twitter.com/AnnaWrestler","@AnnaWrestler")</f>
        <v>@AnnaWrestler</v>
      </c>
      <c r="C538" s="10" t="s">
        <v>2516</v>
      </c>
      <c r="D538" s="10" t="s">
        <v>2517</v>
      </c>
      <c r="E538" s="9" t="str">
        <f>HYPERLINK("https://twitter.com/AnnaWrestler/status/1218639228470427648","1218639228470427648")</f>
        <v>1218639228470427648</v>
      </c>
      <c r="F538" s="11" t="s">
        <v>2518</v>
      </c>
      <c r="G538" s="13"/>
      <c r="H538" s="13"/>
      <c r="I538" s="14">
        <v>0.0</v>
      </c>
      <c r="J538" s="14">
        <v>0.0</v>
      </c>
      <c r="K538" s="9" t="str">
        <f>HYPERLINK("https://mobile.twitter.com","Twitter Web App")</f>
        <v>Twitter Web App</v>
      </c>
      <c r="L538" s="15">
        <v>6970.0</v>
      </c>
      <c r="M538" s="15">
        <v>118.0</v>
      </c>
      <c r="N538" s="15">
        <v>2.0</v>
      </c>
      <c r="O538" s="16"/>
      <c r="P538" s="17">
        <v>43371.192152777774</v>
      </c>
      <c r="Q538" s="10" t="s">
        <v>2519</v>
      </c>
      <c r="R538" s="10" t="s">
        <v>2520</v>
      </c>
      <c r="S538" s="13"/>
      <c r="T538" s="13"/>
      <c r="U538" s="18" t="str">
        <f>HYPERLINK("https://pbs.twimg.com/profile_images/1109165661127876609/ep5yy2Wa.png","View")</f>
        <v>View</v>
      </c>
      <c r="V538" s="13"/>
      <c r="W538" s="13"/>
      <c r="X538" s="13"/>
      <c r="Y538" s="13"/>
      <c r="Z538" s="13"/>
    </row>
    <row r="539">
      <c r="A539" s="8">
        <v>43848.66666666667</v>
      </c>
      <c r="B539" s="9" t="str">
        <f>HYPERLINK("https://twitter.com/KariJoys","@KariJoys")</f>
        <v>@KariJoys</v>
      </c>
      <c r="C539" s="10" t="s">
        <v>2521</v>
      </c>
      <c r="D539" s="10" t="s">
        <v>2522</v>
      </c>
      <c r="E539" s="9" t="str">
        <f>HYPERLINK("https://twitter.com/KariJoys/status/1218639197801631745","1218639197801631745")</f>
        <v>1218639197801631745</v>
      </c>
      <c r="F539" s="13"/>
      <c r="G539" s="11" t="s">
        <v>2523</v>
      </c>
      <c r="H539" s="13"/>
      <c r="I539" s="14">
        <v>9.0</v>
      </c>
      <c r="J539" s="14">
        <v>12.0</v>
      </c>
      <c r="K539" s="9" t="str">
        <f>HYPERLINK("https://about.twitter.com/products/tweetdeck","TweetDeck")</f>
        <v>TweetDeck</v>
      </c>
      <c r="L539" s="15">
        <v>130331.0</v>
      </c>
      <c r="M539" s="15">
        <v>80815.0</v>
      </c>
      <c r="N539" s="15">
        <v>1994.0</v>
      </c>
      <c r="O539" s="16"/>
      <c r="P539" s="17">
        <v>39806.44865740741</v>
      </c>
      <c r="Q539" s="10" t="s">
        <v>2050</v>
      </c>
      <c r="R539" s="10" t="s">
        <v>2524</v>
      </c>
      <c r="S539" s="11" t="s">
        <v>2525</v>
      </c>
      <c r="T539" s="13"/>
      <c r="U539" s="18" t="str">
        <f>HYPERLINK("https://pbs.twimg.com/profile_images/842437753086263296/kSw0r50-.jpg","View")</f>
        <v>View</v>
      </c>
      <c r="V539" s="13"/>
      <c r="W539" s="13"/>
      <c r="X539" s="13"/>
      <c r="Y539" s="13"/>
      <c r="Z539" s="13"/>
    </row>
    <row r="540">
      <c r="A540" s="8">
        <v>43848.666400462964</v>
      </c>
      <c r="B540" s="9" t="str">
        <f>HYPERLINK("https://twitter.com/SNAP4ADHD","@SNAP4ADHD")</f>
        <v>@SNAP4ADHD</v>
      </c>
      <c r="C540" s="10" t="s">
        <v>168</v>
      </c>
      <c r="D540" s="10" t="s">
        <v>2526</v>
      </c>
      <c r="E540" s="9" t="str">
        <f>HYPERLINK("https://twitter.com/SNAP4ADHD/status/1218639101173411840","1218639101173411840")</f>
        <v>1218639101173411840</v>
      </c>
      <c r="F540" s="11" t="s">
        <v>2527</v>
      </c>
      <c r="G540" s="11" t="s">
        <v>2528</v>
      </c>
      <c r="H540" s="13"/>
      <c r="I540" s="14">
        <v>0.0</v>
      </c>
      <c r="J540" s="14">
        <v>0.0</v>
      </c>
      <c r="K540" s="9" t="str">
        <f>HYPERLINK("https://www.socialjukebox.com","The Social Jukebox")</f>
        <v>The Social Jukebox</v>
      </c>
      <c r="L540" s="15">
        <v>67.0</v>
      </c>
      <c r="M540" s="15">
        <v>245.0</v>
      </c>
      <c r="N540" s="15">
        <v>2.0</v>
      </c>
      <c r="O540" s="16"/>
      <c r="P540" s="17">
        <v>42926.87278935185</v>
      </c>
      <c r="Q540" s="10" t="s">
        <v>171</v>
      </c>
      <c r="R540" s="10" t="s">
        <v>172</v>
      </c>
      <c r="S540" s="11" t="s">
        <v>173</v>
      </c>
      <c r="T540" s="13"/>
      <c r="U540" s="18" t="str">
        <f>HYPERLINK("https://pbs.twimg.com/profile_images/1177022434311983105/_D2VVVDL.jpg","View")</f>
        <v>View</v>
      </c>
      <c r="V540" s="13"/>
      <c r="W540" s="13"/>
      <c r="X540" s="13"/>
      <c r="Y540" s="13"/>
      <c r="Z540" s="13"/>
    </row>
    <row r="541">
      <c r="A541" s="8">
        <v>43848.666400462964</v>
      </c>
      <c r="B541" s="9" t="str">
        <f>HYPERLINK("https://twitter.com/UoCPorters","@UoCPorters")</f>
        <v>@UoCPorters</v>
      </c>
      <c r="C541" s="10" t="s">
        <v>2529</v>
      </c>
      <c r="D541" s="10" t="s">
        <v>2530</v>
      </c>
      <c r="E541" s="9" t="str">
        <f>HYPERLINK("https://twitter.com/UoCPorters/status/1218639101001379840","1218639101001379840")</f>
        <v>1218639101001379840</v>
      </c>
      <c r="F541" s="11" t="s">
        <v>2531</v>
      </c>
      <c r="G541" s="13"/>
      <c r="H541" s="13"/>
      <c r="I541" s="14">
        <v>1.0</v>
      </c>
      <c r="J541" s="14">
        <v>3.0</v>
      </c>
      <c r="K541" s="9" t="str">
        <f>HYPERLINK("https://mobile.twitter.com","Twitter Web App")</f>
        <v>Twitter Web App</v>
      </c>
      <c r="L541" s="15">
        <v>599.0</v>
      </c>
      <c r="M541" s="15">
        <v>529.0</v>
      </c>
      <c r="N541" s="15">
        <v>5.0</v>
      </c>
      <c r="O541" s="16"/>
      <c r="P541" s="17">
        <v>41970.42633101852</v>
      </c>
      <c r="Q541" s="10" t="s">
        <v>2532</v>
      </c>
      <c r="R541" s="10" t="s">
        <v>2533</v>
      </c>
      <c r="S541" s="13"/>
      <c r="T541" s="13"/>
      <c r="U541" s="18" t="str">
        <f>HYPERLINK("https://pbs.twimg.com/profile_images/932191320545939456/lYfgsH9r.jpg","View")</f>
        <v>View</v>
      </c>
      <c r="V541" s="13"/>
      <c r="W541" s="13"/>
      <c r="X541" s="13"/>
      <c r="Y541" s="13"/>
      <c r="Z541" s="13"/>
    </row>
    <row r="542">
      <c r="A542" s="8">
        <v>43848.666249999995</v>
      </c>
      <c r="B542" s="9" t="str">
        <f>HYPERLINK("https://twitter.com/themoodcards","@themoodcards")</f>
        <v>@themoodcards</v>
      </c>
      <c r="C542" s="10" t="s">
        <v>2534</v>
      </c>
      <c r="D542" s="10" t="s">
        <v>2535</v>
      </c>
      <c r="E542" s="9" t="str">
        <f>HYPERLINK("https://twitter.com/themoodcards/status/1218639046173511693","1218639046173511693")</f>
        <v>1218639046173511693</v>
      </c>
      <c r="F542" s="11" t="s">
        <v>2536</v>
      </c>
      <c r="G542" s="13"/>
      <c r="H542" s="13"/>
      <c r="I542" s="14">
        <v>0.0</v>
      </c>
      <c r="J542" s="14">
        <v>1.0</v>
      </c>
      <c r="K542" s="9" t="str">
        <f t="shared" ref="K542:K543" si="66">HYPERLINK("https://www.socialjukebox.com","The Social Jukebox")</f>
        <v>The Social Jukebox</v>
      </c>
      <c r="L542" s="15">
        <v>20059.0</v>
      </c>
      <c r="M542" s="15">
        <v>6081.0</v>
      </c>
      <c r="N542" s="15">
        <v>816.0</v>
      </c>
      <c r="O542" s="16"/>
      <c r="P542" s="17">
        <v>39867.74195601852</v>
      </c>
      <c r="Q542" s="10" t="s">
        <v>2537</v>
      </c>
      <c r="R542" s="10" t="s">
        <v>2538</v>
      </c>
      <c r="S542" s="11" t="s">
        <v>2539</v>
      </c>
      <c r="T542" s="13"/>
      <c r="U542" s="18" t="str">
        <f>HYPERLINK("https://pbs.twimg.com/profile_images/1090900502332743681/QR-roEM5.jpg","View")</f>
        <v>View</v>
      </c>
      <c r="V542" s="13"/>
      <c r="W542" s="13"/>
      <c r="X542" s="13"/>
      <c r="Y542" s="13"/>
      <c r="Z542" s="13"/>
    </row>
    <row r="543">
      <c r="A543" s="8">
        <v>43848.66619212963</v>
      </c>
      <c r="B543" s="9" t="str">
        <f>HYPERLINK("https://twitter.com/moodcards","@moodcards")</f>
        <v>@moodcards</v>
      </c>
      <c r="C543" s="10" t="s">
        <v>2540</v>
      </c>
      <c r="D543" s="10" t="s">
        <v>2541</v>
      </c>
      <c r="E543" s="9" t="str">
        <f>HYPERLINK("https://twitter.com/moodcards/status/1218639025239678976","1218639025239678976")</f>
        <v>1218639025239678976</v>
      </c>
      <c r="F543" s="11" t="s">
        <v>2542</v>
      </c>
      <c r="G543" s="11" t="s">
        <v>2543</v>
      </c>
      <c r="H543" s="13"/>
      <c r="I543" s="14">
        <v>1.0</v>
      </c>
      <c r="J543" s="14">
        <v>1.0</v>
      </c>
      <c r="K543" s="9" t="str">
        <f t="shared" si="66"/>
        <v>The Social Jukebox</v>
      </c>
      <c r="L543" s="15">
        <v>15748.0</v>
      </c>
      <c r="M543" s="15">
        <v>3518.0</v>
      </c>
      <c r="N543" s="15">
        <v>799.0</v>
      </c>
      <c r="O543" s="16"/>
      <c r="P543" s="17">
        <v>41418.40415509259</v>
      </c>
      <c r="Q543" s="10" t="s">
        <v>95</v>
      </c>
      <c r="R543" s="10" t="s">
        <v>2544</v>
      </c>
      <c r="S543" s="13"/>
      <c r="T543" s="13"/>
      <c r="U543" s="18" t="str">
        <f>HYPERLINK("https://pbs.twimg.com/profile_images/615440861804032000/5pJi-wPI.jpg","View")</f>
        <v>View</v>
      </c>
      <c r="V543" s="13"/>
      <c r="W543" s="13"/>
      <c r="X543" s="13"/>
      <c r="Y543" s="13"/>
      <c r="Z543" s="13"/>
    </row>
    <row r="544">
      <c r="A544" s="8">
        <v>43848.66619212963</v>
      </c>
      <c r="B544" s="9" t="str">
        <f>HYPERLINK("https://twitter.com/WYP_DM6621","@WYP_DM6621")</f>
        <v>@WYP_DM6621</v>
      </c>
      <c r="C544" s="10" t="s">
        <v>2545</v>
      </c>
      <c r="D544" s="10" t="s">
        <v>2546</v>
      </c>
      <c r="E544" s="9" t="str">
        <f>HYPERLINK("https://twitter.com/WYP_DM6621/status/1218639023918501889","1218639023918501889")</f>
        <v>1218639023918501889</v>
      </c>
      <c r="F544" s="13"/>
      <c r="G544" s="11" t="s">
        <v>2547</v>
      </c>
      <c r="H544" s="13"/>
      <c r="I544" s="14">
        <v>0.0</v>
      </c>
      <c r="J544" s="14">
        <v>5.0</v>
      </c>
      <c r="K544" s="9" t="str">
        <f>HYPERLINK("http://twitter.com/download/iphone","Twitter for iPhone")</f>
        <v>Twitter for iPhone</v>
      </c>
      <c r="L544" s="15">
        <v>890.0</v>
      </c>
      <c r="M544" s="15">
        <v>1014.0</v>
      </c>
      <c r="N544" s="15">
        <v>7.0</v>
      </c>
      <c r="O544" s="16"/>
      <c r="P544" s="17">
        <v>39955.235300925924</v>
      </c>
      <c r="Q544" s="10" t="s">
        <v>2548</v>
      </c>
      <c r="R544" s="13"/>
      <c r="S544" s="13"/>
      <c r="T544" s="13"/>
      <c r="U544" s="18" t="str">
        <f>HYPERLINK("https://pbs.twimg.com/profile_images/1020966542895452160/Xh4w3zlC.jpg","View")</f>
        <v>View</v>
      </c>
      <c r="V544" s="13"/>
      <c r="W544" s="13"/>
      <c r="X544" s="13"/>
      <c r="Y544" s="13"/>
      <c r="Z544" s="13"/>
    </row>
    <row r="545">
      <c r="A545" s="8">
        <v>43848.66599537037</v>
      </c>
      <c r="B545" s="9" t="str">
        <f>HYPERLINK("https://twitter.com/Fund2007","@Fund2007")</f>
        <v>@Fund2007</v>
      </c>
      <c r="C545" s="10" t="s">
        <v>2549</v>
      </c>
      <c r="D545" s="10" t="s">
        <v>2550</v>
      </c>
      <c r="E545" s="9" t="str">
        <f>HYPERLINK("https://twitter.com/Fund2007/status/1218638952053256192","1218638952053256192")</f>
        <v>1218638952053256192</v>
      </c>
      <c r="F545" s="11" t="s">
        <v>2551</v>
      </c>
      <c r="G545" s="13"/>
      <c r="H545" s="13"/>
      <c r="I545" s="14">
        <v>0.0</v>
      </c>
      <c r="J545" s="14">
        <v>0.0</v>
      </c>
      <c r="K545" s="9" t="str">
        <f>HYPERLINK("http://twitter.com","Twitter Web Client")</f>
        <v>Twitter Web Client</v>
      </c>
      <c r="L545" s="15">
        <v>445.0</v>
      </c>
      <c r="M545" s="15">
        <v>918.0</v>
      </c>
      <c r="N545" s="15">
        <v>22.0</v>
      </c>
      <c r="O545" s="16"/>
      <c r="P545" s="17">
        <v>40373.87738425926</v>
      </c>
      <c r="Q545" s="10" t="s">
        <v>2552</v>
      </c>
      <c r="R545" s="10" t="s">
        <v>2553</v>
      </c>
      <c r="S545" s="11" t="s">
        <v>2554</v>
      </c>
      <c r="T545" s="13"/>
      <c r="U545" s="18" t="str">
        <f>HYPERLINK("https://pbs.twimg.com/profile_images/2870820878/f32948da73e0c3c68a4a0fe78ded7fd1.jpeg","View")</f>
        <v>View</v>
      </c>
      <c r="V545" s="13"/>
      <c r="W545" s="13"/>
      <c r="X545" s="13"/>
      <c r="Y545" s="13"/>
      <c r="Z545" s="13"/>
    </row>
    <row r="546">
      <c r="A546" s="8">
        <v>43848.66537037037</v>
      </c>
      <c r="B546" s="9" t="str">
        <f>HYPERLINK("https://twitter.com/haableex","@haableex")</f>
        <v>@haableex</v>
      </c>
      <c r="C546" s="10" t="s">
        <v>2555</v>
      </c>
      <c r="D546" s="10" t="s">
        <v>2556</v>
      </c>
      <c r="E546" s="9" t="str">
        <f>HYPERLINK("https://twitter.com/haableex/status/1218638725896450050","1218638725896450050")</f>
        <v>1218638725896450050</v>
      </c>
      <c r="F546" s="13"/>
      <c r="G546" s="13"/>
      <c r="H546" s="13"/>
      <c r="I546" s="14">
        <v>0.0</v>
      </c>
      <c r="J546" s="14">
        <v>1.0</v>
      </c>
      <c r="K546" s="9" t="str">
        <f>HYPERLINK("http://twitter.com/download/android","Twitter for Android")</f>
        <v>Twitter for Android</v>
      </c>
      <c r="L546" s="15">
        <v>677.0</v>
      </c>
      <c r="M546" s="15">
        <v>2669.0</v>
      </c>
      <c r="N546" s="15">
        <v>0.0</v>
      </c>
      <c r="O546" s="16"/>
      <c r="P546" s="17">
        <v>40362.360555555555</v>
      </c>
      <c r="Q546" s="10" t="s">
        <v>2557</v>
      </c>
      <c r="R546" s="10" t="s">
        <v>2558</v>
      </c>
      <c r="S546" s="11" t="s">
        <v>2559</v>
      </c>
      <c r="T546" s="13"/>
      <c r="U546" s="18" t="str">
        <f>HYPERLINK("https://pbs.twimg.com/profile_images/1105525338740871169/k7TH1jVp.jpg","View")</f>
        <v>View</v>
      </c>
      <c r="V546" s="13"/>
      <c r="W546" s="13"/>
      <c r="X546" s="13"/>
      <c r="Y546" s="13"/>
      <c r="Z546" s="13"/>
    </row>
    <row r="547">
      <c r="A547" s="8">
        <v>43848.66509259259</v>
      </c>
      <c r="B547" s="9" t="str">
        <f>HYPERLINK("https://twitter.com/WARRIORMENTALI2","@WARRIORMENTALI2")</f>
        <v>@WARRIORMENTALI2</v>
      </c>
      <c r="C547" s="10" t="s">
        <v>2560</v>
      </c>
      <c r="D547" s="10" t="s">
        <v>2561</v>
      </c>
      <c r="E547" s="9" t="str">
        <f>HYPERLINK("https://twitter.com/WARRIORMENTALI2/status/1218638628731129857","1218638628731129857")</f>
        <v>1218638628731129857</v>
      </c>
      <c r="F547" s="13"/>
      <c r="G547" s="11" t="s">
        <v>2562</v>
      </c>
      <c r="H547" s="13"/>
      <c r="I547" s="14">
        <v>0.0</v>
      </c>
      <c r="J547" s="14">
        <v>2.0</v>
      </c>
      <c r="K547" s="9" t="str">
        <f>HYPERLINK("http://twitter.com/download/iphone","Twitter for iPhone")</f>
        <v>Twitter for iPhone</v>
      </c>
      <c r="L547" s="15">
        <v>325.0</v>
      </c>
      <c r="M547" s="15">
        <v>482.0</v>
      </c>
      <c r="N547" s="15">
        <v>0.0</v>
      </c>
      <c r="O547" s="16"/>
      <c r="P547" s="17">
        <v>43843.69868055556</v>
      </c>
      <c r="Q547" s="13"/>
      <c r="R547" s="10" t="s">
        <v>2563</v>
      </c>
      <c r="S547" s="13"/>
      <c r="T547" s="13"/>
      <c r="U547" s="18" t="str">
        <f>HYPERLINK("https://pbs.twimg.com/profile_images/1216839706383671296/5Wxm4t25.jpg","View")</f>
        <v>View</v>
      </c>
      <c r="V547" s="13"/>
      <c r="W547" s="13"/>
      <c r="X547" s="13"/>
      <c r="Y547" s="13"/>
      <c r="Z547" s="13"/>
    </row>
    <row r="548">
      <c r="A548" s="8">
        <v>43848.664618055554</v>
      </c>
      <c r="B548" s="9" t="str">
        <f>HYPERLINK("https://twitter.com/DrRayND","@DrRayND")</f>
        <v>@DrRayND</v>
      </c>
      <c r="C548" s="10" t="s">
        <v>2564</v>
      </c>
      <c r="D548" s="10" t="s">
        <v>2565</v>
      </c>
      <c r="E548" s="9" t="str">
        <f>HYPERLINK("https://twitter.com/DrRayND/status/1218638453233147906","1218638453233147906")</f>
        <v>1218638453233147906</v>
      </c>
      <c r="F548" s="11" t="s">
        <v>2566</v>
      </c>
      <c r="G548" s="11" t="s">
        <v>2567</v>
      </c>
      <c r="H548" s="13"/>
      <c r="I548" s="14">
        <v>0.0</v>
      </c>
      <c r="J548" s="14">
        <v>1.0</v>
      </c>
      <c r="K548" s="9" t="str">
        <f>HYPERLINK("https://buffer.com","Buffer")</f>
        <v>Buffer</v>
      </c>
      <c r="L548" s="15">
        <v>165.0</v>
      </c>
      <c r="M548" s="15">
        <v>176.0</v>
      </c>
      <c r="N548" s="15">
        <v>5.0</v>
      </c>
      <c r="O548" s="16"/>
      <c r="P548" s="17">
        <v>41383.96740740741</v>
      </c>
      <c r="Q548" s="10" t="s">
        <v>2568</v>
      </c>
      <c r="R548" s="10" t="s">
        <v>2569</v>
      </c>
      <c r="S548" s="11" t="s">
        <v>2570</v>
      </c>
      <c r="T548" s="13"/>
      <c r="U548" s="18" t="str">
        <f>HYPERLINK("https://pbs.twimg.com/profile_images/838259283024203776/NBM9liwk.jpg","View")</f>
        <v>View</v>
      </c>
      <c r="V548" s="13"/>
      <c r="W548" s="13"/>
      <c r="X548" s="13"/>
      <c r="Y548" s="13"/>
      <c r="Z548" s="13"/>
    </row>
    <row r="549">
      <c r="A549" s="8">
        <v>43848.66452546296</v>
      </c>
      <c r="B549" s="9" t="str">
        <f>HYPERLINK("https://twitter.com/RoslynByfield","@RoslynByfield")</f>
        <v>@RoslynByfield</v>
      </c>
      <c r="C549" s="10" t="s">
        <v>2571</v>
      </c>
      <c r="D549" s="10" t="s">
        <v>2572</v>
      </c>
      <c r="E549" s="9" t="str">
        <f>HYPERLINK("https://twitter.com/RoslynByfield/status/1218638419263467520","1218638419263467520")</f>
        <v>1218638419263467520</v>
      </c>
      <c r="F549" s="11" t="s">
        <v>2573</v>
      </c>
      <c r="G549" s="13"/>
      <c r="H549" s="13"/>
      <c r="I549" s="14">
        <v>0.0</v>
      </c>
      <c r="J549" s="14">
        <v>0.0</v>
      </c>
      <c r="K549" s="9" t="str">
        <f>HYPERLINK("https://mobile.twitter.com","Twitter Web App")</f>
        <v>Twitter Web App</v>
      </c>
      <c r="L549" s="15">
        <v>1570.0</v>
      </c>
      <c r="M549" s="15">
        <v>1016.0</v>
      </c>
      <c r="N549" s="15">
        <v>107.0</v>
      </c>
      <c r="O549" s="16"/>
      <c r="P549" s="17">
        <v>40899.16662037037</v>
      </c>
      <c r="Q549" s="10" t="s">
        <v>2102</v>
      </c>
      <c r="R549" s="10" t="s">
        <v>2574</v>
      </c>
      <c r="S549" s="11" t="s">
        <v>2575</v>
      </c>
      <c r="T549" s="13"/>
      <c r="U549" s="18" t="str">
        <f>HYPERLINK("https://pbs.twimg.com/profile_images/378800000062366106/1c94f76f02ffc96b5799f6990c289070.jpeg","View")</f>
        <v>View</v>
      </c>
      <c r="V549" s="13"/>
      <c r="W549" s="13"/>
      <c r="X549" s="13"/>
      <c r="Y549" s="13"/>
      <c r="Z549" s="13"/>
    </row>
    <row r="550">
      <c r="A550" s="8">
        <v>43848.664189814815</v>
      </c>
      <c r="B550" s="9" t="str">
        <f>HYPERLINK("https://twitter.com/stephen18377293","@stephen18377293")</f>
        <v>@stephen18377293</v>
      </c>
      <c r="C550" s="10" t="s">
        <v>2576</v>
      </c>
      <c r="D550" s="10" t="s">
        <v>2577</v>
      </c>
      <c r="E550" s="9" t="str">
        <f>HYPERLINK("https://twitter.com/stephen18377293/status/1218638301202173952","1218638301202173952")</f>
        <v>1218638301202173952</v>
      </c>
      <c r="F550" s="13"/>
      <c r="G550" s="13"/>
      <c r="H550" s="13"/>
      <c r="I550" s="14">
        <v>0.0</v>
      </c>
      <c r="J550" s="14">
        <v>0.0</v>
      </c>
      <c r="K550" s="9" t="str">
        <f t="shared" ref="K550:K551" si="67">HYPERLINK("http://twitter.com/download/iphone","Twitter for iPhone")</f>
        <v>Twitter for iPhone</v>
      </c>
      <c r="L550" s="15">
        <v>1.0</v>
      </c>
      <c r="M550" s="15">
        <v>23.0</v>
      </c>
      <c r="N550" s="15">
        <v>0.0</v>
      </c>
      <c r="O550" s="16"/>
      <c r="P550" s="17">
        <v>43755.658368055556</v>
      </c>
      <c r="Q550" s="10" t="s">
        <v>2578</v>
      </c>
      <c r="R550" s="10" t="s">
        <v>2579</v>
      </c>
      <c r="S550" s="13"/>
      <c r="T550" s="13"/>
      <c r="U550" s="18" t="str">
        <f>HYPERLINK("https://pbs.twimg.com/profile_images/1186720353705439233/z8rbCiAF.jpg","View")</f>
        <v>View</v>
      </c>
      <c r="V550" s="13"/>
      <c r="W550" s="13"/>
      <c r="X550" s="13"/>
      <c r="Y550" s="13"/>
      <c r="Z550" s="13"/>
    </row>
    <row r="551">
      <c r="A551" s="8">
        <v>43848.66380787037</v>
      </c>
      <c r="B551" s="9" t="str">
        <f>HYPERLINK("https://twitter.com/neverheardofher","@neverheardofher")</f>
        <v>@neverheardofher</v>
      </c>
      <c r="C551" s="10" t="s">
        <v>2580</v>
      </c>
      <c r="D551" s="10" t="s">
        <v>2581</v>
      </c>
      <c r="E551" s="9" t="str">
        <f>HYPERLINK("https://twitter.com/neverheardofher/status/1218638162743975937","1218638162743975937")</f>
        <v>1218638162743975937</v>
      </c>
      <c r="F551" s="13"/>
      <c r="G551" s="13"/>
      <c r="H551" s="13"/>
      <c r="I551" s="14">
        <v>1.0</v>
      </c>
      <c r="J551" s="14">
        <v>12.0</v>
      </c>
      <c r="K551" s="9" t="str">
        <f t="shared" si="67"/>
        <v>Twitter for iPhone</v>
      </c>
      <c r="L551" s="15">
        <v>1011.0</v>
      </c>
      <c r="M551" s="15">
        <v>1111.0</v>
      </c>
      <c r="N551" s="15">
        <v>8.0</v>
      </c>
      <c r="O551" s="16"/>
      <c r="P551" s="17">
        <v>39856.64260416667</v>
      </c>
      <c r="Q551" s="13"/>
      <c r="R551" s="10" t="s">
        <v>2582</v>
      </c>
      <c r="S551" s="13"/>
      <c r="T551" s="13"/>
      <c r="U551" s="18" t="str">
        <f>HYPERLINK("https://pbs.twimg.com/profile_images/1116407482451148808/RLdfUGSk.jpg","View")</f>
        <v>View</v>
      </c>
      <c r="V551" s="13"/>
      <c r="W551" s="13"/>
      <c r="X551" s="13"/>
      <c r="Y551" s="13"/>
      <c r="Z551" s="13"/>
    </row>
    <row r="552">
      <c r="A552" s="8">
        <v>43848.663611111115</v>
      </c>
      <c r="B552" s="9" t="str">
        <f>HYPERLINK("https://twitter.com/w_scott_brown","@w_scott_brown")</f>
        <v>@w_scott_brown</v>
      </c>
      <c r="C552" s="10" t="s">
        <v>2583</v>
      </c>
      <c r="D552" s="10" t="s">
        <v>2584</v>
      </c>
      <c r="E552" s="9" t="str">
        <f>HYPERLINK("https://twitter.com/w_scott_brown/status/1218638090194964481","1218638090194964481")</f>
        <v>1218638090194964481</v>
      </c>
      <c r="F552" s="11" t="s">
        <v>2585</v>
      </c>
      <c r="G552" s="13"/>
      <c r="H552" s="13"/>
      <c r="I552" s="14">
        <v>0.0</v>
      </c>
      <c r="J552" s="14">
        <v>1.0</v>
      </c>
      <c r="K552" s="9" t="str">
        <f>HYPERLINK("http://instagram.com","Instagram")</f>
        <v>Instagram</v>
      </c>
      <c r="L552" s="15">
        <v>626.0</v>
      </c>
      <c r="M552" s="15">
        <v>487.0</v>
      </c>
      <c r="N552" s="15">
        <v>11.0</v>
      </c>
      <c r="O552" s="16"/>
      <c r="P552" s="17">
        <v>40019.6827662037</v>
      </c>
      <c r="Q552" s="10" t="s">
        <v>2586</v>
      </c>
      <c r="R552" s="10" t="s">
        <v>2587</v>
      </c>
      <c r="S552" s="11" t="s">
        <v>2588</v>
      </c>
      <c r="T552" s="13"/>
      <c r="U552" s="18" t="str">
        <f>HYPERLINK("https://pbs.twimg.com/profile_images/1207007801463234560/eVtBrhx2.jpg","View")</f>
        <v>View</v>
      </c>
      <c r="V552" s="13"/>
      <c r="W552" s="13"/>
      <c r="X552" s="13"/>
      <c r="Y552" s="13"/>
      <c r="Z552" s="13"/>
    </row>
    <row r="553">
      <c r="A553" s="8">
        <v>43848.66291666667</v>
      </c>
      <c r="B553" s="9" t="str">
        <f>HYPERLINK("https://twitter.com/sassycat38","@sassycat38")</f>
        <v>@sassycat38</v>
      </c>
      <c r="C553" s="10" t="s">
        <v>2589</v>
      </c>
      <c r="D553" s="10" t="s">
        <v>2590</v>
      </c>
      <c r="E553" s="9" t="str">
        <f>HYPERLINK("https://twitter.com/sassycat38/status/1218637836280369152","1218637836280369152")</f>
        <v>1218637836280369152</v>
      </c>
      <c r="F553" s="10" t="s">
        <v>2591</v>
      </c>
      <c r="G553" s="11" t="s">
        <v>2592</v>
      </c>
      <c r="H553" s="13"/>
      <c r="I553" s="14">
        <v>1.0</v>
      </c>
      <c r="J553" s="14">
        <v>3.0</v>
      </c>
      <c r="K553" s="9" t="str">
        <f>HYPERLINK("http://twitter.com/download/android","Twitter for Android")</f>
        <v>Twitter for Android</v>
      </c>
      <c r="L553" s="15">
        <v>1980.0</v>
      </c>
      <c r="M553" s="15">
        <v>939.0</v>
      </c>
      <c r="N553" s="15">
        <v>68.0</v>
      </c>
      <c r="O553" s="16"/>
      <c r="P553" s="17">
        <v>39848.27501157408</v>
      </c>
      <c r="Q553" s="10" t="s">
        <v>2593</v>
      </c>
      <c r="R553" s="10" t="s">
        <v>2594</v>
      </c>
      <c r="S553" s="11" t="s">
        <v>2595</v>
      </c>
      <c r="T553" s="13"/>
      <c r="U553" s="18" t="str">
        <f>HYPERLINK("https://pbs.twimg.com/profile_images/1107574009967853570/0Tr5pIlS.jpg","View")</f>
        <v>View</v>
      </c>
      <c r="V553" s="13"/>
      <c r="W553" s="13"/>
      <c r="X553" s="13"/>
      <c r="Y553" s="13"/>
      <c r="Z553" s="13"/>
    </row>
    <row r="554">
      <c r="A554" s="8">
        <v>43848.66166666667</v>
      </c>
      <c r="B554" s="9" t="str">
        <f>HYPERLINK("https://twitter.com/MxDusky","@MxDusky")</f>
        <v>@MxDusky</v>
      </c>
      <c r="C554" s="10" t="s">
        <v>2596</v>
      </c>
      <c r="D554" s="10" t="s">
        <v>2597</v>
      </c>
      <c r="E554" s="9" t="str">
        <f>HYPERLINK("https://twitter.com/MxDusky/status/1218637386625601536","1218637386625601536")</f>
        <v>1218637386625601536</v>
      </c>
      <c r="F554" s="13"/>
      <c r="G554" s="13"/>
      <c r="H554" s="13"/>
      <c r="I554" s="14">
        <v>0.0</v>
      </c>
      <c r="J554" s="14">
        <v>0.0</v>
      </c>
      <c r="K554" s="9" t="str">
        <f>HYPERLINK("http://twitter.com/download/iphone","Twitter for iPhone")</f>
        <v>Twitter for iPhone</v>
      </c>
      <c r="L554" s="15">
        <v>187.0</v>
      </c>
      <c r="M554" s="15">
        <v>1167.0</v>
      </c>
      <c r="N554" s="15">
        <v>0.0</v>
      </c>
      <c r="O554" s="16"/>
      <c r="P554" s="17">
        <v>43097.62280092592</v>
      </c>
      <c r="Q554" s="10" t="s">
        <v>2598</v>
      </c>
      <c r="R554" s="10" t="s">
        <v>2599</v>
      </c>
      <c r="S554" s="13"/>
      <c r="T554" s="13"/>
      <c r="U554" s="18" t="str">
        <f>HYPERLINK("https://pbs.twimg.com/profile_images/1212774847375298561/Pqfi1xb6.jpg","View")</f>
        <v>View</v>
      </c>
      <c r="V554" s="13"/>
      <c r="W554" s="13"/>
      <c r="X554" s="13"/>
      <c r="Y554" s="13"/>
      <c r="Z554" s="13"/>
    </row>
    <row r="555">
      <c r="A555" s="8">
        <v>43848.66144675926</v>
      </c>
      <c r="B555" s="9" t="str">
        <f>HYPERLINK("https://twitter.com/sheldonbailey","@sheldonbailey")</f>
        <v>@sheldonbailey</v>
      </c>
      <c r="C555" s="10" t="s">
        <v>2110</v>
      </c>
      <c r="D555" s="10" t="s">
        <v>2600</v>
      </c>
      <c r="E555" s="9" t="str">
        <f>HYPERLINK("https://twitter.com/sheldonbailey/status/1218637305063174149","1218637305063174149")</f>
        <v>1218637305063174149</v>
      </c>
      <c r="F555" s="11" t="s">
        <v>2601</v>
      </c>
      <c r="G555" s="13"/>
      <c r="H555" s="13"/>
      <c r="I555" s="14">
        <v>0.0</v>
      </c>
      <c r="J555" s="14">
        <v>2.0</v>
      </c>
      <c r="K555" s="9" t="str">
        <f>HYPERLINK("https://mobile.twitter.com","Twitter Web App")</f>
        <v>Twitter Web App</v>
      </c>
      <c r="L555" s="15">
        <v>1261.0</v>
      </c>
      <c r="M555" s="15">
        <v>1257.0</v>
      </c>
      <c r="N555" s="15">
        <v>28.0</v>
      </c>
      <c r="O555" s="16"/>
      <c r="P555" s="17">
        <v>39743.79922453704</v>
      </c>
      <c r="Q555" s="10" t="s">
        <v>2113</v>
      </c>
      <c r="R555" s="10" t="s">
        <v>2114</v>
      </c>
      <c r="S555" s="13"/>
      <c r="T555" s="13"/>
      <c r="U555" s="18" t="str">
        <f>HYPERLINK("https://pbs.twimg.com/profile_images/1022293945764597760/_UgOTs4N.jpg","View")</f>
        <v>View</v>
      </c>
      <c r="V555" s="13"/>
      <c r="W555" s="13"/>
      <c r="X555" s="13"/>
      <c r="Y555" s="13"/>
      <c r="Z555" s="13"/>
    </row>
    <row r="556">
      <c r="A556" s="8">
        <v>43848.66116898148</v>
      </c>
      <c r="B556" s="9" t="str">
        <f>HYPERLINK("https://twitter.com/JoelRoosen","@JoelRoosen")</f>
        <v>@JoelRoosen</v>
      </c>
      <c r="C556" s="10" t="s">
        <v>2602</v>
      </c>
      <c r="D556" s="10" t="s">
        <v>2603</v>
      </c>
      <c r="E556" s="9" t="str">
        <f>HYPERLINK("https://twitter.com/JoelRoosen/status/1218637205104734209","1218637205104734209")</f>
        <v>1218637205104734209</v>
      </c>
      <c r="F556" s="13"/>
      <c r="G556" s="13"/>
      <c r="H556" s="13"/>
      <c r="I556" s="14">
        <v>0.0</v>
      </c>
      <c r="J556" s="14">
        <v>0.0</v>
      </c>
      <c r="K556" s="9" t="str">
        <f>HYPERLINK("http://twitter.com/download/android","Twitter for Android")</f>
        <v>Twitter for Android</v>
      </c>
      <c r="L556" s="15">
        <v>16.0</v>
      </c>
      <c r="M556" s="15">
        <v>112.0</v>
      </c>
      <c r="N556" s="15">
        <v>0.0</v>
      </c>
      <c r="O556" s="16"/>
      <c r="P556" s="17">
        <v>43819.131689814814</v>
      </c>
      <c r="Q556" s="13"/>
      <c r="R556" s="10" t="s">
        <v>2604</v>
      </c>
      <c r="S556" s="13"/>
      <c r="T556" s="13"/>
      <c r="U556" s="18" t="str">
        <f>HYPERLINK("https://pbs.twimg.com/profile_images/1207936200331284480/5yeLLHb-.jpg","View")</f>
        <v>View</v>
      </c>
      <c r="V556" s="13"/>
      <c r="W556" s="13"/>
      <c r="X556" s="13"/>
      <c r="Y556" s="13"/>
      <c r="Z556" s="13"/>
    </row>
    <row r="557">
      <c r="A557" s="8">
        <v>43848.66060185185</v>
      </c>
      <c r="B557" s="9" t="str">
        <f>HYPERLINK("https://twitter.com/DulleyTopBooks","@DulleyTopBooks")</f>
        <v>@DulleyTopBooks</v>
      </c>
      <c r="C557" s="10" t="s">
        <v>2605</v>
      </c>
      <c r="D557" s="10" t="s">
        <v>2606</v>
      </c>
      <c r="E557" s="9" t="str">
        <f>HYPERLINK("https://twitter.com/DulleyTopBooks/status/1218637000988708864","1218637000988708864")</f>
        <v>1218637000988708864</v>
      </c>
      <c r="F557" s="13"/>
      <c r="G557" s="13"/>
      <c r="H557" s="13"/>
      <c r="I557" s="14">
        <v>4.0</v>
      </c>
      <c r="J557" s="14">
        <v>4.0</v>
      </c>
      <c r="K557" s="9" t="str">
        <f>HYPERLINK("https://mobile.twitter.com","Twitter Web App")</f>
        <v>Twitter Web App</v>
      </c>
      <c r="L557" s="15">
        <v>8946.0</v>
      </c>
      <c r="M557" s="15">
        <v>9840.0</v>
      </c>
      <c r="N557" s="15">
        <v>59.0</v>
      </c>
      <c r="O557" s="16"/>
      <c r="P557" s="17">
        <v>42882.40792824074</v>
      </c>
      <c r="Q557" s="10" t="s">
        <v>2607</v>
      </c>
      <c r="R557" s="10" t="s">
        <v>2608</v>
      </c>
      <c r="S557" s="11" t="s">
        <v>2609</v>
      </c>
      <c r="T557" s="13"/>
      <c r="U557" s="18" t="str">
        <f>HYPERLINK("https://pbs.twimg.com/profile_images/872940208232124416/1N5x-9a4.jpg","View")</f>
        <v>View</v>
      </c>
      <c r="V557" s="13"/>
      <c r="W557" s="13"/>
      <c r="X557" s="13"/>
      <c r="Y557" s="13"/>
      <c r="Z557" s="13"/>
    </row>
    <row r="558">
      <c r="A558" s="8">
        <v>43848.660266203704</v>
      </c>
      <c r="B558" s="9" t="str">
        <f>HYPERLINK("https://twitter.com/toriotero","@toriotero")</f>
        <v>@toriotero</v>
      </c>
      <c r="C558" s="10" t="s">
        <v>2610</v>
      </c>
      <c r="D558" s="10" t="s">
        <v>2611</v>
      </c>
      <c r="E558" s="9" t="str">
        <f>HYPERLINK("https://twitter.com/toriotero/status/1218636876426379264","1218636876426379264")</f>
        <v>1218636876426379264</v>
      </c>
      <c r="F558" s="10" t="s">
        <v>2612</v>
      </c>
      <c r="G558" s="13"/>
      <c r="H558" s="13"/>
      <c r="I558" s="14">
        <v>1.0</v>
      </c>
      <c r="J558" s="14">
        <v>2.0</v>
      </c>
      <c r="K558" s="9" t="str">
        <f t="shared" ref="K558:K560" si="68">HYPERLINK("http://twitter.com/download/iphone","Twitter for iPhone")</f>
        <v>Twitter for iPhone</v>
      </c>
      <c r="L558" s="15">
        <v>661.0</v>
      </c>
      <c r="M558" s="15">
        <v>1086.0</v>
      </c>
      <c r="N558" s="15">
        <v>1.0</v>
      </c>
      <c r="O558" s="16"/>
      <c r="P558" s="17">
        <v>40262.784421296295</v>
      </c>
      <c r="Q558" s="10" t="s">
        <v>2613</v>
      </c>
      <c r="R558" s="10" t="s">
        <v>2614</v>
      </c>
      <c r="S558" s="13"/>
      <c r="T558" s="13"/>
      <c r="U558" s="18" t="str">
        <f>HYPERLINK("https://pbs.twimg.com/profile_images/1183684018535096322/xjcFiNv7.jpg","View")</f>
        <v>View</v>
      </c>
      <c r="V558" s="13"/>
      <c r="W558" s="13"/>
      <c r="X558" s="13"/>
      <c r="Y558" s="13"/>
      <c r="Z558" s="13"/>
    </row>
    <row r="559">
      <c r="A559" s="8">
        <v>43848.66023148148</v>
      </c>
      <c r="B559" s="9" t="str">
        <f>HYPERLINK("https://twitter.com/spaghetti_life","@spaghetti_life")</f>
        <v>@spaghetti_life</v>
      </c>
      <c r="C559" s="10" t="s">
        <v>2615</v>
      </c>
      <c r="D559" s="10" t="s">
        <v>2616</v>
      </c>
      <c r="E559" s="9" t="str">
        <f>HYPERLINK("https://twitter.com/spaghetti_life/status/1218636865420480512","1218636865420480512")</f>
        <v>1218636865420480512</v>
      </c>
      <c r="F559" s="13"/>
      <c r="G559" s="11" t="s">
        <v>2617</v>
      </c>
      <c r="H559" s="13"/>
      <c r="I559" s="14">
        <v>0.0</v>
      </c>
      <c r="J559" s="14">
        <v>1.0</v>
      </c>
      <c r="K559" s="9" t="str">
        <f t="shared" si="68"/>
        <v>Twitter for iPhone</v>
      </c>
      <c r="L559" s="15">
        <v>475.0</v>
      </c>
      <c r="M559" s="15">
        <v>690.0</v>
      </c>
      <c r="N559" s="15">
        <v>6.0</v>
      </c>
      <c r="O559" s="16"/>
      <c r="P559" s="17">
        <v>40640.96851851852</v>
      </c>
      <c r="Q559" s="10" t="s">
        <v>2618</v>
      </c>
      <c r="R559" s="10" t="s">
        <v>2619</v>
      </c>
      <c r="S559" s="13"/>
      <c r="T559" s="13"/>
      <c r="U559" s="18" t="str">
        <f>HYPERLINK("https://pbs.twimg.com/profile_images/1167662975156703232/pOOuzyHD.jpg","View")</f>
        <v>View</v>
      </c>
      <c r="V559" s="13"/>
      <c r="W559" s="13"/>
      <c r="X559" s="13"/>
      <c r="Y559" s="13"/>
      <c r="Z559" s="13"/>
    </row>
    <row r="560">
      <c r="A560" s="8">
        <v>43848.66023148148</v>
      </c>
      <c r="B560" s="9" t="str">
        <f>HYPERLINK("https://twitter.com/BeachRights4All","@BeachRights4All")</f>
        <v>@BeachRights4All</v>
      </c>
      <c r="C560" s="10" t="s">
        <v>1902</v>
      </c>
      <c r="D560" s="10" t="s">
        <v>2620</v>
      </c>
      <c r="E560" s="9" t="str">
        <f>HYPERLINK("https://twitter.com/BeachRights4All/status/1218636864384405504","1218636864384405504")</f>
        <v>1218636864384405504</v>
      </c>
      <c r="F560" s="11" t="s">
        <v>2621</v>
      </c>
      <c r="G560" s="13"/>
      <c r="H560" s="13"/>
      <c r="I560" s="14">
        <v>0.0</v>
      </c>
      <c r="J560" s="14">
        <v>1.0</v>
      </c>
      <c r="K560" s="9" t="str">
        <f t="shared" si="68"/>
        <v>Twitter for iPhone</v>
      </c>
      <c r="L560" s="15">
        <v>3540.0</v>
      </c>
      <c r="M560" s="15">
        <v>3860.0</v>
      </c>
      <c r="N560" s="15">
        <v>62.0</v>
      </c>
      <c r="O560" s="16"/>
      <c r="P560" s="17">
        <v>39954.6512037037</v>
      </c>
      <c r="Q560" s="10" t="s">
        <v>1906</v>
      </c>
      <c r="R560" s="10" t="s">
        <v>1907</v>
      </c>
      <c r="S560" s="13"/>
      <c r="T560" s="13"/>
      <c r="U560" s="18" t="str">
        <f>HYPERLINK("https://pbs.twimg.com/profile_images/912208578299039744/eVgl-5M9.jpg","View")</f>
        <v>View</v>
      </c>
      <c r="V560" s="13"/>
      <c r="W560" s="13"/>
      <c r="X560" s="13"/>
      <c r="Y560" s="13"/>
      <c r="Z560" s="13"/>
    </row>
    <row r="561">
      <c r="A561" s="8">
        <v>43848.65975694444</v>
      </c>
      <c r="B561" s="9" t="str">
        <f>HYPERLINK("https://twitter.com/MiaLis79","@MiaLis79")</f>
        <v>@MiaLis79</v>
      </c>
      <c r="C561" s="10" t="s">
        <v>1343</v>
      </c>
      <c r="D561" s="10" t="s">
        <v>2622</v>
      </c>
      <c r="E561" s="9" t="str">
        <f>HYPERLINK("https://twitter.com/MiaLis79/status/1218636693689053184","1218636693689053184")</f>
        <v>1218636693689053184</v>
      </c>
      <c r="F561" s="11" t="s">
        <v>2623</v>
      </c>
      <c r="G561" s="13"/>
      <c r="H561" s="13"/>
      <c r="I561" s="14">
        <v>1.0</v>
      </c>
      <c r="J561" s="14">
        <v>0.0</v>
      </c>
      <c r="K561" s="9" t="str">
        <f>HYPERLINK("https://www.mytweetpack.com","myTweetPack")</f>
        <v>myTweetPack</v>
      </c>
      <c r="L561" s="15">
        <v>16902.0</v>
      </c>
      <c r="M561" s="15">
        <v>12466.0</v>
      </c>
      <c r="N561" s="15">
        <v>1642.0</v>
      </c>
      <c r="O561" s="16"/>
      <c r="P561" s="17">
        <v>39685.06575231481</v>
      </c>
      <c r="Q561" s="10" t="s">
        <v>1346</v>
      </c>
      <c r="R561" s="10" t="s">
        <v>1347</v>
      </c>
      <c r="S561" s="11" t="s">
        <v>1348</v>
      </c>
      <c r="T561" s="13"/>
      <c r="U561" s="18" t="str">
        <f>HYPERLINK("https://pbs.twimg.com/profile_images/729868043153723394/O1HlkXlX.jpg","View")</f>
        <v>View</v>
      </c>
      <c r="V561" s="13"/>
      <c r="W561" s="13"/>
      <c r="X561" s="13"/>
      <c r="Y561" s="13"/>
      <c r="Z561" s="13"/>
    </row>
    <row r="562">
      <c r="A562" s="8">
        <v>43848.65972222222</v>
      </c>
      <c r="B562" s="9" t="str">
        <f>HYPERLINK("https://twitter.com/SkypeTherapist","@SkypeTherapist")</f>
        <v>@SkypeTherapist</v>
      </c>
      <c r="C562" s="10" t="s">
        <v>39</v>
      </c>
      <c r="D562" s="10" t="s">
        <v>2624</v>
      </c>
      <c r="E562" s="9" t="str">
        <f>HYPERLINK("https://twitter.com/SkypeTherapist/status/1218636682519552000","1218636682519552000")</f>
        <v>1218636682519552000</v>
      </c>
      <c r="F562" s="11" t="s">
        <v>43</v>
      </c>
      <c r="G562" s="13"/>
      <c r="H562" s="13"/>
      <c r="I562" s="14">
        <v>1.0</v>
      </c>
      <c r="J562" s="14">
        <v>0.0</v>
      </c>
      <c r="K562" s="9" t="str">
        <f>HYPERLINK("https://buffer.com","Buffer")</f>
        <v>Buffer</v>
      </c>
      <c r="L562" s="15">
        <v>31074.0</v>
      </c>
      <c r="M562" s="15">
        <v>29180.0</v>
      </c>
      <c r="N562" s="15">
        <v>397.0</v>
      </c>
      <c r="O562" s="16"/>
      <c r="P562" s="17">
        <v>40131.457777777774</v>
      </c>
      <c r="Q562" s="10" t="s">
        <v>46</v>
      </c>
      <c r="R562" s="10" t="s">
        <v>47</v>
      </c>
      <c r="S562" s="11" t="s">
        <v>43</v>
      </c>
      <c r="T562" s="13"/>
      <c r="U562" s="18" t="str">
        <f>HYPERLINK("https://pbs.twimg.com/profile_images/1093911234120798208/G4lphODU.jpg","View")</f>
        <v>View</v>
      </c>
      <c r="V562" s="13"/>
      <c r="W562" s="13"/>
      <c r="X562" s="13"/>
      <c r="Y562" s="13"/>
      <c r="Z562" s="13"/>
    </row>
    <row r="563">
      <c r="A563" s="8">
        <v>43848.65957175926</v>
      </c>
      <c r="B563" s="9" t="str">
        <f>HYPERLINK("https://twitter.com/jhengstler","@jhengstler")</f>
        <v>@jhengstler</v>
      </c>
      <c r="C563" s="10" t="s">
        <v>2625</v>
      </c>
      <c r="D563" s="10" t="s">
        <v>2626</v>
      </c>
      <c r="E563" s="9" t="str">
        <f>HYPERLINK("https://twitter.com/jhengstler/status/1218636624755449856","1218636624755449856")</f>
        <v>1218636624755449856</v>
      </c>
      <c r="F563" s="10" t="s">
        <v>2627</v>
      </c>
      <c r="G563" s="13"/>
      <c r="H563" s="13"/>
      <c r="I563" s="14">
        <v>1.0</v>
      </c>
      <c r="J563" s="14">
        <v>0.0</v>
      </c>
      <c r="K563" s="9" t="str">
        <f>HYPERLINK("http://twitter.com/#!/download/ipad","Twitter for iPad")</f>
        <v>Twitter for iPad</v>
      </c>
      <c r="L563" s="15">
        <v>3668.0</v>
      </c>
      <c r="M563" s="15">
        <v>3186.0</v>
      </c>
      <c r="N563" s="15">
        <v>354.0</v>
      </c>
      <c r="O563" s="16"/>
      <c r="P563" s="17">
        <v>39846.05415509259</v>
      </c>
      <c r="Q563" s="13"/>
      <c r="R563" s="10" t="s">
        <v>2628</v>
      </c>
      <c r="S563" s="11" t="s">
        <v>2629</v>
      </c>
      <c r="T563" s="13"/>
      <c r="U563" s="18" t="str">
        <f>HYPERLINK("https://pbs.twimg.com/profile_images/1068329878850686976/UH5WzvpQ.jpg","View")</f>
        <v>View</v>
      </c>
      <c r="V563" s="13"/>
      <c r="W563" s="13"/>
      <c r="X563" s="13"/>
      <c r="Y563" s="13"/>
      <c r="Z563" s="13"/>
    </row>
    <row r="564">
      <c r="A564" s="8">
        <v>43848.65947916667</v>
      </c>
      <c r="B564" s="9" t="str">
        <f>HYPERLINK("https://twitter.com/MouseyNevermore","@MouseyNevermore")</f>
        <v>@MouseyNevermore</v>
      </c>
      <c r="C564" s="10" t="s">
        <v>2346</v>
      </c>
      <c r="D564" s="10" t="s">
        <v>2630</v>
      </c>
      <c r="E564" s="9" t="str">
        <f>HYPERLINK("https://twitter.com/MouseyNevermore/status/1218636591062712321","1218636591062712321")</f>
        <v>1218636591062712321</v>
      </c>
      <c r="F564" s="11" t="s">
        <v>2631</v>
      </c>
      <c r="G564" s="13"/>
      <c r="H564" s="13"/>
      <c r="I564" s="14">
        <v>0.0</v>
      </c>
      <c r="J564" s="14">
        <v>2.0</v>
      </c>
      <c r="K564" s="9" t="str">
        <f>HYPERLINK("http://twitter.com/download/android","Twitter for Android")</f>
        <v>Twitter for Android</v>
      </c>
      <c r="L564" s="15">
        <v>754.0</v>
      </c>
      <c r="M564" s="15">
        <v>1982.0</v>
      </c>
      <c r="N564" s="15">
        <v>2.0</v>
      </c>
      <c r="O564" s="16"/>
      <c r="P564" s="17">
        <v>42960.56671296296</v>
      </c>
      <c r="Q564" s="10" t="s">
        <v>161</v>
      </c>
      <c r="R564" s="10" t="s">
        <v>2349</v>
      </c>
      <c r="S564" s="11" t="s">
        <v>2350</v>
      </c>
      <c r="T564" s="13"/>
      <c r="U564" s="18" t="str">
        <f>HYPERLINK("https://pbs.twimg.com/profile_images/1217886343717695488/8GAzx_G8.jpg","View")</f>
        <v>View</v>
      </c>
      <c r="V564" s="13"/>
      <c r="W564" s="13"/>
      <c r="X564" s="13"/>
      <c r="Y564" s="13"/>
      <c r="Z564" s="13"/>
    </row>
    <row r="565">
      <c r="A565" s="8">
        <v>43848.65917824074</v>
      </c>
      <c r="B565" s="9" t="str">
        <f>HYPERLINK("https://twitter.com/TheAlexKeeling","@TheAlexKeeling")</f>
        <v>@TheAlexKeeling</v>
      </c>
      <c r="C565" s="10" t="s">
        <v>2632</v>
      </c>
      <c r="D565" s="10" t="s">
        <v>2633</v>
      </c>
      <c r="E565" s="9" t="str">
        <f>HYPERLINK("https://twitter.com/TheAlexKeeling/status/1218636484598693888","1218636484598693888")</f>
        <v>1218636484598693888</v>
      </c>
      <c r="F565" s="13"/>
      <c r="G565" s="11" t="s">
        <v>2634</v>
      </c>
      <c r="H565" s="13"/>
      <c r="I565" s="14">
        <v>0.0</v>
      </c>
      <c r="J565" s="14">
        <v>0.0</v>
      </c>
      <c r="K565" s="9" t="str">
        <f>HYPERLINK("https://mobile.twitter.com","Twitter Web App")</f>
        <v>Twitter Web App</v>
      </c>
      <c r="L565" s="15">
        <v>4.0</v>
      </c>
      <c r="M565" s="15">
        <v>22.0</v>
      </c>
      <c r="N565" s="15">
        <v>0.0</v>
      </c>
      <c r="O565" s="16"/>
      <c r="P565" s="17">
        <v>43436.12695601852</v>
      </c>
      <c r="Q565" s="10" t="s">
        <v>2635</v>
      </c>
      <c r="R565" s="10" t="s">
        <v>2636</v>
      </c>
      <c r="S565" s="13"/>
      <c r="T565" s="13"/>
      <c r="U565" s="18" t="str">
        <f>HYPERLINK("https://pbs.twimg.com/profile_images/1216894464624594946/QX2I45om.jpg","View")</f>
        <v>View</v>
      </c>
      <c r="V565" s="13"/>
      <c r="W565" s="13"/>
      <c r="X565" s="13"/>
      <c r="Y565" s="13"/>
      <c r="Z565" s="13"/>
    </row>
    <row r="566">
      <c r="A566" s="8">
        <v>43848.65887731481</v>
      </c>
      <c r="B566" s="9" t="str">
        <f>HYPERLINK("https://twitter.com/HanwellNature","@HanwellNature")</f>
        <v>@HanwellNature</v>
      </c>
      <c r="C566" s="10" t="s">
        <v>2637</v>
      </c>
      <c r="D566" s="10" t="s">
        <v>2638</v>
      </c>
      <c r="E566" s="9" t="str">
        <f>HYPERLINK("https://twitter.com/HanwellNature/status/1218636373441335296","1218636373441335296")</f>
        <v>1218636373441335296</v>
      </c>
      <c r="F566" s="11" t="s">
        <v>2639</v>
      </c>
      <c r="G566" s="11" t="s">
        <v>2640</v>
      </c>
      <c r="H566" s="13"/>
      <c r="I566" s="14">
        <v>10.0</v>
      </c>
      <c r="J566" s="14">
        <v>20.0</v>
      </c>
      <c r="K566" s="9" t="str">
        <f>HYPERLINK("http://twitter.com/download/iphone","Twitter for iPhone")</f>
        <v>Twitter for iPhone</v>
      </c>
      <c r="L566" s="15">
        <v>704.0</v>
      </c>
      <c r="M566" s="15">
        <v>872.0</v>
      </c>
      <c r="N566" s="15">
        <v>1.0</v>
      </c>
      <c r="O566" s="16"/>
      <c r="P566" s="17">
        <v>43607.3055787037</v>
      </c>
      <c r="Q566" s="13"/>
      <c r="R566" s="10" t="s">
        <v>2641</v>
      </c>
      <c r="S566" s="11" t="s">
        <v>2642</v>
      </c>
      <c r="T566" s="13"/>
      <c r="U566" s="18" t="str">
        <f>HYPERLINK("https://pbs.twimg.com/profile_images/1141854272067444736/wSRnuOKL.jpg","View")</f>
        <v>View</v>
      </c>
      <c r="V566" s="13"/>
      <c r="W566" s="13"/>
      <c r="X566" s="13"/>
      <c r="Y566" s="13"/>
      <c r="Z566" s="13"/>
    </row>
    <row r="567">
      <c r="A567" s="8">
        <v>43848.658796296295</v>
      </c>
      <c r="B567" s="9" t="str">
        <f>HYPERLINK("https://twitter.com/HeyDiddleDiddle","@HeyDiddleDiddle")</f>
        <v>@HeyDiddleDiddle</v>
      </c>
      <c r="C567" s="10" t="s">
        <v>263</v>
      </c>
      <c r="D567" s="10" t="s">
        <v>2643</v>
      </c>
      <c r="E567" s="9" t="str">
        <f>HYPERLINK("https://twitter.com/HeyDiddleDiddle/status/1218636343393378304","1218636343393378304")</f>
        <v>1218636343393378304</v>
      </c>
      <c r="F567" s="11" t="s">
        <v>2644</v>
      </c>
      <c r="G567" s="13"/>
      <c r="H567" s="13"/>
      <c r="I567" s="14">
        <v>0.0</v>
      </c>
      <c r="J567" s="14">
        <v>0.0</v>
      </c>
      <c r="K567" s="9" t="str">
        <f>HYPERLINK("http://www.DynamicTweets.com","Dynamic Tweets")</f>
        <v>Dynamic Tweets</v>
      </c>
      <c r="L567" s="15">
        <v>5623.0</v>
      </c>
      <c r="M567" s="15">
        <v>4639.0</v>
      </c>
      <c r="N567" s="15">
        <v>372.0</v>
      </c>
      <c r="O567" s="16"/>
      <c r="P567" s="17">
        <v>39882.59599537037</v>
      </c>
      <c r="Q567" s="10" t="s">
        <v>266</v>
      </c>
      <c r="R567" s="10" t="s">
        <v>267</v>
      </c>
      <c r="S567" s="11" t="s">
        <v>265</v>
      </c>
      <c r="T567" s="13"/>
      <c r="U567" s="18" t="str">
        <f>HYPERLINK("https://pbs.twimg.com/profile_images/97791737/HDD_PosterAlmostThere.jpg","View")</f>
        <v>View</v>
      </c>
      <c r="V567" s="13"/>
      <c r="W567" s="13"/>
      <c r="X567" s="13"/>
      <c r="Y567" s="13"/>
      <c r="Z567" s="13"/>
    </row>
    <row r="568">
      <c r="A568" s="8">
        <v>43848.65835648148</v>
      </c>
      <c r="B568" s="9" t="str">
        <f>HYPERLINK("https://twitter.com/JewishBoard","@JewishBoard")</f>
        <v>@JewishBoard</v>
      </c>
      <c r="C568" s="10" t="s">
        <v>2645</v>
      </c>
      <c r="D568" s="10" t="s">
        <v>2646</v>
      </c>
      <c r="E568" s="9" t="str">
        <f>HYPERLINK("https://twitter.com/JewishBoard/status/1218636183938502657","1218636183938502657")</f>
        <v>1218636183938502657</v>
      </c>
      <c r="F568" s="11" t="s">
        <v>2647</v>
      </c>
      <c r="G568" s="13"/>
      <c r="H568" s="13"/>
      <c r="I568" s="14">
        <v>0.0</v>
      </c>
      <c r="J568" s="14">
        <v>0.0</v>
      </c>
      <c r="K568" s="9" t="str">
        <f>HYPERLINK("https://sproutsocial.com","Sprout Social")</f>
        <v>Sprout Social</v>
      </c>
      <c r="L568" s="15">
        <v>997.0</v>
      </c>
      <c r="M568" s="15">
        <v>447.0</v>
      </c>
      <c r="N568" s="15">
        <v>45.0</v>
      </c>
      <c r="O568" s="16"/>
      <c r="P568" s="17">
        <v>41142.501076388886</v>
      </c>
      <c r="Q568" s="10" t="s">
        <v>266</v>
      </c>
      <c r="R568" s="10" t="s">
        <v>2648</v>
      </c>
      <c r="S568" s="11" t="s">
        <v>2649</v>
      </c>
      <c r="T568" s="13"/>
      <c r="U568" s="18" t="str">
        <f>HYPERLINK("https://pbs.twimg.com/profile_images/1149692873387978752/9U4FGGea.png","View")</f>
        <v>View</v>
      </c>
      <c r="V568" s="13"/>
      <c r="W568" s="13"/>
      <c r="X568" s="13"/>
      <c r="Y568" s="13"/>
      <c r="Z568" s="13"/>
    </row>
    <row r="569">
      <c r="A569" s="8">
        <v>43848.65792824074</v>
      </c>
      <c r="B569" s="9" t="str">
        <f>HYPERLINK("https://twitter.com/SocialLightTalk","@SocialLightTalk")</f>
        <v>@SocialLightTalk</v>
      </c>
      <c r="C569" s="10" t="s">
        <v>2650</v>
      </c>
      <c r="D569" s="10" t="s">
        <v>2651</v>
      </c>
      <c r="E569" s="9" t="str">
        <f>HYPERLINK("https://twitter.com/SocialLightTalk/status/1218636032385724417","1218636032385724417")</f>
        <v>1218636032385724417</v>
      </c>
      <c r="F569" s="13"/>
      <c r="G569" s="13"/>
      <c r="H569" s="13"/>
      <c r="I569" s="14">
        <v>0.0</v>
      </c>
      <c r="J569" s="14">
        <v>0.0</v>
      </c>
      <c r="K569" s="9" t="str">
        <f t="shared" ref="K569:K571" si="69">HYPERLINK("http://twitter.com/download/iphone","Twitter for iPhone")</f>
        <v>Twitter for iPhone</v>
      </c>
      <c r="L569" s="15">
        <v>24.0</v>
      </c>
      <c r="M569" s="15">
        <v>81.0</v>
      </c>
      <c r="N569" s="15">
        <v>0.0</v>
      </c>
      <c r="O569" s="16"/>
      <c r="P569" s="17">
        <v>43704.68954861111</v>
      </c>
      <c r="Q569" s="10" t="s">
        <v>24</v>
      </c>
      <c r="R569" s="10" t="s">
        <v>2652</v>
      </c>
      <c r="S569" s="11" t="s">
        <v>2653</v>
      </c>
      <c r="T569" s="13"/>
      <c r="U569" s="18" t="str">
        <f>HYPERLINK("https://pbs.twimg.com/profile_images/1166548220241223680/PPdDG15h.jpg","View")</f>
        <v>View</v>
      </c>
      <c r="V569" s="13"/>
      <c r="W569" s="13"/>
      <c r="X569" s="13"/>
      <c r="Y569" s="13"/>
      <c r="Z569" s="13"/>
    </row>
    <row r="570">
      <c r="A570" s="8">
        <v>43848.65791666666</v>
      </c>
      <c r="B570" s="9" t="str">
        <f>HYPERLINK("https://twitter.com/CRWard3","@CRWard3")</f>
        <v>@CRWard3</v>
      </c>
      <c r="C570" s="10" t="s">
        <v>2654</v>
      </c>
      <c r="D570" s="10" t="s">
        <v>2655</v>
      </c>
      <c r="E570" s="9" t="str">
        <f>HYPERLINK("https://twitter.com/CRWard3/status/1218636027771805696","1218636027771805696")</f>
        <v>1218636027771805696</v>
      </c>
      <c r="F570" s="11" t="s">
        <v>2656</v>
      </c>
      <c r="G570" s="13"/>
      <c r="H570" s="13"/>
      <c r="I570" s="14">
        <v>1.0</v>
      </c>
      <c r="J570" s="14">
        <v>1.0</v>
      </c>
      <c r="K570" s="9" t="str">
        <f t="shared" si="69"/>
        <v>Twitter for iPhone</v>
      </c>
      <c r="L570" s="15">
        <v>89.0</v>
      </c>
      <c r="M570" s="15">
        <v>149.0</v>
      </c>
      <c r="N570" s="15">
        <v>2.0</v>
      </c>
      <c r="O570" s="16"/>
      <c r="P570" s="17">
        <v>43827.50215277778</v>
      </c>
      <c r="Q570" s="10" t="s">
        <v>2618</v>
      </c>
      <c r="R570" s="10" t="s">
        <v>2657</v>
      </c>
      <c r="S570" s="11" t="s">
        <v>2658</v>
      </c>
      <c r="T570" s="13"/>
      <c r="U570" s="18" t="str">
        <f>HYPERLINK("https://pbs.twimg.com/profile_images/1210969523362254848/UhiAwd8V.jpg","View")</f>
        <v>View</v>
      </c>
      <c r="V570" s="13"/>
      <c r="W570" s="13"/>
      <c r="X570" s="13"/>
      <c r="Y570" s="13"/>
      <c r="Z570" s="13"/>
    </row>
    <row r="571">
      <c r="A571" s="8">
        <v>43848.65762731481</v>
      </c>
      <c r="B571" s="9" t="str">
        <f>HYPERLINK("https://twitter.com/LindsaySKallen","@LindsaySKallen")</f>
        <v>@LindsaySKallen</v>
      </c>
      <c r="C571" s="10" t="s">
        <v>2659</v>
      </c>
      <c r="D571" s="10" t="s">
        <v>2660</v>
      </c>
      <c r="E571" s="9" t="str">
        <f>HYPERLINK("https://twitter.com/LindsaySKallen/status/1218635922553626624","1218635922553626624")</f>
        <v>1218635922553626624</v>
      </c>
      <c r="F571" s="13"/>
      <c r="G571" s="13"/>
      <c r="H571" s="13"/>
      <c r="I571" s="14">
        <v>1.0</v>
      </c>
      <c r="J571" s="14">
        <v>0.0</v>
      </c>
      <c r="K571" s="9" t="str">
        <f t="shared" si="69"/>
        <v>Twitter for iPhone</v>
      </c>
      <c r="L571" s="15">
        <v>374.0</v>
      </c>
      <c r="M571" s="15">
        <v>874.0</v>
      </c>
      <c r="N571" s="15">
        <v>24.0</v>
      </c>
      <c r="O571" s="16"/>
      <c r="P571" s="17">
        <v>41852.547789351855</v>
      </c>
      <c r="Q571" s="10" t="s">
        <v>1169</v>
      </c>
      <c r="R571" s="10" t="s">
        <v>2661</v>
      </c>
      <c r="S571" s="11" t="s">
        <v>2662</v>
      </c>
      <c r="T571" s="13"/>
      <c r="U571" s="18" t="str">
        <f>HYPERLINK("https://pbs.twimg.com/profile_images/497447978420805632/rDlOx7o8.jpeg","View")</f>
        <v>View</v>
      </c>
      <c r="V571" s="13"/>
      <c r="W571" s="13"/>
      <c r="X571" s="13"/>
      <c r="Y571" s="13"/>
      <c r="Z571" s="13"/>
    </row>
    <row r="572">
      <c r="A572" s="8">
        <v>43848.65738425926</v>
      </c>
      <c r="B572" s="9" t="str">
        <f>HYPERLINK("https://twitter.com/dr_metzner","@dr_metzner")</f>
        <v>@dr_metzner</v>
      </c>
      <c r="C572" s="10" t="s">
        <v>1526</v>
      </c>
      <c r="D572" s="10" t="s">
        <v>2663</v>
      </c>
      <c r="E572" s="9" t="str">
        <f>HYPERLINK("https://twitter.com/dr_metzner/status/1218635833206427649","1218635833206427649")</f>
        <v>1218635833206427649</v>
      </c>
      <c r="F572" s="11" t="s">
        <v>2664</v>
      </c>
      <c r="G572" s="13"/>
      <c r="H572" s="13"/>
      <c r="I572" s="14">
        <v>0.0</v>
      </c>
      <c r="J572" s="14">
        <v>0.0</v>
      </c>
      <c r="K572" s="9" t="str">
        <f>HYPERLINK("https://apps.twitter.com","Twitty4Dave")</f>
        <v>Twitty4Dave</v>
      </c>
      <c r="L572" s="15">
        <v>8261.0</v>
      </c>
      <c r="M572" s="15">
        <v>4146.0</v>
      </c>
      <c r="N572" s="15">
        <v>390.0</v>
      </c>
      <c r="O572" s="16"/>
      <c r="P572" s="17">
        <v>41990.31606481482</v>
      </c>
      <c r="Q572" s="10" t="s">
        <v>266</v>
      </c>
      <c r="R572" s="10" t="s">
        <v>1529</v>
      </c>
      <c r="S572" s="11" t="s">
        <v>1530</v>
      </c>
      <c r="T572" s="13"/>
      <c r="U572" s="18" t="str">
        <f>HYPERLINK("https://pbs.twimg.com/profile_images/545196276417974272/6qcohW0K.jpeg","View")</f>
        <v>View</v>
      </c>
      <c r="V572" s="13"/>
      <c r="W572" s="13"/>
      <c r="X572" s="13"/>
      <c r="Y572" s="13"/>
      <c r="Z572" s="13"/>
    </row>
    <row r="573">
      <c r="A573" s="8">
        <v>43848.657071759255</v>
      </c>
      <c r="B573" s="9" t="str">
        <f>HYPERLINK("https://twitter.com/ZenCarson","@ZenCarson")</f>
        <v>@ZenCarson</v>
      </c>
      <c r="C573" s="10" t="s">
        <v>2665</v>
      </c>
      <c r="D573" s="10" t="s">
        <v>2666</v>
      </c>
      <c r="E573" s="9" t="str">
        <f>HYPERLINK("https://twitter.com/ZenCarson/status/1218635721038270469","1218635721038270469")</f>
        <v>1218635721038270469</v>
      </c>
      <c r="F573" s="11" t="s">
        <v>2667</v>
      </c>
      <c r="G573" s="13"/>
      <c r="H573" s="13"/>
      <c r="I573" s="14">
        <v>5.0</v>
      </c>
      <c r="J573" s="14">
        <v>6.0</v>
      </c>
      <c r="K573" s="9" t="str">
        <f>HYPERLINK("http://twitter.com/download/android","Twitter for Android")</f>
        <v>Twitter for Android</v>
      </c>
      <c r="L573" s="15">
        <v>1793.0</v>
      </c>
      <c r="M573" s="15">
        <v>1886.0</v>
      </c>
      <c r="N573" s="15">
        <v>0.0</v>
      </c>
      <c r="O573" s="16"/>
      <c r="P573" s="17">
        <v>43364.340960648144</v>
      </c>
      <c r="Q573" s="13"/>
      <c r="R573" s="10" t="s">
        <v>2668</v>
      </c>
      <c r="S573" s="11" t="s">
        <v>2669</v>
      </c>
      <c r="T573" s="13"/>
      <c r="U573" s="18" t="str">
        <f>HYPERLINK("https://pbs.twimg.com/profile_images/1043110468481638401/N-MknxQJ.png","View")</f>
        <v>View</v>
      </c>
      <c r="V573" s="13"/>
      <c r="W573" s="13"/>
      <c r="X573" s="13"/>
      <c r="Y573" s="13"/>
      <c r="Z573" s="13"/>
    </row>
    <row r="574">
      <c r="A574" s="8">
        <v>43848.656793981485</v>
      </c>
      <c r="B574" s="9" t="str">
        <f>HYPERLINK("https://twitter.com/Mr_I_AM","@Mr_I_AM")</f>
        <v>@Mr_I_AM</v>
      </c>
      <c r="C574" s="10" t="s">
        <v>2670</v>
      </c>
      <c r="D574" s="10" t="s">
        <v>2671</v>
      </c>
      <c r="E574" s="9" t="str">
        <f>HYPERLINK("https://twitter.com/Mr_I_AM/status/1218635618995068930","1218635618995068930")</f>
        <v>1218635618995068930</v>
      </c>
      <c r="F574" s="11" t="s">
        <v>2672</v>
      </c>
      <c r="G574" s="13"/>
      <c r="H574" s="13"/>
      <c r="I574" s="14">
        <v>0.0</v>
      </c>
      <c r="J574" s="14">
        <v>0.0</v>
      </c>
      <c r="K574" s="9" t="str">
        <f>HYPERLINK("http://twitter.com/download/iphone","Twitter for iPhone")</f>
        <v>Twitter for iPhone</v>
      </c>
      <c r="L574" s="15">
        <v>76.0</v>
      </c>
      <c r="M574" s="15">
        <v>317.0</v>
      </c>
      <c r="N574" s="15">
        <v>0.0</v>
      </c>
      <c r="O574" s="16"/>
      <c r="P574" s="17">
        <v>41469.11876157408</v>
      </c>
      <c r="Q574" s="10" t="s">
        <v>1260</v>
      </c>
      <c r="R574" s="10" t="s">
        <v>2673</v>
      </c>
      <c r="S574" s="11" t="s">
        <v>2674</v>
      </c>
      <c r="T574" s="13"/>
      <c r="U574" s="18" t="str">
        <f>HYPERLINK("https://pbs.twimg.com/profile_images/1167613303021027333/BtKilBB1.jpg","View")</f>
        <v>View</v>
      </c>
      <c r="V574" s="13"/>
      <c r="W574" s="13"/>
      <c r="X574" s="13"/>
      <c r="Y574" s="13"/>
      <c r="Z574" s="13"/>
    </row>
    <row r="575">
      <c r="A575" s="8">
        <v>43848.65628472222</v>
      </c>
      <c r="B575" s="9" t="str">
        <f>HYPERLINK("https://twitter.com/USFCBCSFMHI","@USFCBCSFMHI")</f>
        <v>@USFCBCSFMHI</v>
      </c>
      <c r="C575" s="10" t="s">
        <v>2675</v>
      </c>
      <c r="D575" s="10" t="s">
        <v>2676</v>
      </c>
      <c r="E575" s="9" t="str">
        <f>HYPERLINK("https://twitter.com/USFCBCSFMHI/status/1218635434181517317","1218635434181517317")</f>
        <v>1218635434181517317</v>
      </c>
      <c r="F575" s="11" t="s">
        <v>2677</v>
      </c>
      <c r="G575" s="11" t="s">
        <v>2678</v>
      </c>
      <c r="H575" s="13"/>
      <c r="I575" s="14">
        <v>0.0</v>
      </c>
      <c r="J575" s="14">
        <v>0.0</v>
      </c>
      <c r="K575" s="9" t="str">
        <f>HYPERLINK("https://login.propostingplatform.com","ProPP")</f>
        <v>ProPP</v>
      </c>
      <c r="L575" s="15">
        <v>85.0</v>
      </c>
      <c r="M575" s="15">
        <v>185.0</v>
      </c>
      <c r="N575" s="15">
        <v>1.0</v>
      </c>
      <c r="O575" s="16"/>
      <c r="P575" s="17">
        <v>43012.55527777778</v>
      </c>
      <c r="Q575" s="10" t="s">
        <v>480</v>
      </c>
      <c r="R575" s="10" t="s">
        <v>2679</v>
      </c>
      <c r="S575" s="11" t="s">
        <v>2680</v>
      </c>
      <c r="T575" s="13"/>
      <c r="U575" s="18" t="str">
        <f>HYPERLINK("https://pbs.twimg.com/profile_images/1207056624738807811/db0nvQZX.jpg","View")</f>
        <v>View</v>
      </c>
      <c r="V575" s="13"/>
      <c r="W575" s="13"/>
      <c r="X575" s="13"/>
      <c r="Y575" s="13"/>
      <c r="Z575" s="13"/>
    </row>
    <row r="576">
      <c r="A576" s="8">
        <v>43848.65627314815</v>
      </c>
      <c r="B576" s="9" t="str">
        <f>HYPERLINK("https://twitter.com/HealthyPlace","@HealthyPlace")</f>
        <v>@HealthyPlace</v>
      </c>
      <c r="C576" s="10" t="s">
        <v>1457</v>
      </c>
      <c r="D576" s="10" t="s">
        <v>2681</v>
      </c>
      <c r="E576" s="9" t="str">
        <f>HYPERLINK("https://twitter.com/HealthyPlace/status/1218635432075911169","1218635432075911169")</f>
        <v>1218635432075911169</v>
      </c>
      <c r="F576" s="11" t="s">
        <v>2682</v>
      </c>
      <c r="G576" s="11" t="s">
        <v>2683</v>
      </c>
      <c r="H576" s="13"/>
      <c r="I576" s="14">
        <v>0.0</v>
      </c>
      <c r="J576" s="14">
        <v>0.0</v>
      </c>
      <c r="K576" s="9" t="str">
        <f>HYPERLINK("https://sproutsocial.com","Sprout Social")</f>
        <v>Sprout Social</v>
      </c>
      <c r="L576" s="15">
        <v>64943.0</v>
      </c>
      <c r="M576" s="15">
        <v>25049.0</v>
      </c>
      <c r="N576" s="15">
        <v>1710.0</v>
      </c>
      <c r="O576" s="16"/>
      <c r="P576" s="17">
        <v>39681.03928240741</v>
      </c>
      <c r="Q576" s="10" t="s">
        <v>1460</v>
      </c>
      <c r="R576" s="10" t="s">
        <v>1461</v>
      </c>
      <c r="S576" s="11" t="s">
        <v>1462</v>
      </c>
      <c r="T576" s="13"/>
      <c r="U576" s="18" t="str">
        <f>HYPERLINK("https://pbs.twimg.com/profile_images/753613454083252225/i5pr2xny.jpg","View")</f>
        <v>View</v>
      </c>
      <c r="V576" s="13"/>
      <c r="W576" s="13"/>
      <c r="X576" s="13"/>
      <c r="Y576" s="13"/>
      <c r="Z576" s="13"/>
    </row>
    <row r="577">
      <c r="A577" s="8">
        <v>43848.65625</v>
      </c>
      <c r="B577" s="9" t="str">
        <f>HYPERLINK("https://twitter.com/AChVoice","@AChVoice")</f>
        <v>@AChVoice</v>
      </c>
      <c r="C577" s="10" t="s">
        <v>2684</v>
      </c>
      <c r="D577" s="10" t="s">
        <v>2685</v>
      </c>
      <c r="E577" s="9" t="str">
        <f>HYPERLINK("https://twitter.com/AChVoice/status/1218635423137792000","1218635423137792000")</f>
        <v>1218635423137792000</v>
      </c>
      <c r="F577" s="11" t="s">
        <v>2686</v>
      </c>
      <c r="G577" s="13"/>
      <c r="H577" s="13"/>
      <c r="I577" s="14">
        <v>1.0</v>
      </c>
      <c r="J577" s="14">
        <v>2.0</v>
      </c>
      <c r="K577" s="9" t="str">
        <f>HYPERLINK("https://buffer.com","Buffer")</f>
        <v>Buffer</v>
      </c>
      <c r="L577" s="15">
        <v>14620.0</v>
      </c>
      <c r="M577" s="15">
        <v>12834.0</v>
      </c>
      <c r="N577" s="15">
        <v>319.0</v>
      </c>
      <c r="O577" s="16"/>
      <c r="P577" s="17">
        <v>42317.35851851852</v>
      </c>
      <c r="Q577" s="10" t="s">
        <v>542</v>
      </c>
      <c r="R577" s="10" t="s">
        <v>2687</v>
      </c>
      <c r="S577" s="11" t="s">
        <v>2688</v>
      </c>
      <c r="T577" s="13"/>
      <c r="U577" s="18" t="str">
        <f>HYPERLINK("https://pbs.twimg.com/profile_images/674894894188462080/C1s9i343.jpg","View")</f>
        <v>View</v>
      </c>
      <c r="V577" s="13"/>
      <c r="W577" s="13"/>
      <c r="X577" s="13"/>
      <c r="Y577" s="13"/>
      <c r="Z577" s="13"/>
    </row>
    <row r="578">
      <c r="A578" s="8">
        <v>43848.655960648146</v>
      </c>
      <c r="B578" s="9" t="str">
        <f>HYPERLINK("https://twitter.com/AnnaArmadillo","@AnnaArmadillo")</f>
        <v>@AnnaArmadillo</v>
      </c>
      <c r="C578" s="10" t="s">
        <v>600</v>
      </c>
      <c r="D578" s="10" t="s">
        <v>2689</v>
      </c>
      <c r="E578" s="9" t="str">
        <f>HYPERLINK("https://twitter.com/AnnaArmadillo/status/1218635319458893826","1218635319458893826")</f>
        <v>1218635319458893826</v>
      </c>
      <c r="F578" s="13"/>
      <c r="G578" s="11" t="s">
        <v>2690</v>
      </c>
      <c r="H578" s="13"/>
      <c r="I578" s="14">
        <v>0.0</v>
      </c>
      <c r="J578" s="14">
        <v>0.0</v>
      </c>
      <c r="K578" s="9" t="str">
        <f>HYPERLINK("http://twitter.com/download/android","Twitter for Android")</f>
        <v>Twitter for Android</v>
      </c>
      <c r="L578" s="15">
        <v>1833.0</v>
      </c>
      <c r="M578" s="15">
        <v>4905.0</v>
      </c>
      <c r="N578" s="15">
        <v>8.0</v>
      </c>
      <c r="O578" s="16"/>
      <c r="P578" s="17">
        <v>42927.15138888889</v>
      </c>
      <c r="Q578" s="10" t="s">
        <v>603</v>
      </c>
      <c r="R578" s="10" t="s">
        <v>604</v>
      </c>
      <c r="S578" s="11" t="s">
        <v>605</v>
      </c>
      <c r="T578" s="13"/>
      <c r="U578" s="18" t="str">
        <f>HYPERLINK("https://pbs.twimg.com/profile_images/1160590662028419081/_OeOK6NT.jpg","View")</f>
        <v>View</v>
      </c>
      <c r="V578" s="13"/>
      <c r="W578" s="13"/>
      <c r="X578" s="13"/>
      <c r="Y578" s="13"/>
      <c r="Z578" s="13"/>
    </row>
    <row r="579">
      <c r="A579" s="8">
        <v>43848.654803240745</v>
      </c>
      <c r="B579" s="9" t="str">
        <f>HYPERLINK("https://twitter.com/DavidSusman","@DavidSusman")</f>
        <v>@DavidSusman</v>
      </c>
      <c r="C579" s="10" t="s">
        <v>2691</v>
      </c>
      <c r="D579" s="10" t="s">
        <v>2692</v>
      </c>
      <c r="E579" s="9" t="str">
        <f>HYPERLINK("https://twitter.com/DavidSusman/status/1218634899558670336","1218634899558670336")</f>
        <v>1218634899558670336</v>
      </c>
      <c r="F579" s="11" t="s">
        <v>2693</v>
      </c>
      <c r="G579" s="13"/>
      <c r="H579" s="13"/>
      <c r="I579" s="14">
        <v>1.0</v>
      </c>
      <c r="J579" s="14">
        <v>1.0</v>
      </c>
      <c r="K579" s="9" t="str">
        <f t="shared" ref="K579:K580" si="70">HYPERLINK("http://twitter.com/download/iphone","Twitter for iPhone")</f>
        <v>Twitter for iPhone</v>
      </c>
      <c r="L579" s="15">
        <v>11343.0</v>
      </c>
      <c r="M579" s="15">
        <v>7976.0</v>
      </c>
      <c r="N579" s="15">
        <v>308.0</v>
      </c>
      <c r="O579" s="16"/>
      <c r="P579" s="17">
        <v>40848.887465277774</v>
      </c>
      <c r="Q579" s="10" t="s">
        <v>2694</v>
      </c>
      <c r="R579" s="10" t="s">
        <v>2695</v>
      </c>
      <c r="S579" s="11" t="s">
        <v>2696</v>
      </c>
      <c r="T579" s="13"/>
      <c r="U579" s="18" t="str">
        <f>HYPERLINK("https://pbs.twimg.com/profile_images/1028292256317419521/Y4Bhnqjh.jpg","View")</f>
        <v>View</v>
      </c>
      <c r="V579" s="13"/>
      <c r="W579" s="13"/>
      <c r="X579" s="13"/>
      <c r="Y579" s="13"/>
      <c r="Z579" s="13"/>
    </row>
    <row r="580">
      <c r="A580" s="8">
        <v>43848.65474537037</v>
      </c>
      <c r="B580" s="9" t="str">
        <f>HYPERLINK("https://twitter.com/brave7singing","@brave7singing")</f>
        <v>@brave7singing</v>
      </c>
      <c r="C580" s="10" t="s">
        <v>2697</v>
      </c>
      <c r="D580" s="10" t="s">
        <v>2698</v>
      </c>
      <c r="E580" s="9" t="str">
        <f>HYPERLINK("https://twitter.com/brave7singing/status/1218634878541094912","1218634878541094912")</f>
        <v>1218634878541094912</v>
      </c>
      <c r="F580" s="13"/>
      <c r="G580" s="11" t="s">
        <v>2699</v>
      </c>
      <c r="H580" s="13"/>
      <c r="I580" s="14">
        <v>0.0</v>
      </c>
      <c r="J580" s="14">
        <v>6.0</v>
      </c>
      <c r="K580" s="9" t="str">
        <f t="shared" si="70"/>
        <v>Twitter for iPhone</v>
      </c>
      <c r="L580" s="15">
        <v>200.0</v>
      </c>
      <c r="M580" s="15">
        <v>879.0</v>
      </c>
      <c r="N580" s="15">
        <v>3.0</v>
      </c>
      <c r="O580" s="16"/>
      <c r="P580" s="17">
        <v>42177.39347222222</v>
      </c>
      <c r="Q580" s="13"/>
      <c r="R580" s="10" t="s">
        <v>2700</v>
      </c>
      <c r="S580" s="11" t="s">
        <v>2701</v>
      </c>
      <c r="T580" s="13"/>
      <c r="U580" s="18" t="str">
        <f>HYPERLINK("https://pbs.twimg.com/profile_images/1179129362513305601/errG3l4n.jpg","View")</f>
        <v>View</v>
      </c>
      <c r="V580" s="13"/>
      <c r="W580" s="13"/>
      <c r="X580" s="13"/>
      <c r="Y580" s="13"/>
      <c r="Z580" s="13"/>
    </row>
    <row r="581">
      <c r="A581" s="8">
        <v>43848.65393518518</v>
      </c>
      <c r="B581" s="9" t="str">
        <f>HYPERLINK("https://twitter.com/thornhillmom","@thornhillmom")</f>
        <v>@thornhillmom</v>
      </c>
      <c r="C581" s="10" t="s">
        <v>2702</v>
      </c>
      <c r="D581" s="10" t="s">
        <v>2703</v>
      </c>
      <c r="E581" s="9" t="str">
        <f>HYPERLINK("https://twitter.com/thornhillmom/status/1218634585103192064","1218634585103192064")</f>
        <v>1218634585103192064</v>
      </c>
      <c r="F581" s="11" t="s">
        <v>2704</v>
      </c>
      <c r="G581" s="13"/>
      <c r="H581" s="13"/>
      <c r="I581" s="14">
        <v>0.0</v>
      </c>
      <c r="J581" s="14">
        <v>0.0</v>
      </c>
      <c r="K581" s="9" t="str">
        <f>HYPERLINK("http://www.twitter.com","Marietweet")</f>
        <v>Marietweet</v>
      </c>
      <c r="L581" s="15">
        <v>10918.0</v>
      </c>
      <c r="M581" s="15">
        <v>3968.0</v>
      </c>
      <c r="N581" s="15">
        <v>510.0</v>
      </c>
      <c r="O581" s="16"/>
      <c r="P581" s="17">
        <v>41233.47824074074</v>
      </c>
      <c r="Q581" s="10" t="s">
        <v>2705</v>
      </c>
      <c r="R581" s="10" t="s">
        <v>2706</v>
      </c>
      <c r="S581" s="11" t="s">
        <v>2707</v>
      </c>
      <c r="T581" s="13"/>
      <c r="U581" s="18" t="str">
        <f>HYPERLINK("https://pbs.twimg.com/profile_images/528657627157233664/mAw3lKf_.jpeg","View")</f>
        <v>View</v>
      </c>
      <c r="V581" s="13"/>
      <c r="W581" s="13"/>
      <c r="X581" s="13"/>
      <c r="Y581" s="13"/>
      <c r="Z581" s="13"/>
    </row>
    <row r="582">
      <c r="A582" s="8">
        <v>43848.65347222222</v>
      </c>
      <c r="B582" s="9" t="str">
        <f>HYPERLINK("https://twitter.com/KISSMediaCo","@KISSMediaCo")</f>
        <v>@KISSMediaCo</v>
      </c>
      <c r="C582" s="10" t="s">
        <v>2708</v>
      </c>
      <c r="D582" s="10" t="s">
        <v>2709</v>
      </c>
      <c r="E582" s="9" t="str">
        <f>HYPERLINK("https://twitter.com/KISSMediaCo/status/1218634417243115520","1218634417243115520")</f>
        <v>1218634417243115520</v>
      </c>
      <c r="F582" s="13"/>
      <c r="G582" s="13"/>
      <c r="H582" s="13"/>
      <c r="I582" s="14">
        <v>0.0</v>
      </c>
      <c r="J582" s="14">
        <v>0.0</v>
      </c>
      <c r="K582" s="9" t="str">
        <f>HYPERLINK("https://sproutsocial.com","Sprout Social")</f>
        <v>Sprout Social</v>
      </c>
      <c r="L582" s="15">
        <v>825.0</v>
      </c>
      <c r="M582" s="15">
        <v>1965.0</v>
      </c>
      <c r="N582" s="15">
        <v>59.0</v>
      </c>
      <c r="O582" s="16"/>
      <c r="P582" s="17">
        <v>40722.705914351856</v>
      </c>
      <c r="Q582" s="10" t="s">
        <v>382</v>
      </c>
      <c r="R582" s="10" t="s">
        <v>2710</v>
      </c>
      <c r="S582" s="11" t="s">
        <v>2711</v>
      </c>
      <c r="T582" s="13"/>
      <c r="U582" s="18" t="str">
        <f>HYPERLINK("https://pbs.twimg.com/profile_images/1417775932/Kiss_square.jpg","View")</f>
        <v>View</v>
      </c>
      <c r="V582" s="13"/>
      <c r="W582" s="13"/>
      <c r="X582" s="13"/>
      <c r="Y582" s="13"/>
      <c r="Z582" s="13"/>
    </row>
    <row r="583">
      <c r="A583" s="8">
        <v>43848.653333333335</v>
      </c>
      <c r="B583" s="9" t="str">
        <f>HYPERLINK("https://twitter.com/Miss_U_Gram","@Miss_U_Gram")</f>
        <v>@Miss_U_Gram</v>
      </c>
      <c r="C583" s="10" t="s">
        <v>2712</v>
      </c>
      <c r="D583" s="10" t="s">
        <v>2713</v>
      </c>
      <c r="E583" s="9" t="str">
        <f>HYPERLINK("https://twitter.com/Miss_U_Gram/status/1218634365535772673","1218634365535772673")</f>
        <v>1218634365535772673</v>
      </c>
      <c r="F583" s="11" t="s">
        <v>2714</v>
      </c>
      <c r="G583" s="13"/>
      <c r="H583" s="13"/>
      <c r="I583" s="14">
        <v>0.0</v>
      </c>
      <c r="J583" s="14">
        <v>0.0</v>
      </c>
      <c r="K583" s="9" t="str">
        <f>HYPERLINK("http://twitter.com/download/android","Twitter for Android")</f>
        <v>Twitter for Android</v>
      </c>
      <c r="L583" s="15">
        <v>3369.0</v>
      </c>
      <c r="M583" s="15">
        <v>3058.0</v>
      </c>
      <c r="N583" s="15">
        <v>209.0</v>
      </c>
      <c r="O583" s="16"/>
      <c r="P583" s="17">
        <v>42525.67236111111</v>
      </c>
      <c r="Q583" s="10" t="s">
        <v>166</v>
      </c>
      <c r="R583" s="10" t="s">
        <v>2715</v>
      </c>
      <c r="S583" s="11" t="s">
        <v>2716</v>
      </c>
      <c r="T583" s="13"/>
      <c r="U583" s="18" t="str">
        <f>HYPERLINK("https://pbs.twimg.com/profile_images/740618059199750144/djgYQBf9.jpg","View")</f>
        <v>View</v>
      </c>
      <c r="V583" s="13"/>
      <c r="W583" s="13"/>
      <c r="X583" s="13"/>
      <c r="Y583" s="13"/>
      <c r="Z583" s="13"/>
    </row>
    <row r="584">
      <c r="A584" s="8">
        <v>43848.653240740736</v>
      </c>
      <c r="B584" s="9" t="str">
        <f>HYPERLINK("https://twitter.com/veensalvin","@veensalvin")</f>
        <v>@veensalvin</v>
      </c>
      <c r="C584" s="10" t="s">
        <v>2717</v>
      </c>
      <c r="D584" s="10" t="s">
        <v>2718</v>
      </c>
      <c r="E584" s="9" t="str">
        <f>HYPERLINK("https://twitter.com/veensalvin/status/1218634331956162560","1218634331956162560")</f>
        <v>1218634331956162560</v>
      </c>
      <c r="F584" s="13"/>
      <c r="G584" s="13"/>
      <c r="H584" s="13"/>
      <c r="I584" s="14">
        <v>0.0</v>
      </c>
      <c r="J584" s="14">
        <v>0.0</v>
      </c>
      <c r="K584" s="9" t="str">
        <f>HYPERLINK("https://mobile.twitter.com","Twitter Web App")</f>
        <v>Twitter Web App</v>
      </c>
      <c r="L584" s="15">
        <v>1108.0</v>
      </c>
      <c r="M584" s="15">
        <v>1652.0</v>
      </c>
      <c r="N584" s="15">
        <v>17.0</v>
      </c>
      <c r="O584" s="16"/>
      <c r="P584" s="17">
        <v>40709.52517361111</v>
      </c>
      <c r="Q584" s="10" t="s">
        <v>2719</v>
      </c>
      <c r="R584" s="10" t="s">
        <v>2720</v>
      </c>
      <c r="S584" s="11" t="s">
        <v>2721</v>
      </c>
      <c r="T584" s="13"/>
      <c r="U584" s="18" t="str">
        <f>HYPERLINK("https://pbs.twimg.com/profile_images/1205781552946434048/KFEJ3tK3.jpg","View")</f>
        <v>View</v>
      </c>
      <c r="V584" s="13"/>
      <c r="W584" s="13"/>
      <c r="X584" s="13"/>
      <c r="Y584" s="13"/>
      <c r="Z584" s="13"/>
    </row>
    <row r="585">
      <c r="A585" s="8">
        <v>43848.6528587963</v>
      </c>
      <c r="B585" s="9" t="str">
        <f>HYPERLINK("https://twitter.com/TheCalmPeople","@TheCalmPeople")</f>
        <v>@TheCalmPeople</v>
      </c>
      <c r="C585" s="10" t="s">
        <v>2722</v>
      </c>
      <c r="D585" s="10" t="s">
        <v>2723</v>
      </c>
      <c r="E585" s="9" t="str">
        <f>HYPERLINK("https://twitter.com/TheCalmPeople/status/1218634194072543232","1218634194072543232")</f>
        <v>1218634194072543232</v>
      </c>
      <c r="F585" s="13"/>
      <c r="G585" s="11" t="s">
        <v>2724</v>
      </c>
      <c r="H585" s="13"/>
      <c r="I585" s="14">
        <v>0.0</v>
      </c>
      <c r="J585" s="14">
        <v>1.0</v>
      </c>
      <c r="K585" s="9" t="str">
        <f t="shared" ref="K585:K586" si="71">HYPERLINK("https://www.hootsuite.com","Hootsuite Inc.")</f>
        <v>Hootsuite Inc.</v>
      </c>
      <c r="L585" s="15">
        <v>1748.0</v>
      </c>
      <c r="M585" s="15">
        <v>261.0</v>
      </c>
      <c r="N585" s="15">
        <v>39.0</v>
      </c>
      <c r="O585" s="16"/>
      <c r="P585" s="17">
        <v>39970.570706018516</v>
      </c>
      <c r="Q585" s="10" t="s">
        <v>2323</v>
      </c>
      <c r="R585" s="10" t="s">
        <v>2725</v>
      </c>
      <c r="S585" s="11" t="s">
        <v>2726</v>
      </c>
      <c r="T585" s="13"/>
      <c r="U585" s="18" t="str">
        <f>HYPERLINK("https://pbs.twimg.com/profile_images/651434318506528768/fuSNk5ze.jpg","View")</f>
        <v>View</v>
      </c>
      <c r="V585" s="13"/>
      <c r="W585" s="13"/>
      <c r="X585" s="13"/>
      <c r="Y585" s="13"/>
      <c r="Z585" s="13"/>
    </row>
    <row r="586">
      <c r="A586" s="8">
        <v>43848.652812500004</v>
      </c>
      <c r="B586" s="9" t="str">
        <f>HYPERLINK("https://twitter.com/djemal_ua","@djemal_ua")</f>
        <v>@djemal_ua</v>
      </c>
      <c r="C586" s="10" t="s">
        <v>1161</v>
      </c>
      <c r="D586" s="10" t="s">
        <v>2727</v>
      </c>
      <c r="E586" s="9" t="str">
        <f>HYPERLINK("https://twitter.com/djemal_ua/status/1218634178574667778","1218634178574667778")</f>
        <v>1218634178574667778</v>
      </c>
      <c r="F586" s="11" t="s">
        <v>2728</v>
      </c>
      <c r="G586" s="13"/>
      <c r="H586" s="13"/>
      <c r="I586" s="14">
        <v>0.0</v>
      </c>
      <c r="J586" s="14">
        <v>0.0</v>
      </c>
      <c r="K586" s="9" t="str">
        <f t="shared" si="71"/>
        <v>Hootsuite Inc.</v>
      </c>
      <c r="L586" s="15">
        <v>5127.0</v>
      </c>
      <c r="M586" s="15">
        <v>4724.0</v>
      </c>
      <c r="N586" s="15">
        <v>60.0</v>
      </c>
      <c r="O586" s="16"/>
      <c r="P586" s="17">
        <v>43530.25729166667</v>
      </c>
      <c r="Q586" s="10" t="s">
        <v>95</v>
      </c>
      <c r="R586" s="10" t="s">
        <v>1164</v>
      </c>
      <c r="S586" s="11" t="s">
        <v>1165</v>
      </c>
      <c r="T586" s="13"/>
      <c r="U586" s="18" t="str">
        <f>HYPERLINK("https://pbs.twimg.com/profile_images/1202978381106761728/aqUhVSTO.jpg","View")</f>
        <v>View</v>
      </c>
      <c r="V586" s="13"/>
      <c r="W586" s="13"/>
      <c r="X586" s="13"/>
      <c r="Y586" s="13"/>
      <c r="Z586" s="13"/>
    </row>
    <row r="587">
      <c r="A587" s="8">
        <v>43848.65194444444</v>
      </c>
      <c r="B587" s="9" t="str">
        <f>HYPERLINK("https://twitter.com/Marklewis1964","@Marklewis1964")</f>
        <v>@Marklewis1964</v>
      </c>
      <c r="C587" s="10" t="s">
        <v>2729</v>
      </c>
      <c r="D587" s="10" t="s">
        <v>2730</v>
      </c>
      <c r="E587" s="9" t="str">
        <f>HYPERLINK("https://twitter.com/Marklewis1964/status/1218633862982422528","1218633862982422528")</f>
        <v>1218633862982422528</v>
      </c>
      <c r="F587" s="11" t="s">
        <v>2731</v>
      </c>
      <c r="G587" s="13"/>
      <c r="H587" s="9" t="str">
        <f>HYPERLINK("https://ctrlq.org/maps/address/#51.40593,-1.3261099","Map")</f>
        <v>Map</v>
      </c>
      <c r="I587" s="14">
        <v>0.0</v>
      </c>
      <c r="J587" s="14">
        <v>0.0</v>
      </c>
      <c r="K587" s="9" t="str">
        <f>HYPERLINK("http://instagram.com","Instagram")</f>
        <v>Instagram</v>
      </c>
      <c r="L587" s="15">
        <v>41.0</v>
      </c>
      <c r="M587" s="15">
        <v>67.0</v>
      </c>
      <c r="N587" s="15">
        <v>0.0</v>
      </c>
      <c r="O587" s="16"/>
      <c r="P587" s="17">
        <v>41686.157847222225</v>
      </c>
      <c r="Q587" s="10" t="s">
        <v>2732</v>
      </c>
      <c r="R587" s="10" t="s">
        <v>2733</v>
      </c>
      <c r="S587" s="13"/>
      <c r="T587" s="13"/>
      <c r="U587" s="18" t="str">
        <f>HYPERLINK("https://pbs.twimg.com/profile_images/1177253587900145665/6eTm16_A.jpg","View")</f>
        <v>View</v>
      </c>
      <c r="V587" s="13"/>
      <c r="W587" s="13"/>
      <c r="X587" s="13"/>
      <c r="Y587" s="13"/>
      <c r="Z587" s="13"/>
    </row>
    <row r="588">
      <c r="A588" s="8">
        <v>43848.651712962965</v>
      </c>
      <c r="B588" s="9" t="str">
        <f>HYPERLINK("https://twitter.com/MOJO_BlogPod","@MOJO_BlogPod")</f>
        <v>@MOJO_BlogPod</v>
      </c>
      <c r="C588" s="10" t="s">
        <v>2734</v>
      </c>
      <c r="D588" s="10" t="s">
        <v>2735</v>
      </c>
      <c r="E588" s="9" t="str">
        <f>HYPERLINK("https://twitter.com/MOJO_BlogPod/status/1218633778513502208","1218633778513502208")</f>
        <v>1218633778513502208</v>
      </c>
      <c r="F588" s="11" t="s">
        <v>2736</v>
      </c>
      <c r="G588" s="13"/>
      <c r="H588" s="13"/>
      <c r="I588" s="14">
        <v>4.0</v>
      </c>
      <c r="J588" s="14">
        <v>1.0</v>
      </c>
      <c r="K588" s="9" t="str">
        <f>HYPERLINK("http://twitter.com/download/iphone","Twitter for iPhone")</f>
        <v>Twitter for iPhone</v>
      </c>
      <c r="L588" s="15">
        <v>1161.0</v>
      </c>
      <c r="M588" s="15">
        <v>480.0</v>
      </c>
      <c r="N588" s="15">
        <v>19.0</v>
      </c>
      <c r="O588" s="16"/>
      <c r="P588" s="17">
        <v>42532.764178240745</v>
      </c>
      <c r="Q588" s="10" t="s">
        <v>2737</v>
      </c>
      <c r="R588" s="10" t="s">
        <v>2738</v>
      </c>
      <c r="S588" s="11" t="s">
        <v>2739</v>
      </c>
      <c r="T588" s="13"/>
      <c r="U588" s="18" t="str">
        <f>HYPERLINK("https://pbs.twimg.com/profile_images/1052694339770609665/kmovx_Mm.jpg","View")</f>
        <v>View</v>
      </c>
      <c r="V588" s="13"/>
      <c r="W588" s="13"/>
      <c r="X588" s="13"/>
      <c r="Y588" s="13"/>
      <c r="Z588" s="13"/>
    </row>
    <row r="589">
      <c r="A589" s="8">
        <v>43848.65170138889</v>
      </c>
      <c r="B589" s="9" t="str">
        <f>HYPERLINK("https://twitter.com/mkk9217","@mkk9217")</f>
        <v>@mkk9217</v>
      </c>
      <c r="C589" s="10" t="s">
        <v>2740</v>
      </c>
      <c r="D589" s="10" t="s">
        <v>2741</v>
      </c>
      <c r="E589" s="9" t="str">
        <f>HYPERLINK("https://twitter.com/mkk9217/status/1218633774235312130","1218633774235312130")</f>
        <v>1218633774235312130</v>
      </c>
      <c r="F589" s="13"/>
      <c r="G589" s="13"/>
      <c r="H589" s="13"/>
      <c r="I589" s="14">
        <v>0.0</v>
      </c>
      <c r="J589" s="14">
        <v>1.0</v>
      </c>
      <c r="K589" s="9" t="str">
        <f>HYPERLINK("http://twitter.com/download/android","Twitter for Android")</f>
        <v>Twitter for Android</v>
      </c>
      <c r="L589" s="15">
        <v>18.0</v>
      </c>
      <c r="M589" s="15">
        <v>143.0</v>
      </c>
      <c r="N589" s="15">
        <v>0.0</v>
      </c>
      <c r="O589" s="16"/>
      <c r="P589" s="17">
        <v>43335.23996527778</v>
      </c>
      <c r="Q589" s="13"/>
      <c r="R589" s="10" t="s">
        <v>2742</v>
      </c>
      <c r="S589" s="13"/>
      <c r="T589" s="13"/>
      <c r="U589" s="18" t="str">
        <f>HYPERLINK("https://pbs.twimg.com/profile_images/1102205578313646081/fYZkvRN6.jpg","View")</f>
        <v>View</v>
      </c>
      <c r="V589" s="13"/>
      <c r="W589" s="13"/>
      <c r="X589" s="13"/>
      <c r="Y589" s="13"/>
      <c r="Z589" s="13"/>
    </row>
    <row r="590">
      <c r="A590" s="8">
        <v>43848.65003472222</v>
      </c>
      <c r="B590" s="9" t="str">
        <f>HYPERLINK("https://twitter.com/HealthNutRobb","@HealthNutRobb")</f>
        <v>@HealthNutRobb</v>
      </c>
      <c r="C590" s="10" t="s">
        <v>2743</v>
      </c>
      <c r="D590" s="10" t="s">
        <v>2744</v>
      </c>
      <c r="E590" s="9" t="str">
        <f>HYPERLINK("https://twitter.com/HealthNutRobb/status/1218633169374715906","1218633169374715906")</f>
        <v>1218633169374715906</v>
      </c>
      <c r="F590" s="11" t="s">
        <v>2745</v>
      </c>
      <c r="G590" s="13"/>
      <c r="H590" s="13"/>
      <c r="I590" s="14">
        <v>0.0</v>
      </c>
      <c r="J590" s="14">
        <v>0.0</v>
      </c>
      <c r="K590" s="9" t="str">
        <f>HYPERLINK("https://vitalizedfuture.com","HealthNutRobb Tweet App")</f>
        <v>HealthNutRobb Tweet App</v>
      </c>
      <c r="L590" s="15">
        <v>5893.0</v>
      </c>
      <c r="M590" s="15">
        <v>3583.0</v>
      </c>
      <c r="N590" s="15">
        <v>25.0</v>
      </c>
      <c r="O590" s="16"/>
      <c r="P590" s="17">
        <v>43698.660787037035</v>
      </c>
      <c r="Q590" s="10" t="s">
        <v>2746</v>
      </c>
      <c r="R590" s="10" t="s">
        <v>2747</v>
      </c>
      <c r="S590" s="11" t="s">
        <v>2748</v>
      </c>
      <c r="T590" s="13"/>
      <c r="U590" s="18" t="str">
        <f>HYPERLINK("https://pbs.twimg.com/profile_images/1164265792793456640/EHUYOgZP.jpg","View")</f>
        <v>View</v>
      </c>
      <c r="V590" s="13"/>
      <c r="W590" s="13"/>
      <c r="X590" s="13"/>
      <c r="Y590" s="13"/>
      <c r="Z590" s="13"/>
    </row>
    <row r="591">
      <c r="A591" s="8">
        <v>43848.64927083333</v>
      </c>
      <c r="B591" s="9" t="str">
        <f>HYPERLINK("https://twitter.com/TimeToChangeWa1","@TimeToChangeWa1")</f>
        <v>@TimeToChangeWa1</v>
      </c>
      <c r="C591" s="10" t="s">
        <v>2749</v>
      </c>
      <c r="D591" s="10" t="s">
        <v>2750</v>
      </c>
      <c r="E591" s="9" t="str">
        <f>HYPERLINK("https://twitter.com/TimeToChangeWa1/status/1218632894551351296","1218632894551351296")</f>
        <v>1218632894551351296</v>
      </c>
      <c r="F591" s="11" t="s">
        <v>2751</v>
      </c>
      <c r="G591" s="11" t="s">
        <v>2752</v>
      </c>
      <c r="H591" s="13"/>
      <c r="I591" s="14">
        <v>2.0</v>
      </c>
      <c r="J591" s="14">
        <v>9.0</v>
      </c>
      <c r="K591" s="9" t="str">
        <f>HYPERLINK("http://twitter.com/download/android","Twitter for Android")</f>
        <v>Twitter for Android</v>
      </c>
      <c r="L591" s="15">
        <v>513.0</v>
      </c>
      <c r="M591" s="15">
        <v>1663.0</v>
      </c>
      <c r="N591" s="15">
        <v>2.0</v>
      </c>
      <c r="O591" s="16"/>
      <c r="P591" s="17">
        <v>43783.20895833333</v>
      </c>
      <c r="Q591" s="10" t="s">
        <v>2753</v>
      </c>
      <c r="R591" s="10" t="s">
        <v>2754</v>
      </c>
      <c r="S591" s="13"/>
      <c r="T591" s="13"/>
      <c r="U591" s="18" t="str">
        <f>HYPERLINK("https://pbs.twimg.com/profile_images/1209510960408465411/efIobSU8.jpg","View")</f>
        <v>View</v>
      </c>
      <c r="V591" s="13"/>
      <c r="W591" s="13"/>
      <c r="X591" s="13"/>
      <c r="Y591" s="13"/>
      <c r="Z591" s="13"/>
    </row>
    <row r="592">
      <c r="A592" s="8">
        <v>43848.64894675926</v>
      </c>
      <c r="B592" s="9" t="str">
        <f>HYPERLINK("https://twitter.com/LovingSanders","@LovingSanders")</f>
        <v>@LovingSanders</v>
      </c>
      <c r="C592" s="10" t="s">
        <v>70</v>
      </c>
      <c r="D592" s="10" t="s">
        <v>2755</v>
      </c>
      <c r="E592" s="9" t="str">
        <f>HYPERLINK("https://twitter.com/LovingSanders/status/1218632775562973185","1218632775562973185")</f>
        <v>1218632775562973185</v>
      </c>
      <c r="F592" s="11" t="s">
        <v>2756</v>
      </c>
      <c r="G592" s="13"/>
      <c r="H592" s="13"/>
      <c r="I592" s="14">
        <v>0.0</v>
      </c>
      <c r="J592" s="14">
        <v>0.0</v>
      </c>
      <c r="K592" s="9" t="str">
        <f>HYPERLINK("https://plus.google.com/102104104608814339564","ZolushkaLaura")</f>
        <v>ZolushkaLaura</v>
      </c>
      <c r="L592" s="15">
        <v>8205.0</v>
      </c>
      <c r="M592" s="15">
        <v>5631.0</v>
      </c>
      <c r="N592" s="15">
        <v>555.0</v>
      </c>
      <c r="O592" s="16"/>
      <c r="P592" s="17">
        <v>41611.270844907405</v>
      </c>
      <c r="Q592" s="10" t="s">
        <v>73</v>
      </c>
      <c r="R592" s="10" t="s">
        <v>74</v>
      </c>
      <c r="S592" s="11" t="s">
        <v>75</v>
      </c>
      <c r="T592" s="13"/>
      <c r="U592" s="18" t="str">
        <f>HYPERLINK("https://pbs.twimg.com/profile_images/953034378275377152/PI2tXfLU.jpg","View")</f>
        <v>View</v>
      </c>
      <c r="V592" s="13"/>
      <c r="W592" s="13"/>
      <c r="X592" s="13"/>
      <c r="Y592" s="13"/>
      <c r="Z592" s="13"/>
    </row>
    <row r="593">
      <c r="A593" s="8">
        <v>43848.64886574074</v>
      </c>
      <c r="B593" s="9" t="str">
        <f>HYPERLINK("https://twitter.com/mentalhealthmn","@mentalhealthmn")</f>
        <v>@mentalhealthmn</v>
      </c>
      <c r="C593" s="10" t="s">
        <v>2757</v>
      </c>
      <c r="D593" s="10" t="s">
        <v>2758</v>
      </c>
      <c r="E593" s="9" t="str">
        <f>HYPERLINK("https://twitter.com/mentalhealthmn/status/1218632747427778561","1218632747427778561")</f>
        <v>1218632747427778561</v>
      </c>
      <c r="F593" s="11" t="s">
        <v>2759</v>
      </c>
      <c r="G593" s="13"/>
      <c r="H593" s="13"/>
      <c r="I593" s="14">
        <v>0.0</v>
      </c>
      <c r="J593" s="14">
        <v>0.0</v>
      </c>
      <c r="K593" s="9" t="str">
        <f>HYPERLINK("https://www.hootsuite.com","Hootsuite Inc.")</f>
        <v>Hootsuite Inc.</v>
      </c>
      <c r="L593" s="15">
        <v>705.0</v>
      </c>
      <c r="M593" s="15">
        <v>933.0</v>
      </c>
      <c r="N593" s="15">
        <v>16.0</v>
      </c>
      <c r="O593" s="16"/>
      <c r="P593" s="17">
        <v>40492.4415625</v>
      </c>
      <c r="Q593" s="10" t="s">
        <v>2760</v>
      </c>
      <c r="R593" s="10" t="s">
        <v>2761</v>
      </c>
      <c r="S593" s="11" t="s">
        <v>2762</v>
      </c>
      <c r="T593" s="13"/>
      <c r="U593" s="18" t="str">
        <f>HYPERLINK("https://pbs.twimg.com/profile_images/1045469888398077952/egF47LOd.jpg","View")</f>
        <v>View</v>
      </c>
      <c r="V593" s="13"/>
      <c r="W593" s="13"/>
      <c r="X593" s="13"/>
      <c r="Y593" s="13"/>
      <c r="Z593" s="13"/>
    </row>
    <row r="594">
      <c r="A594" s="8">
        <v>43848.64832175926</v>
      </c>
      <c r="B594" s="9" t="str">
        <f>HYPERLINK("https://twitter.com/OksanaPorteous","@OksanaPorteous")</f>
        <v>@OksanaPorteous</v>
      </c>
      <c r="C594" s="10" t="s">
        <v>2763</v>
      </c>
      <c r="D594" s="10" t="s">
        <v>2764</v>
      </c>
      <c r="E594" s="9" t="str">
        <f>HYPERLINK("https://twitter.com/OksanaPorteous/status/1218632550354079744","1218632550354079744")</f>
        <v>1218632550354079744</v>
      </c>
      <c r="F594" s="13"/>
      <c r="G594" s="13"/>
      <c r="H594" s="13"/>
      <c r="I594" s="14">
        <v>0.0</v>
      </c>
      <c r="J594" s="14">
        <v>0.0</v>
      </c>
      <c r="K594" s="9" t="str">
        <f>HYPERLINK("http://twitter.com/download/iphone","Twitter for iPhone")</f>
        <v>Twitter for iPhone</v>
      </c>
      <c r="L594" s="15">
        <v>81.0</v>
      </c>
      <c r="M594" s="15">
        <v>171.0</v>
      </c>
      <c r="N594" s="15">
        <v>2.0</v>
      </c>
      <c r="O594" s="16"/>
      <c r="P594" s="17">
        <v>42914.0622337963</v>
      </c>
      <c r="Q594" s="10" t="s">
        <v>2765</v>
      </c>
      <c r="R594" s="10" t="s">
        <v>2766</v>
      </c>
      <c r="S594" s="11" t="s">
        <v>2767</v>
      </c>
      <c r="T594" s="13"/>
      <c r="U594" s="18" t="str">
        <f>HYPERLINK("https://pbs.twimg.com/profile_images/1116417854629269504/dI_NSoAV.jpg","View")</f>
        <v>View</v>
      </c>
      <c r="V594" s="13"/>
      <c r="W594" s="13"/>
      <c r="X594" s="13"/>
      <c r="Y594" s="13"/>
      <c r="Z594" s="13"/>
    </row>
    <row r="595">
      <c r="A595" s="8">
        <v>43848.64795138889</v>
      </c>
      <c r="B595" s="9" t="str">
        <f>HYPERLINK("https://twitter.com/wellbeing4you","@wellbeing4you")</f>
        <v>@wellbeing4you</v>
      </c>
      <c r="C595" s="10" t="s">
        <v>2768</v>
      </c>
      <c r="D595" s="22" t="s">
        <v>2769</v>
      </c>
      <c r="E595" s="9" t="str">
        <f>HYPERLINK("https://twitter.com/wellbeing4you/status/1218632415586983939","1218632415586983939")</f>
        <v>1218632415586983939</v>
      </c>
      <c r="F595" s="11" t="s">
        <v>2770</v>
      </c>
      <c r="G595" s="11" t="s">
        <v>2771</v>
      </c>
      <c r="H595" s="13"/>
      <c r="I595" s="14">
        <v>2.0</v>
      </c>
      <c r="J595" s="14">
        <v>1.0</v>
      </c>
      <c r="K595" s="9" t="str">
        <f>HYPERLINK("https://buffer.com","Buffer")</f>
        <v>Buffer</v>
      </c>
      <c r="L595" s="15">
        <v>10198.0</v>
      </c>
      <c r="M595" s="15">
        <v>10480.0</v>
      </c>
      <c r="N595" s="15">
        <v>444.0</v>
      </c>
      <c r="O595" s="16"/>
      <c r="P595" s="17">
        <v>42148.47094907408</v>
      </c>
      <c r="Q595" s="10" t="s">
        <v>2050</v>
      </c>
      <c r="R595" s="10" t="s">
        <v>2772</v>
      </c>
      <c r="S595" s="13"/>
      <c r="T595" s="13"/>
      <c r="U595" s="18" t="str">
        <f>HYPERLINK("https://pbs.twimg.com/profile_images/663392894263234561/WkGlcCR0.png","View")</f>
        <v>View</v>
      </c>
      <c r="V595" s="13"/>
      <c r="W595" s="13"/>
      <c r="X595" s="13"/>
      <c r="Y595" s="13"/>
      <c r="Z595" s="13"/>
    </row>
    <row r="596">
      <c r="A596" s="8">
        <v>43848.64775462963</v>
      </c>
      <c r="B596" s="9" t="str">
        <f>HYPERLINK("https://twitter.com/bartonowl","@bartonowl")</f>
        <v>@bartonowl</v>
      </c>
      <c r="C596" s="10" t="s">
        <v>2773</v>
      </c>
      <c r="D596" s="10" t="s">
        <v>2774</v>
      </c>
      <c r="E596" s="9" t="str">
        <f>HYPERLINK("https://twitter.com/bartonowl/status/1218632341922422792","1218632341922422792")</f>
        <v>1218632341922422792</v>
      </c>
      <c r="F596" s="13"/>
      <c r="G596" s="13"/>
      <c r="H596" s="13"/>
      <c r="I596" s="14">
        <v>1.0</v>
      </c>
      <c r="J596" s="14">
        <v>1.0</v>
      </c>
      <c r="K596" s="9" t="str">
        <f>HYPERLINK("http://twitter.com/download/android","Twitter for Android")</f>
        <v>Twitter for Android</v>
      </c>
      <c r="L596" s="15">
        <v>40.0</v>
      </c>
      <c r="M596" s="15">
        <v>283.0</v>
      </c>
      <c r="N596" s="15">
        <v>2.0</v>
      </c>
      <c r="O596" s="16"/>
      <c r="P596" s="17">
        <v>41483.37185185185</v>
      </c>
      <c r="Q596" s="13"/>
      <c r="R596" s="10" t="s">
        <v>2775</v>
      </c>
      <c r="S596" s="13"/>
      <c r="T596" s="13"/>
      <c r="U596" s="18" t="str">
        <f>HYPERLINK("https://pbs.twimg.com/profile_images/1172284340199415808/hMlmW3K1.jpg","View")</f>
        <v>View</v>
      </c>
      <c r="V596" s="13"/>
      <c r="W596" s="13"/>
      <c r="X596" s="13"/>
      <c r="Y596" s="13"/>
      <c r="Z596" s="13"/>
    </row>
    <row r="597">
      <c r="A597" s="8">
        <v>43848.64774305555</v>
      </c>
      <c r="B597" s="9" t="str">
        <f>HYPERLINK("https://twitter.com/InfjPerspective","@InfjPerspective")</f>
        <v>@InfjPerspective</v>
      </c>
      <c r="C597" s="10" t="s">
        <v>2776</v>
      </c>
      <c r="D597" s="10" t="s">
        <v>2777</v>
      </c>
      <c r="E597" s="9" t="str">
        <f>HYPERLINK("https://twitter.com/InfjPerspective/status/1218632338181173248","1218632338181173248")</f>
        <v>1218632338181173248</v>
      </c>
      <c r="F597" s="13"/>
      <c r="G597" s="13"/>
      <c r="H597" s="13"/>
      <c r="I597" s="14">
        <v>3.0</v>
      </c>
      <c r="J597" s="14">
        <v>15.0</v>
      </c>
      <c r="K597" s="9" t="str">
        <f>HYPERLINK("http://twitter.com/download/iphone","Twitter for iPhone")</f>
        <v>Twitter for iPhone</v>
      </c>
      <c r="L597" s="15">
        <v>213.0</v>
      </c>
      <c r="M597" s="15">
        <v>45.0</v>
      </c>
      <c r="N597" s="15">
        <v>1.0</v>
      </c>
      <c r="O597" s="16"/>
      <c r="P597" s="17">
        <v>43693.51787037037</v>
      </c>
      <c r="Q597" s="13"/>
      <c r="R597" s="10" t="s">
        <v>2778</v>
      </c>
      <c r="S597" s="13"/>
      <c r="T597" s="13"/>
      <c r="U597" s="18" t="str">
        <f>HYPERLINK("https://pbs.twimg.com/profile_images/1162403620127555586/MGtEDXQz.jpg","View")</f>
        <v>View</v>
      </c>
      <c r="V597" s="13"/>
      <c r="W597" s="13"/>
      <c r="X597" s="13"/>
      <c r="Y597" s="13"/>
      <c r="Z597" s="13"/>
    </row>
    <row r="598">
      <c r="A598" s="8">
        <v>43848.647685185184</v>
      </c>
      <c r="B598" s="9" t="str">
        <f>HYPERLINK("https://twitter.com/FaybeShort","@FaybeShort")</f>
        <v>@FaybeShort</v>
      </c>
      <c r="C598" s="10" t="s">
        <v>2779</v>
      </c>
      <c r="D598" s="10" t="s">
        <v>2780</v>
      </c>
      <c r="E598" s="9" t="str">
        <f>HYPERLINK("https://twitter.com/FaybeShort/status/1218632318803464193","1218632318803464193")</f>
        <v>1218632318803464193</v>
      </c>
      <c r="F598" s="11" t="s">
        <v>2781</v>
      </c>
      <c r="G598" s="13"/>
      <c r="H598" s="13"/>
      <c r="I598" s="14">
        <v>0.0</v>
      </c>
      <c r="J598" s="14">
        <v>0.0</v>
      </c>
      <c r="K598" s="9" t="str">
        <f>HYPERLINK("http://instagram.com","Instagram")</f>
        <v>Instagram</v>
      </c>
      <c r="L598" s="15">
        <v>576.0</v>
      </c>
      <c r="M598" s="15">
        <v>196.0</v>
      </c>
      <c r="N598" s="15">
        <v>7.0</v>
      </c>
      <c r="O598" s="16"/>
      <c r="P598" s="17">
        <v>41452.22840277778</v>
      </c>
      <c r="Q598" s="10" t="s">
        <v>2782</v>
      </c>
      <c r="R598" s="10" t="s">
        <v>2783</v>
      </c>
      <c r="S598" s="13"/>
      <c r="T598" s="13"/>
      <c r="U598" s="18" t="str">
        <f>HYPERLINK("https://pbs.twimg.com/profile_images/378800000052854019/973ec17791ad7d2fa9abf2aef4171651.jpeg","View")</f>
        <v>View</v>
      </c>
      <c r="V598" s="13"/>
      <c r="W598" s="13"/>
      <c r="X598" s="13"/>
      <c r="Y598" s="13"/>
      <c r="Z598" s="13"/>
    </row>
    <row r="599">
      <c r="A599" s="8">
        <v>43848.64766203704</v>
      </c>
      <c r="B599" s="9" t="str">
        <f>HYPERLINK("https://twitter.com/kaushiksridhar","@kaushiksridhar")</f>
        <v>@kaushiksridhar</v>
      </c>
      <c r="C599" s="10" t="s">
        <v>2784</v>
      </c>
      <c r="D599" s="10" t="s">
        <v>2785</v>
      </c>
      <c r="E599" s="9" t="str">
        <f>HYPERLINK("https://twitter.com/kaushiksridhar/status/1218632308791504896","1218632308791504896")</f>
        <v>1218632308791504896</v>
      </c>
      <c r="F599" s="11" t="s">
        <v>2786</v>
      </c>
      <c r="G599" s="13"/>
      <c r="H599" s="13"/>
      <c r="I599" s="14">
        <v>0.0</v>
      </c>
      <c r="J599" s="14">
        <v>0.0</v>
      </c>
      <c r="K599" s="9" t="str">
        <f>HYPERLINK("https://mobile.twitter.com","Twitter Web App")</f>
        <v>Twitter Web App</v>
      </c>
      <c r="L599" s="15">
        <v>1288.0</v>
      </c>
      <c r="M599" s="15">
        <v>6.0</v>
      </c>
      <c r="N599" s="15">
        <v>18.0</v>
      </c>
      <c r="O599" s="16"/>
      <c r="P599" s="17">
        <v>41073.948125</v>
      </c>
      <c r="Q599" s="10" t="s">
        <v>614</v>
      </c>
      <c r="R599" s="10" t="s">
        <v>2787</v>
      </c>
      <c r="S599" s="11" t="s">
        <v>2788</v>
      </c>
      <c r="T599" s="13"/>
      <c r="U599" s="18" t="str">
        <f>HYPERLINK("https://pbs.twimg.com/profile_images/1180254140032663552/hwz82jBx.jpg","View")</f>
        <v>View</v>
      </c>
      <c r="V599" s="13"/>
      <c r="W599" s="13"/>
      <c r="X599" s="13"/>
      <c r="Y599" s="13"/>
      <c r="Z599" s="13"/>
    </row>
    <row r="600">
      <c r="A600" s="8">
        <v>43848.64716435185</v>
      </c>
      <c r="B600" s="9" t="str">
        <f>HYPERLINK("https://twitter.com/Nuclearpirate","@Nuclearpirate")</f>
        <v>@Nuclearpirate</v>
      </c>
      <c r="C600" s="10" t="s">
        <v>2789</v>
      </c>
      <c r="D600" s="10" t="s">
        <v>2790</v>
      </c>
      <c r="E600" s="9" t="str">
        <f>HYPERLINK("https://twitter.com/Nuclearpirate/status/1218632129954942980","1218632129954942980")</f>
        <v>1218632129954942980</v>
      </c>
      <c r="F600" s="13"/>
      <c r="G600" s="13"/>
      <c r="H600" s="13"/>
      <c r="I600" s="14">
        <v>0.0</v>
      </c>
      <c r="J600" s="14">
        <v>0.0</v>
      </c>
      <c r="K600" s="9" t="str">
        <f>HYPERLINK("http://twitter.com/download/iphone","Twitter for iPhone")</f>
        <v>Twitter for iPhone</v>
      </c>
      <c r="L600" s="15">
        <v>185.0</v>
      </c>
      <c r="M600" s="15">
        <v>1409.0</v>
      </c>
      <c r="N600" s="15">
        <v>3.0</v>
      </c>
      <c r="O600" s="16"/>
      <c r="P600" s="17">
        <v>40440.82409722223</v>
      </c>
      <c r="Q600" s="10" t="s">
        <v>2791</v>
      </c>
      <c r="R600" s="10" t="s">
        <v>2792</v>
      </c>
      <c r="S600" s="13"/>
      <c r="T600" s="13"/>
      <c r="U600" s="18" t="str">
        <f>HYPERLINK("https://pbs.twimg.com/profile_images/1176809385806446592/buxaoZq8.jpg","View")</f>
        <v>View</v>
      </c>
      <c r="V600" s="13"/>
      <c r="W600" s="13"/>
      <c r="X600" s="13"/>
      <c r="Y600" s="13"/>
      <c r="Z600" s="13"/>
    </row>
    <row r="601">
      <c r="A601" s="8">
        <v>43848.64706018519</v>
      </c>
      <c r="B601" s="9" t="str">
        <f>HYPERLINK("https://twitter.com/TheroOrg","@TheroOrg")</f>
        <v>@TheroOrg</v>
      </c>
      <c r="C601" s="10" t="s">
        <v>2793</v>
      </c>
      <c r="D601" s="10" t="s">
        <v>2794</v>
      </c>
      <c r="E601" s="9" t="str">
        <f>HYPERLINK("https://twitter.com/TheroOrg/status/1218632091409121280","1218632091409121280")</f>
        <v>1218632091409121280</v>
      </c>
      <c r="F601" s="11" t="s">
        <v>2795</v>
      </c>
      <c r="G601" s="13"/>
      <c r="H601" s="13"/>
      <c r="I601" s="14">
        <v>0.0</v>
      </c>
      <c r="J601" s="14">
        <v>0.0</v>
      </c>
      <c r="K601" s="9" t="str">
        <f>HYPERLINK("http://twitter.com","Twitter Web Client")</f>
        <v>Twitter Web Client</v>
      </c>
      <c r="L601" s="15">
        <v>122.0</v>
      </c>
      <c r="M601" s="15">
        <v>203.0</v>
      </c>
      <c r="N601" s="15">
        <v>14.0</v>
      </c>
      <c r="O601" s="16"/>
      <c r="P601" s="17">
        <v>41674.61986111111</v>
      </c>
      <c r="Q601" s="10" t="s">
        <v>2796</v>
      </c>
      <c r="R601" s="10" t="s">
        <v>2797</v>
      </c>
      <c r="S601" s="11" t="s">
        <v>2798</v>
      </c>
      <c r="T601" s="13"/>
      <c r="U601" s="18" t="str">
        <f>HYPERLINK("https://pbs.twimg.com/profile_images/617949933522386944/L42HenO-.jpg","View")</f>
        <v>View</v>
      </c>
      <c r="V601" s="13"/>
      <c r="W601" s="13"/>
      <c r="X601" s="13"/>
      <c r="Y601" s="13"/>
      <c r="Z601" s="13"/>
    </row>
    <row r="602">
      <c r="A602" s="8">
        <v>43848.6466087963</v>
      </c>
      <c r="B602" s="9" t="str">
        <f>HYPERLINK("https://twitter.com/MindflowCBT","@MindflowCBT")</f>
        <v>@MindflowCBT</v>
      </c>
      <c r="C602" s="10" t="s">
        <v>2799</v>
      </c>
      <c r="D602" s="10" t="s">
        <v>2800</v>
      </c>
      <c r="E602" s="9" t="str">
        <f>HYPERLINK("https://twitter.com/MindflowCBT/status/1218631927625846792","1218631927625846792")</f>
        <v>1218631927625846792</v>
      </c>
      <c r="F602" s="13"/>
      <c r="G602" s="13"/>
      <c r="H602" s="13"/>
      <c r="I602" s="14">
        <v>0.0</v>
      </c>
      <c r="J602" s="14">
        <v>0.0</v>
      </c>
      <c r="K602" s="9" t="str">
        <f t="shared" ref="K602:K603" si="72">HYPERLINK("https://mobile.twitter.com","Twitter Web App")</f>
        <v>Twitter Web App</v>
      </c>
      <c r="L602" s="15">
        <v>16.0</v>
      </c>
      <c r="M602" s="15">
        <v>48.0</v>
      </c>
      <c r="N602" s="15">
        <v>0.0</v>
      </c>
      <c r="O602" s="16"/>
      <c r="P602" s="17">
        <v>43725.39024305556</v>
      </c>
      <c r="Q602" s="13"/>
      <c r="R602" s="10" t="s">
        <v>2801</v>
      </c>
      <c r="S602" s="11" t="s">
        <v>2802</v>
      </c>
      <c r="T602" s="13"/>
      <c r="U602" s="18" t="str">
        <f>HYPERLINK("https://pbs.twimg.com/profile_images/1173955598788026368/gygl9w31.jpg","View")</f>
        <v>View</v>
      </c>
      <c r="V602" s="13"/>
      <c r="W602" s="13"/>
      <c r="X602" s="13"/>
      <c r="Y602" s="13"/>
      <c r="Z602" s="13"/>
    </row>
    <row r="603">
      <c r="A603" s="8">
        <v>43848.646365740744</v>
      </c>
      <c r="B603" s="9" t="str">
        <f>HYPERLINK("https://twitter.com/LadyElenaUK","@LadyElenaUK")</f>
        <v>@LadyElenaUK</v>
      </c>
      <c r="C603" s="10" t="s">
        <v>2803</v>
      </c>
      <c r="D603" s="10" t="s">
        <v>2804</v>
      </c>
      <c r="E603" s="9" t="str">
        <f>HYPERLINK("https://twitter.com/LadyElenaUK/status/1218631839130234881","1218631839130234881")</f>
        <v>1218631839130234881</v>
      </c>
      <c r="F603" s="13"/>
      <c r="G603" s="13"/>
      <c r="H603" s="13"/>
      <c r="I603" s="14">
        <v>0.0</v>
      </c>
      <c r="J603" s="14">
        <v>1.0</v>
      </c>
      <c r="K603" s="9" t="str">
        <f t="shared" si="72"/>
        <v>Twitter Web App</v>
      </c>
      <c r="L603" s="15">
        <v>4649.0</v>
      </c>
      <c r="M603" s="15">
        <v>3921.0</v>
      </c>
      <c r="N603" s="15">
        <v>230.0</v>
      </c>
      <c r="O603" s="16"/>
      <c r="P603" s="17">
        <v>40114.84646990741</v>
      </c>
      <c r="Q603" s="10" t="s">
        <v>2805</v>
      </c>
      <c r="R603" s="10" t="s">
        <v>2806</v>
      </c>
      <c r="S603" s="13"/>
      <c r="T603" s="13"/>
      <c r="U603" s="18" t="str">
        <f>HYPERLINK("https://pbs.twimg.com/profile_images/1211983267337035776/-f2Bv-PX.jpg","View")</f>
        <v>View</v>
      </c>
      <c r="V603" s="13"/>
      <c r="W603" s="13"/>
      <c r="X603" s="13"/>
      <c r="Y603" s="13"/>
      <c r="Z603" s="13"/>
    </row>
    <row r="604">
      <c r="A604" s="8">
        <v>43848.64612268518</v>
      </c>
      <c r="B604" s="9" t="str">
        <f>HYPERLINK("https://twitter.com/RachelintheOC","@RachelintheOC")</f>
        <v>@RachelintheOC</v>
      </c>
      <c r="C604" s="10" t="s">
        <v>518</v>
      </c>
      <c r="D604" s="10" t="s">
        <v>2807</v>
      </c>
      <c r="E604" s="9" t="str">
        <f>HYPERLINK("https://twitter.com/RachelintheOC/status/1218631754413748224","1218631754413748224")</f>
        <v>1218631754413748224</v>
      </c>
      <c r="F604" s="11" t="s">
        <v>2808</v>
      </c>
      <c r="G604" s="11" t="s">
        <v>2809</v>
      </c>
      <c r="H604" s="13"/>
      <c r="I604" s="14">
        <v>5.0</v>
      </c>
      <c r="J604" s="14">
        <v>2.0</v>
      </c>
      <c r="K604" s="9" t="str">
        <f>HYPERLINK("https://www.hootsuite.com","Hootsuite Inc.")</f>
        <v>Hootsuite Inc.</v>
      </c>
      <c r="L604" s="15">
        <v>112774.0</v>
      </c>
      <c r="M604" s="15">
        <v>24616.0</v>
      </c>
      <c r="N604" s="15">
        <v>3434.0</v>
      </c>
      <c r="O604" s="21" t="s">
        <v>522</v>
      </c>
      <c r="P604" s="17">
        <v>39881.65377314815</v>
      </c>
      <c r="Q604" s="10" t="s">
        <v>523</v>
      </c>
      <c r="R604" s="10" t="s">
        <v>524</v>
      </c>
      <c r="S604" s="11" t="s">
        <v>525</v>
      </c>
      <c r="T604" s="13"/>
      <c r="U604" s="18" t="str">
        <f>HYPERLINK("https://pbs.twimg.com/profile_images/1214299608098070529/wwDAyjH7.jpg","View")</f>
        <v>View</v>
      </c>
      <c r="V604" s="13"/>
      <c r="W604" s="13"/>
      <c r="X604" s="13"/>
      <c r="Y604" s="13"/>
      <c r="Z604" s="13"/>
    </row>
    <row r="605">
      <c r="A605" s="8">
        <v>43848.6459375</v>
      </c>
      <c r="B605" s="9" t="str">
        <f>HYPERLINK("https://twitter.com/OfficeMassageCo","@OfficeMassageCo")</f>
        <v>@OfficeMassageCo</v>
      </c>
      <c r="C605" s="10" t="s">
        <v>2810</v>
      </c>
      <c r="D605" s="10" t="s">
        <v>2811</v>
      </c>
      <c r="E605" s="9" t="str">
        <f>HYPERLINK("https://twitter.com/OfficeMassageCo/status/1218631686620975104","1218631686620975104")</f>
        <v>1218631686620975104</v>
      </c>
      <c r="F605" s="11" t="s">
        <v>2812</v>
      </c>
      <c r="G605" s="11" t="s">
        <v>2813</v>
      </c>
      <c r="H605" s="13"/>
      <c r="I605" s="14">
        <v>0.0</v>
      </c>
      <c r="J605" s="14">
        <v>0.0</v>
      </c>
      <c r="K605" s="9" t="str">
        <f>HYPERLINK("http://postplanner.com","Post Planner Inc.")</f>
        <v>Post Planner Inc.</v>
      </c>
      <c r="L605" s="15">
        <v>2639.0</v>
      </c>
      <c r="M605" s="15">
        <v>1842.0</v>
      </c>
      <c r="N605" s="15">
        <v>63.0</v>
      </c>
      <c r="O605" s="16"/>
      <c r="P605" s="17">
        <v>41655.43261574074</v>
      </c>
      <c r="Q605" s="10" t="s">
        <v>2814</v>
      </c>
      <c r="R605" s="10" t="s">
        <v>2815</v>
      </c>
      <c r="S605" s="11" t="s">
        <v>2816</v>
      </c>
      <c r="T605" s="13"/>
      <c r="U605" s="18" t="str">
        <f>HYPERLINK("https://pbs.twimg.com/profile_images/1135508036347465728/V4gqPndS.png","View")</f>
        <v>View</v>
      </c>
      <c r="V605" s="13"/>
      <c r="W605" s="13"/>
      <c r="X605" s="13"/>
      <c r="Y605" s="13"/>
      <c r="Z605" s="13"/>
    </row>
    <row r="606">
      <c r="A606" s="8">
        <v>43848.64587962963</v>
      </c>
      <c r="B606" s="9" t="str">
        <f>HYPERLINK("https://twitter.com/HealthyPlace","@HealthyPlace")</f>
        <v>@HealthyPlace</v>
      </c>
      <c r="C606" s="10" t="s">
        <v>1457</v>
      </c>
      <c r="D606" s="10" t="s">
        <v>2817</v>
      </c>
      <c r="E606" s="9" t="str">
        <f>HYPERLINK("https://twitter.com/HealthyPlace/status/1218631663904837633","1218631663904837633")</f>
        <v>1218631663904837633</v>
      </c>
      <c r="F606" s="11" t="s">
        <v>2818</v>
      </c>
      <c r="G606" s="11" t="s">
        <v>2819</v>
      </c>
      <c r="H606" s="13"/>
      <c r="I606" s="14">
        <v>0.0</v>
      </c>
      <c r="J606" s="14">
        <v>0.0</v>
      </c>
      <c r="K606" s="9" t="str">
        <f>HYPERLINK("https://sproutsocial.com","Sprout Social")</f>
        <v>Sprout Social</v>
      </c>
      <c r="L606" s="15">
        <v>64943.0</v>
      </c>
      <c r="M606" s="15">
        <v>25049.0</v>
      </c>
      <c r="N606" s="15">
        <v>1710.0</v>
      </c>
      <c r="O606" s="16"/>
      <c r="P606" s="17">
        <v>39681.03928240741</v>
      </c>
      <c r="Q606" s="10" t="s">
        <v>1460</v>
      </c>
      <c r="R606" s="10" t="s">
        <v>1461</v>
      </c>
      <c r="S606" s="11" t="s">
        <v>1462</v>
      </c>
      <c r="T606" s="13"/>
      <c r="U606" s="18" t="str">
        <f>HYPERLINK("https://pbs.twimg.com/profile_images/753613454083252225/i5pr2xny.jpg","View")</f>
        <v>View</v>
      </c>
      <c r="V606" s="13"/>
      <c r="W606" s="13"/>
      <c r="X606" s="13"/>
      <c r="Y606" s="13"/>
      <c r="Z606" s="13"/>
    </row>
    <row r="607">
      <c r="A607" s="8">
        <v>43848.64587962963</v>
      </c>
      <c r="B607" s="9" t="str">
        <f>HYPERLINK("https://twitter.com/rcosgrove","@rcosgrove")</f>
        <v>@rcosgrove</v>
      </c>
      <c r="C607" s="10" t="s">
        <v>2820</v>
      </c>
      <c r="D607" s="10" t="s">
        <v>2821</v>
      </c>
      <c r="E607" s="9" t="str">
        <f>HYPERLINK("https://twitter.com/rcosgrove/status/1218631663791542272","1218631663791542272")</f>
        <v>1218631663791542272</v>
      </c>
      <c r="F607" s="11" t="s">
        <v>2822</v>
      </c>
      <c r="G607" s="11" t="s">
        <v>2823</v>
      </c>
      <c r="H607" s="13"/>
      <c r="I607" s="14">
        <v>0.0</v>
      </c>
      <c r="J607" s="14">
        <v>0.0</v>
      </c>
      <c r="K607" s="9" t="str">
        <f>HYPERLINK("https://ifttt.com","IFTTT")</f>
        <v>IFTTT</v>
      </c>
      <c r="L607" s="15">
        <v>2712.0</v>
      </c>
      <c r="M607" s="15">
        <v>1269.0</v>
      </c>
      <c r="N607" s="15">
        <v>158.0</v>
      </c>
      <c r="O607" s="21" t="s">
        <v>522</v>
      </c>
      <c r="P607" s="17">
        <v>39638.771990740745</v>
      </c>
      <c r="Q607" s="10" t="s">
        <v>2805</v>
      </c>
      <c r="R607" s="10" t="s">
        <v>2824</v>
      </c>
      <c r="S607" s="11" t="s">
        <v>2825</v>
      </c>
      <c r="T607" s="13"/>
      <c r="U607" s="18" t="str">
        <f>HYPERLINK("https://pbs.twimg.com/profile_images/1197101054002913280/BYB5b0FW.jpg","View")</f>
        <v>View</v>
      </c>
      <c r="V607" s="13"/>
      <c r="W607" s="13"/>
      <c r="X607" s="13"/>
      <c r="Y607" s="13"/>
      <c r="Z607" s="13"/>
    </row>
    <row r="608">
      <c r="A608" s="8">
        <v>43848.64584490741</v>
      </c>
      <c r="B608" s="9" t="str">
        <f>HYPERLINK("https://twitter.com/ChristyHoneyc12","@ChristyHoneyc12")</f>
        <v>@ChristyHoneyc12</v>
      </c>
      <c r="C608" s="10" t="s">
        <v>2826</v>
      </c>
      <c r="D608" s="10" t="s">
        <v>2827</v>
      </c>
      <c r="E608" s="9" t="str">
        <f>HYPERLINK("https://twitter.com/ChristyHoneyc12/status/1218631651120623616","1218631651120623616")</f>
        <v>1218631651120623616</v>
      </c>
      <c r="F608" s="11" t="s">
        <v>2828</v>
      </c>
      <c r="G608" s="13"/>
      <c r="H608" s="13"/>
      <c r="I608" s="14">
        <v>0.0</v>
      </c>
      <c r="J608" s="14">
        <v>0.0</v>
      </c>
      <c r="K608" s="9" t="str">
        <f>HYPERLINK("http://www.linkedin.com/","LinkedIn")</f>
        <v>LinkedIn</v>
      </c>
      <c r="L608" s="15">
        <v>38.0</v>
      </c>
      <c r="M608" s="15">
        <v>190.0</v>
      </c>
      <c r="N608" s="15">
        <v>1.0</v>
      </c>
      <c r="O608" s="16"/>
      <c r="P608" s="17">
        <v>43721.4612962963</v>
      </c>
      <c r="Q608" s="10" t="s">
        <v>112</v>
      </c>
      <c r="R608" s="10" t="s">
        <v>2829</v>
      </c>
      <c r="S608" s="13"/>
      <c r="T608" s="13"/>
      <c r="U608" s="18" t="str">
        <f>HYPERLINK("https://pbs.twimg.com/profile_images/1172526589361491969/DE7giLJZ.png","View")</f>
        <v>View</v>
      </c>
      <c r="V608" s="13"/>
      <c r="W608" s="13"/>
      <c r="X608" s="13"/>
      <c r="Y608" s="13"/>
      <c r="Z608" s="13"/>
    </row>
    <row r="609">
      <c r="A609" s="8">
        <v>43848.64572916667</v>
      </c>
      <c r="B609" s="9" t="str">
        <f>HYPERLINK("https://twitter.com/cmhatruro","@cmhatruro")</f>
        <v>@cmhatruro</v>
      </c>
      <c r="C609" s="10" t="s">
        <v>2830</v>
      </c>
      <c r="D609" s="10" t="s">
        <v>2831</v>
      </c>
      <c r="E609" s="9" t="str">
        <f>HYPERLINK("https://twitter.com/cmhatruro/status/1218631611387973633","1218631611387973633")</f>
        <v>1218631611387973633</v>
      </c>
      <c r="F609" s="11" t="s">
        <v>2832</v>
      </c>
      <c r="G609" s="13"/>
      <c r="H609" s="13"/>
      <c r="I609" s="14">
        <v>0.0</v>
      </c>
      <c r="J609" s="14">
        <v>1.0</v>
      </c>
      <c r="K609" s="9" t="str">
        <f>HYPERLINK("https://mobile.twitter.com","Twitter Web App")</f>
        <v>Twitter Web App</v>
      </c>
      <c r="L609" s="15">
        <v>383.0</v>
      </c>
      <c r="M609" s="15">
        <v>196.0</v>
      </c>
      <c r="N609" s="15">
        <v>14.0</v>
      </c>
      <c r="O609" s="16"/>
      <c r="P609" s="17">
        <v>42149.41238425926</v>
      </c>
      <c r="Q609" s="10" t="s">
        <v>2833</v>
      </c>
      <c r="R609" s="10" t="s">
        <v>2834</v>
      </c>
      <c r="S609" s="11" t="s">
        <v>2835</v>
      </c>
      <c r="T609" s="13"/>
      <c r="U609" s="18" t="str">
        <f>HYPERLINK("https://pbs.twimg.com/profile_images/1150810234098790400/-TeEouy6.jpg","View")</f>
        <v>View</v>
      </c>
      <c r="V609" s="13"/>
      <c r="W609" s="13"/>
      <c r="X609" s="13"/>
      <c r="Y609" s="13"/>
      <c r="Z609" s="13"/>
    </row>
    <row r="610">
      <c r="A610" s="8">
        <v>43848.645520833335</v>
      </c>
      <c r="B610" s="9" t="str">
        <f>HYPERLINK("https://twitter.com/MyselfAgainst","@MyselfAgainst")</f>
        <v>@MyselfAgainst</v>
      </c>
      <c r="C610" s="10" t="s">
        <v>2836</v>
      </c>
      <c r="D610" s="10" t="s">
        <v>2837</v>
      </c>
      <c r="E610" s="9" t="str">
        <f>HYPERLINK("https://twitter.com/MyselfAgainst/status/1218631533315215363","1218631533315215363")</f>
        <v>1218631533315215363</v>
      </c>
      <c r="F610" s="13"/>
      <c r="G610" s="13"/>
      <c r="H610" s="13"/>
      <c r="I610" s="14">
        <v>0.0</v>
      </c>
      <c r="J610" s="14">
        <v>2.0</v>
      </c>
      <c r="K610" s="9" t="str">
        <f>HYPERLINK("http://twitter.com/download/iphone","Twitter for iPhone")</f>
        <v>Twitter for iPhone</v>
      </c>
      <c r="L610" s="15">
        <v>586.0</v>
      </c>
      <c r="M610" s="15">
        <v>158.0</v>
      </c>
      <c r="N610" s="15">
        <v>2.0</v>
      </c>
      <c r="O610" s="16"/>
      <c r="P610" s="17">
        <v>41928.67454861111</v>
      </c>
      <c r="Q610" s="10" t="s">
        <v>2838</v>
      </c>
      <c r="R610" s="10" t="s">
        <v>2839</v>
      </c>
      <c r="S610" s="13"/>
      <c r="T610" s="13"/>
      <c r="U610" s="18" t="str">
        <f>HYPERLINK("https://pbs.twimg.com/profile_images/1210987313137963013/EXUiToUA.jpg","View")</f>
        <v>View</v>
      </c>
      <c r="V610" s="13"/>
      <c r="W610" s="13"/>
      <c r="X610" s="13"/>
      <c r="Y610" s="13"/>
      <c r="Z610" s="13"/>
    </row>
    <row r="611">
      <c r="A611" s="8">
        <v>43848.64438657407</v>
      </c>
      <c r="B611" s="9" t="str">
        <f>HYPERLINK("https://twitter.com/Unruly_Brit","@Unruly_Brit")</f>
        <v>@Unruly_Brit</v>
      </c>
      <c r="C611" s="10" t="s">
        <v>2840</v>
      </c>
      <c r="D611" s="10" t="s">
        <v>2841</v>
      </c>
      <c r="E611" s="9" t="str">
        <f>HYPERLINK("https://twitter.com/Unruly_Brit/status/1218631124630622208","1218631124630622208")</f>
        <v>1218631124630622208</v>
      </c>
      <c r="F611" s="13"/>
      <c r="G611" s="13"/>
      <c r="H611" s="13"/>
      <c r="I611" s="14">
        <v>1.0</v>
      </c>
      <c r="J611" s="14">
        <v>4.0</v>
      </c>
      <c r="K611" s="9" t="str">
        <f>HYPERLINK("http://twitter.com/download/android","Twitter for Android")</f>
        <v>Twitter for Android</v>
      </c>
      <c r="L611" s="15">
        <v>11094.0</v>
      </c>
      <c r="M611" s="15">
        <v>11513.0</v>
      </c>
      <c r="N611" s="15">
        <v>9.0</v>
      </c>
      <c r="O611" s="16"/>
      <c r="P611" s="17">
        <v>43050.35896990741</v>
      </c>
      <c r="Q611" s="10" t="s">
        <v>2635</v>
      </c>
      <c r="R611" s="10" t="s">
        <v>2842</v>
      </c>
      <c r="S611" s="11" t="s">
        <v>2843</v>
      </c>
      <c r="T611" s="13"/>
      <c r="U611" s="18" t="str">
        <f>HYPERLINK("https://pbs.twimg.com/profile_images/1185139510511882240/yo2nru0h.jpg","View")</f>
        <v>View</v>
      </c>
      <c r="V611" s="13"/>
      <c r="W611" s="13"/>
      <c r="X611" s="13"/>
      <c r="Y611" s="13"/>
      <c r="Z611" s="13"/>
    </row>
    <row r="612">
      <c r="A612" s="8">
        <v>43848.64408564815</v>
      </c>
      <c r="B612" s="9" t="str">
        <f>HYPERLINK("https://twitter.com/Ella_Feelan","@Ella_Feelan")</f>
        <v>@Ella_Feelan</v>
      </c>
      <c r="C612" s="10" t="s">
        <v>2844</v>
      </c>
      <c r="D612" s="10" t="s">
        <v>2845</v>
      </c>
      <c r="E612" s="9" t="str">
        <f>HYPERLINK("https://twitter.com/Ella_Feelan/status/1218631013049491463","1218631013049491463")</f>
        <v>1218631013049491463</v>
      </c>
      <c r="F612" s="11" t="s">
        <v>2846</v>
      </c>
      <c r="G612" s="13"/>
      <c r="H612" s="13"/>
      <c r="I612" s="14">
        <v>0.0</v>
      </c>
      <c r="J612" s="14">
        <v>0.0</v>
      </c>
      <c r="K612" s="9" t="str">
        <f>HYPERLINK("https://mobile.twitter.com","Twitter Web App")</f>
        <v>Twitter Web App</v>
      </c>
      <c r="L612" s="15">
        <v>94.0</v>
      </c>
      <c r="M612" s="15">
        <v>162.0</v>
      </c>
      <c r="N612" s="15">
        <v>0.0</v>
      </c>
      <c r="O612" s="16"/>
      <c r="P612" s="17">
        <v>43709.42627314814</v>
      </c>
      <c r="Q612" s="10" t="s">
        <v>2323</v>
      </c>
      <c r="R612" s="10" t="s">
        <v>2847</v>
      </c>
      <c r="S612" s="13"/>
      <c r="T612" s="13"/>
      <c r="U612" s="18" t="str">
        <f>HYPERLINK("https://pbs.twimg.com/profile_images/1168168134362222594/GRcStyAZ.jpg","View")</f>
        <v>View</v>
      </c>
      <c r="V612" s="13"/>
      <c r="W612" s="13"/>
      <c r="X612" s="13"/>
      <c r="Y612" s="13"/>
      <c r="Z612" s="13"/>
    </row>
    <row r="613">
      <c r="A613" s="8">
        <v>43848.6440162037</v>
      </c>
      <c r="B613" s="9" t="str">
        <f>HYPERLINK("https://twitter.com/CEBowman3","@CEBowman3")</f>
        <v>@CEBowman3</v>
      </c>
      <c r="C613" s="10" t="s">
        <v>2848</v>
      </c>
      <c r="D613" s="10" t="s">
        <v>2849</v>
      </c>
      <c r="E613" s="9" t="str">
        <f>HYPERLINK("https://twitter.com/CEBowman3/status/1218630991000100864","1218630991000100864")</f>
        <v>1218630991000100864</v>
      </c>
      <c r="F613" s="13"/>
      <c r="G613" s="13"/>
      <c r="H613" s="13"/>
      <c r="I613" s="14">
        <v>0.0</v>
      </c>
      <c r="J613" s="14">
        <v>0.0</v>
      </c>
      <c r="K613" s="9" t="str">
        <f>HYPERLINK("http://twitter.com/download/iphone","Twitter for iPhone")</f>
        <v>Twitter for iPhone</v>
      </c>
      <c r="L613" s="15">
        <v>929.0</v>
      </c>
      <c r="M613" s="15">
        <v>147.0</v>
      </c>
      <c r="N613" s="15">
        <v>3.0</v>
      </c>
      <c r="O613" s="16"/>
      <c r="P613" s="17">
        <v>40359.93591435185</v>
      </c>
      <c r="Q613" s="10" t="s">
        <v>2850</v>
      </c>
      <c r="R613" s="10" t="s">
        <v>2851</v>
      </c>
      <c r="S613" s="11" t="s">
        <v>2852</v>
      </c>
      <c r="T613" s="13"/>
      <c r="U613" s="18" t="str">
        <f>HYPERLINK("https://pbs.twimg.com/profile_images/1105969696493486081/9pPM4pYR.jpg","View")</f>
        <v>View</v>
      </c>
      <c r="V613" s="13"/>
      <c r="W613" s="13"/>
      <c r="X613" s="13"/>
      <c r="Y613" s="13"/>
      <c r="Z613" s="13"/>
    </row>
    <row r="614">
      <c r="A614" s="8">
        <v>43848.64376157407</v>
      </c>
      <c r="B614" s="9" t="str">
        <f>HYPERLINK("https://twitter.com/SkypeTherapist","@SkypeTherapist")</f>
        <v>@SkypeTherapist</v>
      </c>
      <c r="C614" s="10" t="s">
        <v>39</v>
      </c>
      <c r="D614" s="10" t="s">
        <v>2853</v>
      </c>
      <c r="E614" s="9" t="str">
        <f>HYPERLINK("https://twitter.com/SkypeTherapist/status/1218630895692845057","1218630895692845057")</f>
        <v>1218630895692845057</v>
      </c>
      <c r="F614" s="11" t="s">
        <v>43</v>
      </c>
      <c r="G614" s="13"/>
      <c r="H614" s="13"/>
      <c r="I614" s="14">
        <v>0.0</v>
      </c>
      <c r="J614" s="14">
        <v>0.0</v>
      </c>
      <c r="K614" s="9" t="str">
        <f>HYPERLINK("https://buffer.com","Buffer")</f>
        <v>Buffer</v>
      </c>
      <c r="L614" s="15">
        <v>31074.0</v>
      </c>
      <c r="M614" s="15">
        <v>29180.0</v>
      </c>
      <c r="N614" s="15">
        <v>397.0</v>
      </c>
      <c r="O614" s="16"/>
      <c r="P614" s="17">
        <v>40131.457777777774</v>
      </c>
      <c r="Q614" s="10" t="s">
        <v>46</v>
      </c>
      <c r="R614" s="10" t="s">
        <v>47</v>
      </c>
      <c r="S614" s="11" t="s">
        <v>43</v>
      </c>
      <c r="T614" s="13"/>
      <c r="U614" s="18" t="str">
        <f>HYPERLINK("https://pbs.twimg.com/profile_images/1093911234120798208/G4lphODU.jpg","View")</f>
        <v>View</v>
      </c>
      <c r="V614" s="13"/>
      <c r="W614" s="13"/>
      <c r="X614" s="13"/>
      <c r="Y614" s="13"/>
      <c r="Z614" s="13"/>
    </row>
    <row r="615">
      <c r="A615" s="8">
        <v>43848.64351851852</v>
      </c>
      <c r="B615" s="9" t="str">
        <f>HYPERLINK("https://twitter.com/TheJayLamar","@TheJayLamar")</f>
        <v>@TheJayLamar</v>
      </c>
      <c r="C615" s="10" t="s">
        <v>2854</v>
      </c>
      <c r="D615" s="10" t="s">
        <v>2855</v>
      </c>
      <c r="E615" s="9" t="str">
        <f>HYPERLINK("https://twitter.com/TheJayLamar/status/1218630809323757570","1218630809323757570")</f>
        <v>1218630809323757570</v>
      </c>
      <c r="F615" s="11" t="s">
        <v>2856</v>
      </c>
      <c r="G615" s="13"/>
      <c r="H615" s="13"/>
      <c r="I615" s="14">
        <v>0.0</v>
      </c>
      <c r="J615" s="14">
        <v>0.0</v>
      </c>
      <c r="K615" s="9" t="str">
        <f>HYPERLINK("http://twitter.com","Twitter Web Client")</f>
        <v>Twitter Web Client</v>
      </c>
      <c r="L615" s="15">
        <v>1430.0</v>
      </c>
      <c r="M615" s="15">
        <v>2643.0</v>
      </c>
      <c r="N615" s="15">
        <v>63.0</v>
      </c>
      <c r="O615" s="16"/>
      <c r="P615" s="17">
        <v>40339.69991898148</v>
      </c>
      <c r="Q615" s="10" t="s">
        <v>2857</v>
      </c>
      <c r="R615" s="10" t="s">
        <v>2858</v>
      </c>
      <c r="S615" s="11" t="s">
        <v>2859</v>
      </c>
      <c r="T615" s="13"/>
      <c r="U615" s="18" t="str">
        <f>HYPERLINK("https://pbs.twimg.com/profile_images/1217319064160415744/eWaKVDSJ.jpg","View")</f>
        <v>View</v>
      </c>
      <c r="V615" s="13"/>
      <c r="W615" s="13"/>
      <c r="X615" s="13"/>
      <c r="Y615" s="13"/>
      <c r="Z615" s="13"/>
    </row>
    <row r="616">
      <c r="A616" s="8">
        <v>43848.643159722225</v>
      </c>
      <c r="B616" s="9" t="str">
        <f>HYPERLINK("https://twitter.com/TheDevinaKaur","@TheDevinaKaur")</f>
        <v>@TheDevinaKaur</v>
      </c>
      <c r="C616" s="10" t="s">
        <v>295</v>
      </c>
      <c r="D616" s="10" t="s">
        <v>1483</v>
      </c>
      <c r="E616" s="9" t="str">
        <f>HYPERLINK("https://twitter.com/TheDevinaKaur/status/1218630678981595136","1218630678981595136")</f>
        <v>1218630678981595136</v>
      </c>
      <c r="F616" s="11" t="s">
        <v>1484</v>
      </c>
      <c r="G616" s="11" t="s">
        <v>2860</v>
      </c>
      <c r="H616" s="13"/>
      <c r="I616" s="14">
        <v>2.0</v>
      </c>
      <c r="J616" s="14">
        <v>0.0</v>
      </c>
      <c r="K616" s="9" t="str">
        <f>HYPERLINK("https://postfity.com","Postfity.com")</f>
        <v>Postfity.com</v>
      </c>
      <c r="L616" s="15">
        <v>7406.0</v>
      </c>
      <c r="M616" s="15">
        <v>3869.0</v>
      </c>
      <c r="N616" s="15">
        <v>36.0</v>
      </c>
      <c r="O616" s="16"/>
      <c r="P616" s="17">
        <v>42815.69490740741</v>
      </c>
      <c r="Q616" s="10" t="s">
        <v>177</v>
      </c>
      <c r="R616" s="10" t="s">
        <v>299</v>
      </c>
      <c r="S616" s="11" t="s">
        <v>297</v>
      </c>
      <c r="T616" s="13"/>
      <c r="U616" s="18" t="str">
        <f>HYPERLINK("https://pbs.twimg.com/profile_images/1147663141389656064/dg9XFyFN.jpg","View")</f>
        <v>View</v>
      </c>
      <c r="V616" s="13"/>
      <c r="W616" s="13"/>
      <c r="X616" s="13"/>
      <c r="Y616" s="13"/>
      <c r="Z616" s="13"/>
    </row>
    <row r="617">
      <c r="A617" s="8">
        <v>43848.64309027778</v>
      </c>
      <c r="B617" s="9" t="str">
        <f>HYPERLINK("https://twitter.com/Jus2InspireU","@Jus2InspireU")</f>
        <v>@Jus2InspireU</v>
      </c>
      <c r="C617" s="10" t="s">
        <v>2861</v>
      </c>
      <c r="D617" s="10" t="s">
        <v>2862</v>
      </c>
      <c r="E617" s="9" t="str">
        <f>HYPERLINK("https://twitter.com/Jus2InspireU/status/1218630654369333248","1218630654369333248")</f>
        <v>1218630654369333248</v>
      </c>
      <c r="F617" s="13"/>
      <c r="G617" s="11" t="s">
        <v>2863</v>
      </c>
      <c r="H617" s="13"/>
      <c r="I617" s="14">
        <v>0.0</v>
      </c>
      <c r="J617" s="14">
        <v>1.0</v>
      </c>
      <c r="K617" s="9" t="str">
        <f>HYPERLINK("https://crowdfireapp.com","Crowdfire App")</f>
        <v>Crowdfire App</v>
      </c>
      <c r="L617" s="15">
        <v>1020.0</v>
      </c>
      <c r="M617" s="15">
        <v>633.0</v>
      </c>
      <c r="N617" s="15">
        <v>8.0</v>
      </c>
      <c r="O617" s="16"/>
      <c r="P617" s="17">
        <v>42590.832083333335</v>
      </c>
      <c r="Q617" s="10" t="s">
        <v>24</v>
      </c>
      <c r="R617" s="10" t="s">
        <v>2864</v>
      </c>
      <c r="S617" s="11" t="s">
        <v>2865</v>
      </c>
      <c r="T617" s="13"/>
      <c r="U617" s="18" t="str">
        <f>HYPERLINK("https://pbs.twimg.com/profile_images/1046863664760987648/w4AKsnhl.jpg","View")</f>
        <v>View</v>
      </c>
      <c r="V617" s="13"/>
      <c r="W617" s="13"/>
      <c r="X617" s="13"/>
      <c r="Y617" s="13"/>
      <c r="Z617" s="13"/>
    </row>
    <row r="618">
      <c r="A618" s="8">
        <v>43848.6430787037</v>
      </c>
      <c r="B618" s="9" t="str">
        <f>HYPERLINK("https://twitter.com/braintraining11","@braintraining11")</f>
        <v>@braintraining11</v>
      </c>
      <c r="C618" s="10" t="s">
        <v>2866</v>
      </c>
      <c r="D618" s="10" t="s">
        <v>2867</v>
      </c>
      <c r="E618" s="9" t="str">
        <f>HYPERLINK("https://twitter.com/braintraining11/status/1218630651336937484","1218630651336937484")</f>
        <v>1218630651336937484</v>
      </c>
      <c r="F618" s="11" t="s">
        <v>2868</v>
      </c>
      <c r="G618" s="13"/>
      <c r="H618" s="13"/>
      <c r="I618" s="14">
        <v>0.0</v>
      </c>
      <c r="J618" s="14">
        <v>0.0</v>
      </c>
      <c r="K618" s="9" t="str">
        <f>HYPERLINK("http://twitter.com","Twitter Web Client")</f>
        <v>Twitter Web Client</v>
      </c>
      <c r="L618" s="15">
        <v>1376.0</v>
      </c>
      <c r="M618" s="15">
        <v>961.0</v>
      </c>
      <c r="N618" s="15">
        <v>115.0</v>
      </c>
      <c r="O618" s="16"/>
      <c r="P618" s="17">
        <v>42684.626064814816</v>
      </c>
      <c r="Q618" s="10" t="s">
        <v>2869</v>
      </c>
      <c r="R618" s="10" t="s">
        <v>2870</v>
      </c>
      <c r="S618" s="11" t="s">
        <v>2871</v>
      </c>
      <c r="T618" s="13"/>
      <c r="U618" s="18" t="str">
        <f>HYPERLINK("https://pbs.twimg.com/profile_images/1168042567725805569/7U07J_iD.jpg","View")</f>
        <v>View</v>
      </c>
      <c r="V618" s="13"/>
      <c r="W618" s="13"/>
      <c r="X618" s="13"/>
      <c r="Y618" s="13"/>
      <c r="Z618" s="13"/>
    </row>
    <row r="619">
      <c r="A619" s="8">
        <v>43848.6424537037</v>
      </c>
      <c r="B619" s="9" t="str">
        <f>HYPERLINK("https://twitter.com/amber_foster18","@amber_foster18")</f>
        <v>@amber_foster18</v>
      </c>
      <c r="C619" s="10" t="s">
        <v>2872</v>
      </c>
      <c r="D619" s="10" t="s">
        <v>2873</v>
      </c>
      <c r="E619" s="9" t="str">
        <f>HYPERLINK("https://twitter.com/amber_foster18/status/1218630423623938049","1218630423623938049")</f>
        <v>1218630423623938049</v>
      </c>
      <c r="F619" s="13"/>
      <c r="G619" s="13"/>
      <c r="H619" s="13"/>
      <c r="I619" s="14">
        <v>0.0</v>
      </c>
      <c r="J619" s="14">
        <v>4.0</v>
      </c>
      <c r="K619" s="9" t="str">
        <f>HYPERLINK("http://twitter.com/download/iphone","Twitter for iPhone")</f>
        <v>Twitter for iPhone</v>
      </c>
      <c r="L619" s="15">
        <v>451.0</v>
      </c>
      <c r="M619" s="15">
        <v>682.0</v>
      </c>
      <c r="N619" s="15">
        <v>8.0</v>
      </c>
      <c r="O619" s="16"/>
      <c r="P619" s="17">
        <v>40070.58658564815</v>
      </c>
      <c r="Q619" s="10" t="s">
        <v>2874</v>
      </c>
      <c r="R619" s="10" t="s">
        <v>2875</v>
      </c>
      <c r="S619" s="11" t="s">
        <v>2876</v>
      </c>
      <c r="T619" s="13"/>
      <c r="U619" s="18" t="str">
        <f>HYPERLINK("https://pbs.twimg.com/profile_images/1214292343286882304/bmwy5lBV.jpg","View")</f>
        <v>View</v>
      </c>
      <c r="V619" s="13"/>
      <c r="W619" s="13"/>
      <c r="X619" s="13"/>
      <c r="Y619" s="13"/>
      <c r="Z619" s="13"/>
    </row>
    <row r="620">
      <c r="A620" s="8">
        <v>43848.642175925925</v>
      </c>
      <c r="B620" s="9" t="str">
        <f>HYPERLINK("https://twitter.com/flannelrainbows","@flannelrainbows")</f>
        <v>@flannelrainbows</v>
      </c>
      <c r="C620" s="10" t="s">
        <v>1334</v>
      </c>
      <c r="D620" s="10" t="s">
        <v>2877</v>
      </c>
      <c r="E620" s="9" t="str">
        <f>HYPERLINK("https://twitter.com/flannelrainbows/status/1218630320301408256","1218630320301408256")</f>
        <v>1218630320301408256</v>
      </c>
      <c r="F620" s="13"/>
      <c r="G620" s="13"/>
      <c r="H620" s="13"/>
      <c r="I620" s="14">
        <v>8.0</v>
      </c>
      <c r="J620" s="14">
        <v>33.0</v>
      </c>
      <c r="K620" s="9" t="str">
        <f>HYPERLINK("http://twitter.com/download/android","Twitter for Android")</f>
        <v>Twitter for Android</v>
      </c>
      <c r="L620" s="15">
        <v>7554.0</v>
      </c>
      <c r="M620" s="15">
        <v>6890.0</v>
      </c>
      <c r="N620" s="15">
        <v>7.0</v>
      </c>
      <c r="O620" s="16"/>
      <c r="P620" s="17">
        <v>43485.49912037037</v>
      </c>
      <c r="Q620" s="10" t="s">
        <v>1336</v>
      </c>
      <c r="R620" s="10" t="s">
        <v>1337</v>
      </c>
      <c r="S620" s="13"/>
      <c r="T620" s="13"/>
      <c r="U620" s="18" t="str">
        <f>HYPERLINK("https://pbs.twimg.com/profile_images/1216161835071574017/JD66ww9Y.jpg","View")</f>
        <v>View</v>
      </c>
      <c r="V620" s="13"/>
      <c r="W620" s="13"/>
      <c r="X620" s="13"/>
      <c r="Y620" s="13"/>
      <c r="Z620" s="13"/>
    </row>
    <row r="621">
      <c r="A621" s="8">
        <v>43848.64199074074</v>
      </c>
      <c r="B621" s="9" t="str">
        <f>HYPERLINK("https://twitter.com/neema_sings","@neema_sings")</f>
        <v>@neema_sings</v>
      </c>
      <c r="C621" s="10" t="s">
        <v>2878</v>
      </c>
      <c r="D621" s="10" t="s">
        <v>2879</v>
      </c>
      <c r="E621" s="9" t="str">
        <f>HYPERLINK("https://twitter.com/neema_sings/status/1218630256564637696","1218630256564637696")</f>
        <v>1218630256564637696</v>
      </c>
      <c r="F621" s="11" t="s">
        <v>2880</v>
      </c>
      <c r="G621" s="13"/>
      <c r="H621" s="13"/>
      <c r="I621" s="14">
        <v>0.0</v>
      </c>
      <c r="J621" s="14">
        <v>1.0</v>
      </c>
      <c r="K621" s="9" t="str">
        <f>HYPERLINK("http://instagram.com","Instagram")</f>
        <v>Instagram</v>
      </c>
      <c r="L621" s="15">
        <v>21.0</v>
      </c>
      <c r="M621" s="15">
        <v>45.0</v>
      </c>
      <c r="N621" s="15">
        <v>2.0</v>
      </c>
      <c r="O621" s="16"/>
      <c r="P621" s="17">
        <v>42261.86586805555</v>
      </c>
      <c r="Q621" s="10" t="s">
        <v>2881</v>
      </c>
      <c r="R621" s="10" t="s">
        <v>2882</v>
      </c>
      <c r="S621" s="11" t="s">
        <v>2883</v>
      </c>
      <c r="T621" s="13"/>
      <c r="U621" s="18" t="str">
        <f>HYPERLINK("https://pbs.twimg.com/profile_images/812046600855900160/drw5AXV5.jpg","View")</f>
        <v>View</v>
      </c>
      <c r="V621" s="13"/>
      <c r="W621" s="13"/>
      <c r="X621" s="13"/>
      <c r="Y621" s="13"/>
      <c r="Z621" s="13"/>
    </row>
    <row r="622">
      <c r="A622" s="8">
        <v>43848.641643518524</v>
      </c>
      <c r="B622" s="9" t="str">
        <f>HYPERLINK("https://twitter.com/TutorinTinslTwn","@TutorinTinslTwn")</f>
        <v>@TutorinTinslTwn</v>
      </c>
      <c r="C622" s="10" t="s">
        <v>2884</v>
      </c>
      <c r="D622" s="10" t="s">
        <v>2885</v>
      </c>
      <c r="E622" s="9" t="str">
        <f>HYPERLINK("https://twitter.com/TutorinTinslTwn/status/1218630127527043073","1218630127527043073")</f>
        <v>1218630127527043073</v>
      </c>
      <c r="F622" s="11" t="s">
        <v>2886</v>
      </c>
      <c r="G622" s="13"/>
      <c r="H622" s="13"/>
      <c r="I622" s="14">
        <v>0.0</v>
      </c>
      <c r="J622" s="14">
        <v>0.0</v>
      </c>
      <c r="K622" s="9" t="str">
        <f>HYPERLINK("http://www.ajaymatharu.com/","Tweet Old Post")</f>
        <v>Tweet Old Post</v>
      </c>
      <c r="L622" s="15">
        <v>126.0</v>
      </c>
      <c r="M622" s="15">
        <v>192.0</v>
      </c>
      <c r="N622" s="15">
        <v>2.0</v>
      </c>
      <c r="O622" s="16"/>
      <c r="P622" s="17">
        <v>43080.98730324074</v>
      </c>
      <c r="Q622" s="10" t="s">
        <v>382</v>
      </c>
      <c r="R622" s="10" t="s">
        <v>2887</v>
      </c>
      <c r="S622" s="11" t="s">
        <v>2888</v>
      </c>
      <c r="T622" s="13"/>
      <c r="U622" s="18" t="str">
        <f>HYPERLINK("https://pbs.twimg.com/profile_images/1181929102674145282/tiFD6Syu.jpg","View")</f>
        <v>View</v>
      </c>
      <c r="V622" s="13"/>
      <c r="W622" s="13"/>
      <c r="X622" s="13"/>
      <c r="Y622" s="13"/>
      <c r="Z622" s="13"/>
    </row>
    <row r="623">
      <c r="A623" s="8">
        <v>43848.64104166666</v>
      </c>
      <c r="B623" s="9" t="str">
        <f>HYPERLINK("https://twitter.com/vixxy_rose","@vixxy_rose")</f>
        <v>@vixxy_rose</v>
      </c>
      <c r="C623" s="10" t="s">
        <v>2889</v>
      </c>
      <c r="D623" s="10" t="s">
        <v>2890</v>
      </c>
      <c r="E623" s="9" t="str">
        <f>HYPERLINK("https://twitter.com/vixxy_rose/status/1218629912925560841","1218629912925560841")</f>
        <v>1218629912925560841</v>
      </c>
      <c r="F623" s="13"/>
      <c r="G623" s="11" t="s">
        <v>2891</v>
      </c>
      <c r="H623" s="13"/>
      <c r="I623" s="14">
        <v>1.0</v>
      </c>
      <c r="J623" s="14">
        <v>8.0</v>
      </c>
      <c r="K623" s="9" t="str">
        <f>HYPERLINK("http://twitter.com/download/iphone","Twitter for iPhone")</f>
        <v>Twitter for iPhone</v>
      </c>
      <c r="L623" s="15">
        <v>2723.0</v>
      </c>
      <c r="M623" s="15">
        <v>865.0</v>
      </c>
      <c r="N623" s="15">
        <v>0.0</v>
      </c>
      <c r="O623" s="16"/>
      <c r="P623" s="17">
        <v>42826.84583333333</v>
      </c>
      <c r="Q623" s="13"/>
      <c r="R623" s="10" t="s">
        <v>2892</v>
      </c>
      <c r="S623" s="11" t="s">
        <v>2893</v>
      </c>
      <c r="T623" s="13"/>
      <c r="U623" s="18" t="str">
        <f>HYPERLINK("https://pbs.twimg.com/profile_images/1145793970615853060/vB8TC_uM.jpg","View")</f>
        <v>View</v>
      </c>
      <c r="V623" s="13"/>
      <c r="W623" s="13"/>
      <c r="X623" s="13"/>
      <c r="Y623" s="13"/>
      <c r="Z623" s="13"/>
    </row>
    <row r="624">
      <c r="A624" s="8">
        <v>43848.6409837963</v>
      </c>
      <c r="B624" s="9" t="str">
        <f>HYPERLINK("https://twitter.com/U2U86227558","@U2U86227558")</f>
        <v>@U2U86227558</v>
      </c>
      <c r="C624" s="10" t="s">
        <v>2894</v>
      </c>
      <c r="D624" s="10" t="s">
        <v>2895</v>
      </c>
      <c r="E624" s="9" t="str">
        <f>HYPERLINK("https://twitter.com/U2U86227558/status/1218629891815563264","1218629891815563264")</f>
        <v>1218629891815563264</v>
      </c>
      <c r="F624" s="11" t="s">
        <v>2896</v>
      </c>
      <c r="G624" s="11" t="s">
        <v>2897</v>
      </c>
      <c r="H624" s="13"/>
      <c r="I624" s="14">
        <v>0.0</v>
      </c>
      <c r="J624" s="14">
        <v>0.0</v>
      </c>
      <c r="K624" s="9" t="str">
        <f>HYPERLINK("https://buffer.com","Buffer")</f>
        <v>Buffer</v>
      </c>
      <c r="L624" s="15">
        <v>52.0</v>
      </c>
      <c r="M624" s="15">
        <v>496.0</v>
      </c>
      <c r="N624" s="15">
        <v>0.0</v>
      </c>
      <c r="O624" s="16"/>
      <c r="P624" s="17">
        <v>43808.72709490741</v>
      </c>
      <c r="Q624" s="13"/>
      <c r="R624" s="10" t="s">
        <v>2898</v>
      </c>
      <c r="S624" s="11" t="s">
        <v>2899</v>
      </c>
      <c r="T624" s="13"/>
      <c r="U624" s="18" t="str">
        <f>HYPERLINK("https://pbs.twimg.com/profile_images/1204165688358604801/yMBmzsCI.png","View")</f>
        <v>View</v>
      </c>
      <c r="V624" s="13"/>
      <c r="W624" s="13"/>
      <c r="X624" s="13"/>
      <c r="Y624" s="13"/>
      <c r="Z624" s="13"/>
    </row>
    <row r="625">
      <c r="A625" s="8">
        <v>43848.64061342593</v>
      </c>
      <c r="B625" s="9" t="str">
        <f>HYPERLINK("https://twitter.com/Ella_Feelan","@Ella_Feelan")</f>
        <v>@Ella_Feelan</v>
      </c>
      <c r="C625" s="10" t="s">
        <v>2844</v>
      </c>
      <c r="D625" s="10" t="s">
        <v>2900</v>
      </c>
      <c r="E625" s="9" t="str">
        <f>HYPERLINK("https://twitter.com/Ella_Feelan/status/1218629753810321414","1218629753810321414")</f>
        <v>1218629753810321414</v>
      </c>
      <c r="F625" s="11" t="s">
        <v>2901</v>
      </c>
      <c r="G625" s="13"/>
      <c r="H625" s="13"/>
      <c r="I625" s="14">
        <v>0.0</v>
      </c>
      <c r="J625" s="14">
        <v>0.0</v>
      </c>
      <c r="K625" s="9" t="str">
        <f>HYPERLINK("https://mobile.twitter.com","Twitter Web App")</f>
        <v>Twitter Web App</v>
      </c>
      <c r="L625" s="15">
        <v>94.0</v>
      </c>
      <c r="M625" s="15">
        <v>162.0</v>
      </c>
      <c r="N625" s="15">
        <v>0.0</v>
      </c>
      <c r="O625" s="16"/>
      <c r="P625" s="17">
        <v>43709.42627314814</v>
      </c>
      <c r="Q625" s="10" t="s">
        <v>2323</v>
      </c>
      <c r="R625" s="10" t="s">
        <v>2847</v>
      </c>
      <c r="S625" s="13"/>
      <c r="T625" s="13"/>
      <c r="U625" s="18" t="str">
        <f>HYPERLINK("https://pbs.twimg.com/profile_images/1168168134362222594/GRcStyAZ.jpg","View")</f>
        <v>View</v>
      </c>
      <c r="V625" s="13"/>
      <c r="W625" s="13"/>
      <c r="X625" s="13"/>
      <c r="Y625" s="13"/>
      <c r="Z625" s="13"/>
    </row>
    <row r="626">
      <c r="A626" s="8">
        <v>43848.640555555554</v>
      </c>
      <c r="B626" s="9" t="str">
        <f>HYPERLINK("https://twitter.com/MistryChef","@MistryChef")</f>
        <v>@MistryChef</v>
      </c>
      <c r="C626" s="10" t="s">
        <v>2902</v>
      </c>
      <c r="D626" s="10" t="s">
        <v>2903</v>
      </c>
      <c r="E626" s="9" t="str">
        <f>HYPERLINK("https://twitter.com/MistryChef/status/1218629736194330630","1218629736194330630")</f>
        <v>1218629736194330630</v>
      </c>
      <c r="F626" s="11" t="s">
        <v>2904</v>
      </c>
      <c r="G626" s="11" t="s">
        <v>2905</v>
      </c>
      <c r="H626" s="13"/>
      <c r="I626" s="14">
        <v>1.0</v>
      </c>
      <c r="J626" s="14">
        <v>1.0</v>
      </c>
      <c r="K626" s="9" t="str">
        <f>HYPERLINK("http://twitter.com/download/android","Twitter for Android")</f>
        <v>Twitter for Android</v>
      </c>
      <c r="L626" s="15">
        <v>1254.0</v>
      </c>
      <c r="M626" s="15">
        <v>756.0</v>
      </c>
      <c r="N626" s="15">
        <v>29.0</v>
      </c>
      <c r="O626" s="16"/>
      <c r="P626" s="17">
        <v>42271.4188425926</v>
      </c>
      <c r="Q626" s="10" t="s">
        <v>2906</v>
      </c>
      <c r="R626" s="10" t="s">
        <v>2907</v>
      </c>
      <c r="S626" s="11" t="s">
        <v>2904</v>
      </c>
      <c r="T626" s="13"/>
      <c r="U626" s="18" t="str">
        <f>HYPERLINK("https://pbs.twimg.com/profile_images/928333256461881344/76z7NaBu.jpg","View")</f>
        <v>View</v>
      </c>
      <c r="V626" s="13"/>
      <c r="W626" s="13"/>
      <c r="X626" s="13"/>
      <c r="Y626" s="13"/>
      <c r="Z626" s="13"/>
    </row>
    <row r="627">
      <c r="A627" s="8">
        <v>43848.64019675926</v>
      </c>
      <c r="B627" s="9" t="str">
        <f>HYPERLINK("https://twitter.com/RaisinSzcz","@RaisinSzcz")</f>
        <v>@RaisinSzcz</v>
      </c>
      <c r="C627" s="10" t="s">
        <v>2908</v>
      </c>
      <c r="D627" s="10" t="s">
        <v>2909</v>
      </c>
      <c r="E627" s="9" t="str">
        <f>HYPERLINK("https://twitter.com/RaisinSzcz/status/1218629604203778054","1218629604203778054")</f>
        <v>1218629604203778054</v>
      </c>
      <c r="F627" s="13"/>
      <c r="G627" s="11" t="s">
        <v>2910</v>
      </c>
      <c r="H627" s="13"/>
      <c r="I627" s="14">
        <v>0.0</v>
      </c>
      <c r="J627" s="14">
        <v>1.0</v>
      </c>
      <c r="K627" s="9" t="str">
        <f>HYPERLINK("http://twitter.com/download/iphone","Twitter for iPhone")</f>
        <v>Twitter for iPhone</v>
      </c>
      <c r="L627" s="15">
        <v>92.0</v>
      </c>
      <c r="M627" s="15">
        <v>626.0</v>
      </c>
      <c r="N627" s="15">
        <v>1.0</v>
      </c>
      <c r="O627" s="16"/>
      <c r="P627" s="17">
        <v>40034.708391203705</v>
      </c>
      <c r="Q627" s="10" t="s">
        <v>2911</v>
      </c>
      <c r="R627" s="10" t="s">
        <v>2912</v>
      </c>
      <c r="S627" s="13"/>
      <c r="T627" s="13"/>
      <c r="U627" s="18" t="str">
        <f>HYPERLINK("https://pbs.twimg.com/profile_images/1215701548170346496/lQQngsJB.jpg","View")</f>
        <v>View</v>
      </c>
      <c r="V627" s="13"/>
      <c r="W627" s="13"/>
      <c r="X627" s="13"/>
      <c r="Y627" s="13"/>
      <c r="Z627" s="13"/>
    </row>
    <row r="628">
      <c r="A628" s="8">
        <v>43848.63998842593</v>
      </c>
      <c r="B628" s="9" t="str">
        <f>HYPERLINK("https://twitter.com/DrNovisky","@DrNovisky")</f>
        <v>@DrNovisky</v>
      </c>
      <c r="C628" s="10" t="s">
        <v>2913</v>
      </c>
      <c r="D628" s="10" t="s">
        <v>2914</v>
      </c>
      <c r="E628" s="9" t="str">
        <f>HYPERLINK("https://twitter.com/DrNovisky/status/1218629528853143552","1218629528853143552")</f>
        <v>1218629528853143552</v>
      </c>
      <c r="F628" s="13"/>
      <c r="G628" s="13"/>
      <c r="H628" s="13"/>
      <c r="I628" s="14">
        <v>1.0</v>
      </c>
      <c r="J628" s="14">
        <v>2.0</v>
      </c>
      <c r="K628" s="9" t="str">
        <f t="shared" ref="K628:K629" si="73">HYPERLINK("http://twitter.com/download/android","Twitter for Android")</f>
        <v>Twitter for Android</v>
      </c>
      <c r="L628" s="15">
        <v>1495.0</v>
      </c>
      <c r="M628" s="15">
        <v>1615.0</v>
      </c>
      <c r="N628" s="15">
        <v>18.0</v>
      </c>
      <c r="O628" s="16"/>
      <c r="P628" s="17">
        <v>42817.62405092592</v>
      </c>
      <c r="Q628" s="10" t="s">
        <v>2915</v>
      </c>
      <c r="R628" s="10" t="s">
        <v>2916</v>
      </c>
      <c r="S628" s="11" t="s">
        <v>2917</v>
      </c>
      <c r="T628" s="13"/>
      <c r="U628" s="18" t="str">
        <f>HYPERLINK("https://pbs.twimg.com/profile_images/996694776513675264/wvNC7Evc.jpg","View")</f>
        <v>View</v>
      </c>
      <c r="V628" s="13"/>
      <c r="W628" s="13"/>
      <c r="X628" s="13"/>
      <c r="Y628" s="13"/>
      <c r="Z628" s="13"/>
    </row>
    <row r="629">
      <c r="A629" s="8">
        <v>43848.63997685185</v>
      </c>
      <c r="B629" s="9" t="str">
        <f>HYPERLINK("https://twitter.com/LivingOnTheBor2","@LivingOnTheBor2")</f>
        <v>@LivingOnTheBor2</v>
      </c>
      <c r="C629" s="10" t="s">
        <v>2127</v>
      </c>
      <c r="D629" s="10" t="s">
        <v>2918</v>
      </c>
      <c r="E629" s="9" t="str">
        <f>HYPERLINK("https://twitter.com/LivingOnTheBor2/status/1218629525132566529","1218629525132566529")</f>
        <v>1218629525132566529</v>
      </c>
      <c r="F629" s="13"/>
      <c r="G629" s="13"/>
      <c r="H629" s="13"/>
      <c r="I629" s="14">
        <v>0.0</v>
      </c>
      <c r="J629" s="14">
        <v>0.0</v>
      </c>
      <c r="K629" s="9" t="str">
        <f t="shared" si="73"/>
        <v>Twitter for Android</v>
      </c>
      <c r="L629" s="15">
        <v>92.0</v>
      </c>
      <c r="M629" s="15">
        <v>203.0</v>
      </c>
      <c r="N629" s="15">
        <v>0.0</v>
      </c>
      <c r="O629" s="16"/>
      <c r="P629" s="17">
        <v>43692.018483796295</v>
      </c>
      <c r="Q629" s="13"/>
      <c r="R629" s="10" t="s">
        <v>2129</v>
      </c>
      <c r="S629" s="11" t="s">
        <v>2130</v>
      </c>
      <c r="T629" s="13"/>
      <c r="U629" s="18" t="str">
        <f>HYPERLINK("https://pbs.twimg.com/profile_images/1213303964646563840/zqr2OJJ2.jpg","View")</f>
        <v>View</v>
      </c>
      <c r="V629" s="13"/>
      <c r="W629" s="13"/>
      <c r="X629" s="13"/>
      <c r="Y629" s="13"/>
      <c r="Z629" s="13"/>
    </row>
    <row r="630">
      <c r="A630" s="8">
        <v>43848.639456018514</v>
      </c>
      <c r="B630" s="9" t="str">
        <f>HYPERLINK("https://twitter.com/DannyGautama","@DannyGautama")</f>
        <v>@DannyGautama</v>
      </c>
      <c r="C630" s="10" t="s">
        <v>2919</v>
      </c>
      <c r="D630" s="10" t="s">
        <v>2920</v>
      </c>
      <c r="E630" s="9" t="str">
        <f>HYPERLINK("https://twitter.com/DannyGautama/status/1218629338196738048","1218629338196738048")</f>
        <v>1218629338196738048</v>
      </c>
      <c r="F630" s="13"/>
      <c r="G630" s="11" t="s">
        <v>2921</v>
      </c>
      <c r="H630" s="13"/>
      <c r="I630" s="14">
        <v>0.0</v>
      </c>
      <c r="J630" s="14">
        <v>5.0</v>
      </c>
      <c r="K630" s="9" t="str">
        <f>HYPERLINK("http://twitter.com/download/iphone","Twitter for iPhone")</f>
        <v>Twitter for iPhone</v>
      </c>
      <c r="L630" s="15">
        <v>565.0</v>
      </c>
      <c r="M630" s="15">
        <v>421.0</v>
      </c>
      <c r="N630" s="15">
        <v>2.0</v>
      </c>
      <c r="O630" s="16"/>
      <c r="P630" s="17">
        <v>43706.59824074074</v>
      </c>
      <c r="Q630" s="10" t="s">
        <v>63</v>
      </c>
      <c r="R630" s="10" t="s">
        <v>2922</v>
      </c>
      <c r="S630" s="13"/>
      <c r="T630" s="13"/>
      <c r="U630" s="18" t="str">
        <f>HYPERLINK("https://pbs.twimg.com/profile_images/1167169532445843460/t8kh07bv.jpg","View")</f>
        <v>View</v>
      </c>
      <c r="V630" s="13"/>
      <c r="W630" s="13"/>
      <c r="X630" s="13"/>
      <c r="Y630" s="13"/>
      <c r="Z630" s="13"/>
    </row>
    <row r="631">
      <c r="A631" s="8">
        <v>43848.6390162037</v>
      </c>
      <c r="B631" s="9" t="str">
        <f>HYPERLINK("https://twitter.com/AldridgeMalone","@AldridgeMalone")</f>
        <v>@AldridgeMalone</v>
      </c>
      <c r="C631" s="10" t="s">
        <v>2007</v>
      </c>
      <c r="D631" s="10" t="s">
        <v>2923</v>
      </c>
      <c r="E631" s="9" t="str">
        <f>HYPERLINK("https://twitter.com/AldridgeMalone/status/1218629175612973057","1218629175612973057")</f>
        <v>1218629175612973057</v>
      </c>
      <c r="F631" s="11" t="s">
        <v>2924</v>
      </c>
      <c r="G631" s="13"/>
      <c r="H631" s="13"/>
      <c r="I631" s="14">
        <v>0.0</v>
      </c>
      <c r="J631" s="14">
        <v>0.0</v>
      </c>
      <c r="K631" s="9" t="str">
        <f>HYPERLINK("https://crowdfireapp.com","Crowdfire App")</f>
        <v>Crowdfire App</v>
      </c>
      <c r="L631" s="15">
        <v>511.0</v>
      </c>
      <c r="M631" s="15">
        <v>1053.0</v>
      </c>
      <c r="N631" s="15">
        <v>3.0</v>
      </c>
      <c r="O631" s="16"/>
      <c r="P631" s="17">
        <v>43797.42387731481</v>
      </c>
      <c r="Q631" s="10" t="s">
        <v>2010</v>
      </c>
      <c r="R631" s="10" t="s">
        <v>2011</v>
      </c>
      <c r="S631" s="11" t="s">
        <v>2012</v>
      </c>
      <c r="T631" s="13"/>
      <c r="U631" s="18" t="str">
        <f>HYPERLINK("https://pbs.twimg.com/profile_images/1211081028128952320/tuXizEt6.jpg","View")</f>
        <v>View</v>
      </c>
      <c r="V631" s="13"/>
      <c r="W631" s="13"/>
      <c r="X631" s="13"/>
      <c r="Y631" s="13"/>
      <c r="Z631" s="13"/>
    </row>
    <row r="632">
      <c r="A632" s="8">
        <v>43848.63899305556</v>
      </c>
      <c r="B632" s="9" t="str">
        <f>HYPERLINK("https://twitter.com/NatCollegeAus","@NatCollegeAus")</f>
        <v>@NatCollegeAus</v>
      </c>
      <c r="C632" s="10" t="s">
        <v>2925</v>
      </c>
      <c r="D632" s="10" t="s">
        <v>2926</v>
      </c>
      <c r="E632" s="9" t="str">
        <f>HYPERLINK("https://twitter.com/NatCollegeAus/status/1218629169405464581","1218629169405464581")</f>
        <v>1218629169405464581</v>
      </c>
      <c r="F632" s="11" t="s">
        <v>2927</v>
      </c>
      <c r="G632" s="11" t="s">
        <v>2928</v>
      </c>
      <c r="H632" s="13"/>
      <c r="I632" s="14">
        <v>0.0</v>
      </c>
      <c r="J632" s="14">
        <v>0.0</v>
      </c>
      <c r="K632" s="9" t="str">
        <f t="shared" ref="K632:K633" si="74">HYPERLINK("https://www.hootsuite.com","Hootsuite Inc.")</f>
        <v>Hootsuite Inc.</v>
      </c>
      <c r="L632" s="15">
        <v>15.0</v>
      </c>
      <c r="M632" s="15">
        <v>36.0</v>
      </c>
      <c r="N632" s="15">
        <v>0.0</v>
      </c>
      <c r="O632" s="16"/>
      <c r="P632" s="17">
        <v>42925.93753472222</v>
      </c>
      <c r="Q632" s="10" t="s">
        <v>1332</v>
      </c>
      <c r="R632" s="10" t="s">
        <v>2929</v>
      </c>
      <c r="S632" s="11" t="s">
        <v>2930</v>
      </c>
      <c r="T632" s="13"/>
      <c r="U632" s="18" t="str">
        <f>HYPERLINK("https://pbs.twimg.com/profile_images/1055250151554465794/O1dKt3Wi.jpg","View")</f>
        <v>View</v>
      </c>
      <c r="V632" s="13"/>
      <c r="W632" s="13"/>
      <c r="X632" s="13"/>
      <c r="Y632" s="13"/>
      <c r="Z632" s="13"/>
    </row>
    <row r="633">
      <c r="A633" s="8">
        <v>43848.63895833334</v>
      </c>
      <c r="B633" s="9" t="str">
        <f>HYPERLINK("https://twitter.com/djemal_ua","@djemal_ua")</f>
        <v>@djemal_ua</v>
      </c>
      <c r="C633" s="10" t="s">
        <v>1161</v>
      </c>
      <c r="D633" s="10" t="s">
        <v>2931</v>
      </c>
      <c r="E633" s="9" t="str">
        <f>HYPERLINK("https://twitter.com/djemal_ua/status/1218629156235247618","1218629156235247618")</f>
        <v>1218629156235247618</v>
      </c>
      <c r="F633" s="11" t="s">
        <v>2932</v>
      </c>
      <c r="G633" s="13"/>
      <c r="H633" s="13"/>
      <c r="I633" s="14">
        <v>0.0</v>
      </c>
      <c r="J633" s="14">
        <v>0.0</v>
      </c>
      <c r="K633" s="9" t="str">
        <f t="shared" si="74"/>
        <v>Hootsuite Inc.</v>
      </c>
      <c r="L633" s="15">
        <v>5127.0</v>
      </c>
      <c r="M633" s="15">
        <v>4724.0</v>
      </c>
      <c r="N633" s="15">
        <v>60.0</v>
      </c>
      <c r="O633" s="16"/>
      <c r="P633" s="17">
        <v>43530.25729166667</v>
      </c>
      <c r="Q633" s="10" t="s">
        <v>95</v>
      </c>
      <c r="R633" s="10" t="s">
        <v>1164</v>
      </c>
      <c r="S633" s="11" t="s">
        <v>1165</v>
      </c>
      <c r="T633" s="13"/>
      <c r="U633" s="18" t="str">
        <f>HYPERLINK("https://pbs.twimg.com/profile_images/1202978381106761728/aqUhVSTO.jpg","View")</f>
        <v>View</v>
      </c>
      <c r="V633" s="13"/>
      <c r="W633" s="13"/>
      <c r="X633" s="13"/>
      <c r="Y633" s="13"/>
      <c r="Z633" s="13"/>
    </row>
    <row r="634">
      <c r="A634" s="8">
        <v>43848.63890046296</v>
      </c>
      <c r="B634" s="9" t="str">
        <f>HYPERLINK("https://twitter.com/paulwalters1989","@paulwalters1989")</f>
        <v>@paulwalters1989</v>
      </c>
      <c r="C634" s="10" t="s">
        <v>2289</v>
      </c>
      <c r="D634" s="10" t="s">
        <v>2933</v>
      </c>
      <c r="E634" s="9" t="str">
        <f>HYPERLINK("https://twitter.com/paulwalters1989/status/1218629134903140353","1218629134903140353")</f>
        <v>1218629134903140353</v>
      </c>
      <c r="F634" s="11" t="s">
        <v>2934</v>
      </c>
      <c r="G634" s="13"/>
      <c r="H634" s="13"/>
      <c r="I634" s="14">
        <v>0.0</v>
      </c>
      <c r="J634" s="14">
        <v>0.0</v>
      </c>
      <c r="K634" s="9" t="str">
        <f>HYPERLINK("http://apps.twitter.com","Twitty4Paul")</f>
        <v>Twitty4Paul</v>
      </c>
      <c r="L634" s="15">
        <v>4326.0</v>
      </c>
      <c r="M634" s="15">
        <v>4982.0</v>
      </c>
      <c r="N634" s="15">
        <v>49.0</v>
      </c>
      <c r="O634" s="16"/>
      <c r="P634" s="17">
        <v>41611.30431712963</v>
      </c>
      <c r="Q634" s="10" t="s">
        <v>2292</v>
      </c>
      <c r="R634" s="10" t="s">
        <v>2293</v>
      </c>
      <c r="S634" s="11" t="s">
        <v>2294</v>
      </c>
      <c r="T634" s="13"/>
      <c r="U634" s="18" t="str">
        <f>HYPERLINK("https://pbs.twimg.com/profile_images/985150024278568960/R49sDFmD.jpg","View")</f>
        <v>View</v>
      </c>
      <c r="V634" s="13"/>
      <c r="W634" s="13"/>
      <c r="X634" s="13"/>
      <c r="Y634" s="13"/>
      <c r="Z634" s="13"/>
    </row>
    <row r="635">
      <c r="A635" s="8">
        <v>43848.63863425926</v>
      </c>
      <c r="B635" s="9" t="str">
        <f>HYPERLINK("https://twitter.com/AldridgeMalone","@AldridgeMalone")</f>
        <v>@AldridgeMalone</v>
      </c>
      <c r="C635" s="10" t="s">
        <v>2007</v>
      </c>
      <c r="D635" s="10" t="s">
        <v>2935</v>
      </c>
      <c r="E635" s="9" t="str">
        <f>HYPERLINK("https://twitter.com/AldridgeMalone/status/1218629038488637442","1218629038488637442")</f>
        <v>1218629038488637442</v>
      </c>
      <c r="F635" s="11" t="s">
        <v>2936</v>
      </c>
      <c r="G635" s="13"/>
      <c r="H635" s="13"/>
      <c r="I635" s="14">
        <v>1.0</v>
      </c>
      <c r="J635" s="14">
        <v>0.0</v>
      </c>
      <c r="K635" s="9" t="str">
        <f>HYPERLINK("https://crowdfireapp.com","Crowdfire App")</f>
        <v>Crowdfire App</v>
      </c>
      <c r="L635" s="15">
        <v>511.0</v>
      </c>
      <c r="M635" s="15">
        <v>1053.0</v>
      </c>
      <c r="N635" s="15">
        <v>3.0</v>
      </c>
      <c r="O635" s="16"/>
      <c r="P635" s="17">
        <v>43797.42387731481</v>
      </c>
      <c r="Q635" s="10" t="s">
        <v>2010</v>
      </c>
      <c r="R635" s="10" t="s">
        <v>2011</v>
      </c>
      <c r="S635" s="11" t="s">
        <v>2012</v>
      </c>
      <c r="T635" s="13"/>
      <c r="U635" s="18" t="str">
        <f>HYPERLINK("https://pbs.twimg.com/profile_images/1211081028128952320/tuXizEt6.jpg","View")</f>
        <v>View</v>
      </c>
      <c r="V635" s="13"/>
      <c r="W635" s="13"/>
      <c r="X635" s="13"/>
      <c r="Y635" s="13"/>
      <c r="Z635" s="13"/>
    </row>
    <row r="636">
      <c r="A636" s="8">
        <v>43848.638506944444</v>
      </c>
      <c r="B636" s="9" t="str">
        <f>HYPERLINK("https://twitter.com/colewinters28","@colewinters28")</f>
        <v>@colewinters28</v>
      </c>
      <c r="C636" s="10" t="s">
        <v>2937</v>
      </c>
      <c r="D636" s="10" t="s">
        <v>2938</v>
      </c>
      <c r="E636" s="9" t="str">
        <f>HYPERLINK("https://twitter.com/colewinters28/status/1218628991403294723","1218628991403294723")</f>
        <v>1218628991403294723</v>
      </c>
      <c r="F636" s="13"/>
      <c r="G636" s="13"/>
      <c r="H636" s="13"/>
      <c r="I636" s="14">
        <v>0.0</v>
      </c>
      <c r="J636" s="14">
        <v>0.0</v>
      </c>
      <c r="K636" s="9" t="str">
        <f>HYPERLINK("https://mobile.twitter.com","Twitter Web App")</f>
        <v>Twitter Web App</v>
      </c>
      <c r="L636" s="15">
        <v>25.0</v>
      </c>
      <c r="M636" s="15">
        <v>172.0</v>
      </c>
      <c r="N636" s="15">
        <v>0.0</v>
      </c>
      <c r="O636" s="16"/>
      <c r="P636" s="17">
        <v>43090.64976851852</v>
      </c>
      <c r="Q636" s="13"/>
      <c r="R636" s="13"/>
      <c r="S636" s="13"/>
      <c r="T636" s="13"/>
      <c r="U636" s="18" t="str">
        <f>HYPERLINK("https://pbs.twimg.com/profile_images/1214655214810255360/ZZ_55QDN.jpg","View")</f>
        <v>View</v>
      </c>
      <c r="V636" s="13"/>
      <c r="W636" s="13"/>
      <c r="X636" s="13"/>
      <c r="Y636" s="13"/>
      <c r="Z636" s="13"/>
    </row>
    <row r="637">
      <c r="A637" s="8">
        <v>43848.63837962963</v>
      </c>
      <c r="B637" s="9" t="str">
        <f>HYPERLINK("https://twitter.com/AldridgeMalone","@AldridgeMalone")</f>
        <v>@AldridgeMalone</v>
      </c>
      <c r="C637" s="10" t="s">
        <v>2007</v>
      </c>
      <c r="D637" s="10" t="s">
        <v>2939</v>
      </c>
      <c r="E637" s="9" t="str">
        <f>HYPERLINK("https://twitter.com/AldridgeMalone/status/1218628945496748032","1218628945496748032")</f>
        <v>1218628945496748032</v>
      </c>
      <c r="F637" s="11" t="s">
        <v>2940</v>
      </c>
      <c r="G637" s="13"/>
      <c r="H637" s="13"/>
      <c r="I637" s="14">
        <v>0.0</v>
      </c>
      <c r="J637" s="14">
        <v>0.0</v>
      </c>
      <c r="K637" s="9" t="str">
        <f>HYPERLINK("https://crowdfireapp.com","Crowdfire App")</f>
        <v>Crowdfire App</v>
      </c>
      <c r="L637" s="15">
        <v>511.0</v>
      </c>
      <c r="M637" s="15">
        <v>1053.0</v>
      </c>
      <c r="N637" s="15">
        <v>3.0</v>
      </c>
      <c r="O637" s="16"/>
      <c r="P637" s="17">
        <v>43797.42387731481</v>
      </c>
      <c r="Q637" s="10" t="s">
        <v>2010</v>
      </c>
      <c r="R637" s="10" t="s">
        <v>2011</v>
      </c>
      <c r="S637" s="11" t="s">
        <v>2012</v>
      </c>
      <c r="T637" s="13"/>
      <c r="U637" s="18" t="str">
        <f>HYPERLINK("https://pbs.twimg.com/profile_images/1211081028128952320/tuXizEt6.jpg","View")</f>
        <v>View</v>
      </c>
      <c r="V637" s="13"/>
      <c r="W637" s="13"/>
      <c r="X637" s="13"/>
      <c r="Y637" s="13"/>
      <c r="Z637" s="13"/>
    </row>
    <row r="638">
      <c r="A638" s="8">
        <v>43848.63726851852</v>
      </c>
      <c r="B638" s="9" t="str">
        <f>HYPERLINK("https://twitter.com/DonelaLinas","@DonelaLinas")</f>
        <v>@DonelaLinas</v>
      </c>
      <c r="C638" s="10" t="s">
        <v>1838</v>
      </c>
      <c r="D638" s="10" t="s">
        <v>2941</v>
      </c>
      <c r="E638" s="9" t="str">
        <f>HYPERLINK("https://twitter.com/DonelaLinas/status/1218628543720108037","1218628543720108037")</f>
        <v>1218628543720108037</v>
      </c>
      <c r="F638" s="13"/>
      <c r="G638" s="13"/>
      <c r="H638" s="13"/>
      <c r="I638" s="14">
        <v>0.0</v>
      </c>
      <c r="J638" s="14">
        <v>1.0</v>
      </c>
      <c r="K638" s="9" t="str">
        <f>HYPERLINK("http://twitter.com/download/android","Twitter for Android")</f>
        <v>Twitter for Android</v>
      </c>
      <c r="L638" s="15">
        <v>34.0</v>
      </c>
      <c r="M638" s="15">
        <v>57.0</v>
      </c>
      <c r="N638" s="15">
        <v>0.0</v>
      </c>
      <c r="O638" s="16"/>
      <c r="P638" s="17">
        <v>42519.46498842593</v>
      </c>
      <c r="Q638" s="10" t="s">
        <v>1840</v>
      </c>
      <c r="R638" s="10" t="s">
        <v>1841</v>
      </c>
      <c r="S638" s="13"/>
      <c r="T638" s="13"/>
      <c r="U638" s="18" t="str">
        <f>HYPERLINK("https://pbs.twimg.com/profile_images/737072476367269888/aenGDd9p.jpg","View")</f>
        <v>View</v>
      </c>
      <c r="V638" s="13"/>
      <c r="W638" s="13"/>
      <c r="X638" s="13"/>
      <c r="Y638" s="13"/>
      <c r="Z638" s="13"/>
    </row>
    <row r="639">
      <c r="A639" s="8">
        <v>43848.63702546296</v>
      </c>
      <c r="B639" s="9" t="str">
        <f>HYPERLINK("https://twitter.com/abbyness92","@abbyness92")</f>
        <v>@abbyness92</v>
      </c>
      <c r="C639" s="10" t="s">
        <v>2942</v>
      </c>
      <c r="D639" s="10" t="s">
        <v>2943</v>
      </c>
      <c r="E639" s="9" t="str">
        <f>HYPERLINK("https://twitter.com/abbyness92/status/1218628456553930752","1218628456553930752")</f>
        <v>1218628456553930752</v>
      </c>
      <c r="F639" s="13"/>
      <c r="G639" s="11" t="s">
        <v>2944</v>
      </c>
      <c r="H639" s="13"/>
      <c r="I639" s="14">
        <v>0.0</v>
      </c>
      <c r="J639" s="14">
        <v>0.0</v>
      </c>
      <c r="K639" s="9" t="str">
        <f>HYPERLINK("http://twitter.com/#!/download/ipad","Twitter for iPad")</f>
        <v>Twitter for iPad</v>
      </c>
      <c r="L639" s="15">
        <v>124.0</v>
      </c>
      <c r="M639" s="15">
        <v>513.0</v>
      </c>
      <c r="N639" s="15">
        <v>0.0</v>
      </c>
      <c r="O639" s="16"/>
      <c r="P639" s="17">
        <v>43801.0652662037</v>
      </c>
      <c r="Q639" s="10" t="s">
        <v>2945</v>
      </c>
      <c r="R639" s="10" t="s">
        <v>2946</v>
      </c>
      <c r="S639" s="11" t="s">
        <v>2947</v>
      </c>
      <c r="T639" s="13"/>
      <c r="U639" s="18" t="str">
        <f>HYPERLINK("https://pbs.twimg.com/profile_images/1216975408278585345/FtEhzHi_.jpg","View")</f>
        <v>View</v>
      </c>
      <c r="V639" s="13"/>
      <c r="W639" s="13"/>
      <c r="X639" s="13"/>
      <c r="Y639" s="13"/>
      <c r="Z639" s="13"/>
    </row>
    <row r="640">
      <c r="A640" s="8">
        <v>43848.63700231482</v>
      </c>
      <c r="B640" s="9" t="str">
        <f>HYPERLINK("https://twitter.com/YHELPNOW","@YHELPNOW")</f>
        <v>@YHELPNOW</v>
      </c>
      <c r="C640" s="10" t="s">
        <v>2948</v>
      </c>
      <c r="D640" s="10" t="s">
        <v>2949</v>
      </c>
      <c r="E640" s="9" t="str">
        <f>HYPERLINK("https://twitter.com/YHELPNOW/status/1218628445988696065","1218628445988696065")</f>
        <v>1218628445988696065</v>
      </c>
      <c r="F640" s="13"/>
      <c r="G640" s="11" t="s">
        <v>2950</v>
      </c>
      <c r="H640" s="13"/>
      <c r="I640" s="14">
        <v>0.0</v>
      </c>
      <c r="J640" s="14">
        <v>1.0</v>
      </c>
      <c r="K640" s="9" t="str">
        <f>HYPERLINK("http://twitter.com/download/android","Twitter for Android")</f>
        <v>Twitter for Android</v>
      </c>
      <c r="L640" s="15">
        <v>102.0</v>
      </c>
      <c r="M640" s="15">
        <v>225.0</v>
      </c>
      <c r="N640" s="15">
        <v>0.0</v>
      </c>
      <c r="O640" s="16"/>
      <c r="P640" s="17">
        <v>43356.42155092592</v>
      </c>
      <c r="Q640" s="13"/>
      <c r="R640" s="13"/>
      <c r="S640" s="11" t="s">
        <v>2951</v>
      </c>
      <c r="T640" s="13"/>
      <c r="U640" s="18" t="str">
        <f>HYPERLINK("https://pbs.twimg.com/profile_images/1040241233468252161/3prY661p.jpg","View")</f>
        <v>View</v>
      </c>
      <c r="V640" s="13"/>
      <c r="W640" s="13"/>
      <c r="X640" s="13"/>
      <c r="Y640" s="13"/>
      <c r="Z640" s="13"/>
    </row>
    <row r="641">
      <c r="A641" s="8">
        <v>43848.6365625</v>
      </c>
      <c r="B641" s="9" t="str">
        <f>HYPERLINK("https://twitter.com/doreen_rabi","@doreen_rabi")</f>
        <v>@doreen_rabi</v>
      </c>
      <c r="C641" s="10" t="s">
        <v>2952</v>
      </c>
      <c r="D641" s="10" t="s">
        <v>2953</v>
      </c>
      <c r="E641" s="9" t="str">
        <f>HYPERLINK("https://twitter.com/doreen_rabi/status/1218628289931038720","1218628289931038720")</f>
        <v>1218628289931038720</v>
      </c>
      <c r="F641" s="10" t="s">
        <v>2954</v>
      </c>
      <c r="G641" s="13"/>
      <c r="H641" s="13"/>
      <c r="I641" s="14">
        <v>8.0</v>
      </c>
      <c r="J641" s="14">
        <v>13.0</v>
      </c>
      <c r="K641" s="9" t="str">
        <f>HYPERLINK("https://mobile.twitter.com","Twitter Web App")</f>
        <v>Twitter Web App</v>
      </c>
      <c r="L641" s="15">
        <v>1772.0</v>
      </c>
      <c r="M641" s="15">
        <v>795.0</v>
      </c>
      <c r="N641" s="15">
        <v>104.0</v>
      </c>
      <c r="O641" s="16"/>
      <c r="P641" s="17">
        <v>42054.48140046296</v>
      </c>
      <c r="Q641" s="10" t="s">
        <v>2955</v>
      </c>
      <c r="R641" s="10" t="s">
        <v>2956</v>
      </c>
      <c r="S641" s="13"/>
      <c r="T641" s="13"/>
      <c r="U641" s="18" t="str">
        <f>HYPERLINK("https://pbs.twimg.com/profile_images/916756217791262720/dzEDImG7.jpg","View")</f>
        <v>View</v>
      </c>
      <c r="V641" s="13"/>
      <c r="W641" s="13"/>
      <c r="X641" s="13"/>
      <c r="Y641" s="13"/>
      <c r="Z641" s="13"/>
    </row>
    <row r="642">
      <c r="A642" s="8">
        <v>43848.63631944444</v>
      </c>
      <c r="B642" s="9" t="str">
        <f>HYPERLINK("https://twitter.com/MHCD_Careers","@MHCD_Careers")</f>
        <v>@MHCD_Careers</v>
      </c>
      <c r="C642" s="10" t="s">
        <v>738</v>
      </c>
      <c r="D642" s="10" t="s">
        <v>2957</v>
      </c>
      <c r="E642" s="9" t="str">
        <f>HYPERLINK("https://twitter.com/MHCD_Careers/status/1218628198772011008","1218628198772011008")</f>
        <v>1218628198772011008</v>
      </c>
      <c r="F642" s="11" t="s">
        <v>2958</v>
      </c>
      <c r="G642" s="13"/>
      <c r="H642" s="9" t="str">
        <f>HYPERLINK("https://ctrlq.org/maps/address/#39.7380371,-105.0265195","Map")</f>
        <v>Map</v>
      </c>
      <c r="I642" s="14">
        <v>0.0</v>
      </c>
      <c r="J642" s="14">
        <v>0.0</v>
      </c>
      <c r="K642" s="9" t="str">
        <f>HYPERLINK("https://www.careerarc.com","CareerArc 2.0")</f>
        <v>CareerArc 2.0</v>
      </c>
      <c r="L642" s="15">
        <v>268.0</v>
      </c>
      <c r="M642" s="15">
        <v>185.0</v>
      </c>
      <c r="N642" s="15">
        <v>166.0</v>
      </c>
      <c r="O642" s="16"/>
      <c r="P642" s="17">
        <v>42304.41803240741</v>
      </c>
      <c r="Q642" s="10" t="s">
        <v>211</v>
      </c>
      <c r="R642" s="10" t="s">
        <v>741</v>
      </c>
      <c r="S642" s="11" t="s">
        <v>742</v>
      </c>
      <c r="T642" s="13"/>
      <c r="U642" s="18" t="str">
        <f>HYPERLINK("https://pbs.twimg.com/profile_images/659008323367206912/M6fok2HN.jpg","View")</f>
        <v>View</v>
      </c>
      <c r="V642" s="13"/>
      <c r="W642" s="13"/>
      <c r="X642" s="13"/>
      <c r="Y642" s="13"/>
      <c r="Z642" s="13"/>
    </row>
    <row r="643">
      <c r="A643" s="8">
        <v>43848.63613425926</v>
      </c>
      <c r="B643" s="9" t="str">
        <f>HYPERLINK("https://twitter.com/MHforUS","@MHforUS")</f>
        <v>@MHforUS</v>
      </c>
      <c r="C643" s="10" t="s">
        <v>2959</v>
      </c>
      <c r="D643" s="10" t="s">
        <v>2960</v>
      </c>
      <c r="E643" s="9" t="str">
        <f>HYPERLINK("https://twitter.com/MHforUS/status/1218628131302576129","1218628131302576129")</f>
        <v>1218628131302576129</v>
      </c>
      <c r="F643" s="13"/>
      <c r="G643" s="11" t="s">
        <v>2961</v>
      </c>
      <c r="H643" s="13"/>
      <c r="I643" s="14">
        <v>0.0</v>
      </c>
      <c r="J643" s="14">
        <v>3.0</v>
      </c>
      <c r="K643" s="9" t="str">
        <f t="shared" ref="K643:K644" si="75">HYPERLINK("https://sproutsocial.com","Sprout Social")</f>
        <v>Sprout Social</v>
      </c>
      <c r="L643" s="15">
        <v>1152.0</v>
      </c>
      <c r="M643" s="15">
        <v>315.0</v>
      </c>
      <c r="N643" s="15">
        <v>6.0</v>
      </c>
      <c r="O643" s="21" t="s">
        <v>522</v>
      </c>
      <c r="P643" s="17">
        <v>43582.51064814815</v>
      </c>
      <c r="Q643" s="13"/>
      <c r="R643" s="10" t="s">
        <v>2962</v>
      </c>
      <c r="S643" s="11" t="s">
        <v>2963</v>
      </c>
      <c r="T643" s="13"/>
      <c r="U643" s="18" t="str">
        <f>HYPERLINK("https://pbs.twimg.com/profile_images/1134187324777140226/j46uE2gM.jpg","View")</f>
        <v>View</v>
      </c>
      <c r="V643" s="13"/>
      <c r="W643" s="13"/>
      <c r="X643" s="13"/>
      <c r="Y643" s="13"/>
      <c r="Z643" s="13"/>
    </row>
    <row r="644">
      <c r="A644" s="8">
        <v>43848.63612268519</v>
      </c>
      <c r="B644" s="9" t="str">
        <f>HYPERLINK("https://twitter.com/APPCPenn","@APPCPenn")</f>
        <v>@APPCPenn</v>
      </c>
      <c r="C644" s="10" t="s">
        <v>2964</v>
      </c>
      <c r="D644" s="10" t="s">
        <v>2965</v>
      </c>
      <c r="E644" s="9" t="str">
        <f>HYPERLINK("https://twitter.com/APPCPenn/status/1218628128219811840","1218628128219811840")</f>
        <v>1218628128219811840</v>
      </c>
      <c r="F644" s="11" t="s">
        <v>2966</v>
      </c>
      <c r="G644" s="13"/>
      <c r="H644" s="13"/>
      <c r="I644" s="14">
        <v>1.0</v>
      </c>
      <c r="J644" s="14">
        <v>0.0</v>
      </c>
      <c r="K644" s="9" t="str">
        <f t="shared" si="75"/>
        <v>Sprout Social</v>
      </c>
      <c r="L644" s="15">
        <v>2710.0</v>
      </c>
      <c r="M644" s="15">
        <v>1228.0</v>
      </c>
      <c r="N644" s="15">
        <v>143.0</v>
      </c>
      <c r="O644" s="21" t="s">
        <v>522</v>
      </c>
      <c r="P644" s="17">
        <v>41563.58641203704</v>
      </c>
      <c r="Q644" s="10" t="s">
        <v>2967</v>
      </c>
      <c r="R644" s="10" t="s">
        <v>2968</v>
      </c>
      <c r="S644" s="11" t="s">
        <v>2969</v>
      </c>
      <c r="T644" s="13"/>
      <c r="U644" s="18" t="str">
        <f>HYPERLINK("https://pbs.twimg.com/profile_images/378800000609606525/f656df0c7812d25afc315b5b18070a78.png","View")</f>
        <v>View</v>
      </c>
      <c r="V644" s="13"/>
      <c r="W644" s="13"/>
      <c r="X644" s="13"/>
      <c r="Y644" s="13"/>
      <c r="Z644" s="13"/>
    </row>
    <row r="645">
      <c r="A645" s="8">
        <v>43848.63611111111</v>
      </c>
      <c r="B645" s="9" t="str">
        <f>HYPERLINK("https://twitter.com/AbtIslamNet","@AbtIslamNet")</f>
        <v>@AbtIslamNet</v>
      </c>
      <c r="C645" s="10" t="s">
        <v>2970</v>
      </c>
      <c r="D645" s="10" t="s">
        <v>2971</v>
      </c>
      <c r="E645" s="9" t="str">
        <f>HYPERLINK("https://twitter.com/AbtIslamNet/status/1218628125690617856","1218628125690617856")</f>
        <v>1218628125690617856</v>
      </c>
      <c r="F645" s="11" t="s">
        <v>2972</v>
      </c>
      <c r="G645" s="13"/>
      <c r="H645" s="13"/>
      <c r="I645" s="14">
        <v>1.0</v>
      </c>
      <c r="J645" s="14">
        <v>5.0</v>
      </c>
      <c r="K645" s="9" t="str">
        <f>HYPERLINK("https://buffer.com","Buffer")</f>
        <v>Buffer</v>
      </c>
      <c r="L645" s="15">
        <v>8784.0</v>
      </c>
      <c r="M645" s="15">
        <v>448.0</v>
      </c>
      <c r="N645" s="15">
        <v>97.0</v>
      </c>
      <c r="O645" s="16"/>
      <c r="P645" s="17">
        <v>42365.342569444445</v>
      </c>
      <c r="Q645" s="13"/>
      <c r="R645" s="10" t="s">
        <v>2973</v>
      </c>
      <c r="S645" s="11" t="s">
        <v>2974</v>
      </c>
      <c r="T645" s="13"/>
      <c r="U645" s="18" t="str">
        <f>HYPERLINK("https://pbs.twimg.com/profile_images/1137780168406290437/_FMULZmG.png","View")</f>
        <v>View</v>
      </c>
      <c r="V645" s="13"/>
      <c r="W645" s="13"/>
      <c r="X645" s="13"/>
      <c r="Y645" s="13"/>
      <c r="Z645" s="13"/>
    </row>
    <row r="646">
      <c r="A646" s="8">
        <v>43848.635729166665</v>
      </c>
      <c r="B646" s="9" t="str">
        <f>HYPERLINK("https://twitter.com/italentsg","@italentsg")</f>
        <v>@italentsg</v>
      </c>
      <c r="C646" s="10" t="s">
        <v>539</v>
      </c>
      <c r="D646" s="10" t="s">
        <v>540</v>
      </c>
      <c r="E646" s="9" t="str">
        <f>HYPERLINK("https://twitter.com/italentsg/status/1218627984380321793","1218627984380321793")</f>
        <v>1218627984380321793</v>
      </c>
      <c r="F646" s="11" t="s">
        <v>2975</v>
      </c>
      <c r="G646" s="13"/>
      <c r="H646" s="13"/>
      <c r="I646" s="14">
        <v>0.0</v>
      </c>
      <c r="J646" s="14">
        <v>0.0</v>
      </c>
      <c r="K646" s="9" t="str">
        <f>HYPERLINK("http://www.linkedin.com/","LinkedIn")</f>
        <v>LinkedIn</v>
      </c>
      <c r="L646" s="15">
        <v>462.0</v>
      </c>
      <c r="M646" s="15">
        <v>684.0</v>
      </c>
      <c r="N646" s="15">
        <v>8.0</v>
      </c>
      <c r="O646" s="16"/>
      <c r="P646" s="17">
        <v>42752.054560185185</v>
      </c>
      <c r="Q646" s="10" t="s">
        <v>542</v>
      </c>
      <c r="R646" s="10" t="s">
        <v>543</v>
      </c>
      <c r="S646" s="11" t="s">
        <v>544</v>
      </c>
      <c r="T646" s="13"/>
      <c r="U646" s="18" t="str">
        <f>HYPERLINK("https://pbs.twimg.com/profile_images/906060154029924352/TJMFvrRl.jpg","View")</f>
        <v>View</v>
      </c>
      <c r="V646" s="13"/>
      <c r="W646" s="13"/>
      <c r="X646" s="13"/>
      <c r="Y646" s="13"/>
      <c r="Z646" s="13"/>
    </row>
    <row r="647">
      <c r="A647" s="8">
        <v>43848.63548611111</v>
      </c>
      <c r="B647" s="9" t="str">
        <f>HYPERLINK("https://twitter.com/DrHyken","@DrHyken")</f>
        <v>@DrHyken</v>
      </c>
      <c r="C647" s="10" t="s">
        <v>1607</v>
      </c>
      <c r="D647" s="10" t="s">
        <v>2976</v>
      </c>
      <c r="E647" s="9" t="str">
        <f>HYPERLINK("https://twitter.com/DrHyken/status/1218627898527055873","1218627898527055873")</f>
        <v>1218627898527055873</v>
      </c>
      <c r="F647" s="11" t="s">
        <v>2977</v>
      </c>
      <c r="G647" s="13"/>
      <c r="H647" s="13"/>
      <c r="I647" s="14">
        <v>1.0</v>
      </c>
      <c r="J647" s="14">
        <v>0.0</v>
      </c>
      <c r="K647" s="9" t="str">
        <f>HYPERLINK("https://www.hootsuite.com","Hootsuite Inc.")</f>
        <v>Hootsuite Inc.</v>
      </c>
      <c r="L647" s="15">
        <v>20094.0</v>
      </c>
      <c r="M647" s="15">
        <v>7758.0</v>
      </c>
      <c r="N647" s="15">
        <v>455.0</v>
      </c>
      <c r="O647" s="16"/>
      <c r="P647" s="17">
        <v>40020.89127314815</v>
      </c>
      <c r="Q647" s="10" t="s">
        <v>1610</v>
      </c>
      <c r="R647" s="10" t="s">
        <v>1611</v>
      </c>
      <c r="S647" s="11" t="s">
        <v>1612</v>
      </c>
      <c r="T647" s="13"/>
      <c r="U647" s="18" t="str">
        <f>HYPERLINK("https://pbs.twimg.com/profile_images/1193920759304990721/1P39cwRb.jpg","View")</f>
        <v>View</v>
      </c>
      <c r="V647" s="13"/>
      <c r="W647" s="13"/>
      <c r="X647" s="13"/>
      <c r="Y647" s="13"/>
      <c r="Z647" s="13"/>
    </row>
    <row r="648">
      <c r="A648" s="8">
        <v>43848.63543981481</v>
      </c>
      <c r="B648" s="9" t="str">
        <f>HYPERLINK("https://twitter.com/HealthyPlace","@HealthyPlace")</f>
        <v>@HealthyPlace</v>
      </c>
      <c r="C648" s="10" t="s">
        <v>1457</v>
      </c>
      <c r="D648" s="10" t="s">
        <v>2978</v>
      </c>
      <c r="E648" s="9" t="str">
        <f>HYPERLINK("https://twitter.com/HealthyPlace/status/1218627882672586752","1218627882672586752")</f>
        <v>1218627882672586752</v>
      </c>
      <c r="F648" s="11" t="s">
        <v>2979</v>
      </c>
      <c r="G648" s="11" t="s">
        <v>2980</v>
      </c>
      <c r="H648" s="13"/>
      <c r="I648" s="14">
        <v>1.0</v>
      </c>
      <c r="J648" s="14">
        <v>2.0</v>
      </c>
      <c r="K648" s="9" t="str">
        <f>HYPERLINK("https://sproutsocial.com","Sprout Social")</f>
        <v>Sprout Social</v>
      </c>
      <c r="L648" s="15">
        <v>64943.0</v>
      </c>
      <c r="M648" s="15">
        <v>25049.0</v>
      </c>
      <c r="N648" s="15">
        <v>1710.0</v>
      </c>
      <c r="O648" s="16"/>
      <c r="P648" s="17">
        <v>39681.03928240741</v>
      </c>
      <c r="Q648" s="10" t="s">
        <v>1460</v>
      </c>
      <c r="R648" s="10" t="s">
        <v>1461</v>
      </c>
      <c r="S648" s="11" t="s">
        <v>1462</v>
      </c>
      <c r="T648" s="13"/>
      <c r="U648" s="18" t="str">
        <f>HYPERLINK("https://pbs.twimg.com/profile_images/753613454083252225/i5pr2xny.jpg","View")</f>
        <v>View</v>
      </c>
      <c r="V648" s="13"/>
      <c r="W648" s="13"/>
      <c r="X648" s="13"/>
      <c r="Y648" s="13"/>
      <c r="Z648" s="13"/>
    </row>
    <row r="649">
      <c r="A649" s="8">
        <v>43848.63517361111</v>
      </c>
      <c r="B649" s="9" t="str">
        <f>HYPERLINK("https://twitter.com/rTMSCentre","@rTMSCentre")</f>
        <v>@rTMSCentre</v>
      </c>
      <c r="C649" s="10" t="s">
        <v>2981</v>
      </c>
      <c r="D649" s="10" t="s">
        <v>2982</v>
      </c>
      <c r="E649" s="9" t="str">
        <f>HYPERLINK("https://twitter.com/rTMSCentre/status/1218627782546161665","1218627782546161665")</f>
        <v>1218627782546161665</v>
      </c>
      <c r="F649" s="11" t="s">
        <v>2983</v>
      </c>
      <c r="G649" s="13"/>
      <c r="H649" s="13"/>
      <c r="I649" s="14">
        <v>1.0</v>
      </c>
      <c r="J649" s="14">
        <v>0.0</v>
      </c>
      <c r="K649" s="9" t="str">
        <f>HYPERLINK("http://twitter.com","Twitter Web Client")</f>
        <v>Twitter Web Client</v>
      </c>
      <c r="L649" s="15">
        <v>439.0</v>
      </c>
      <c r="M649" s="15">
        <v>134.0</v>
      </c>
      <c r="N649" s="15">
        <v>7.0</v>
      </c>
      <c r="O649" s="16"/>
      <c r="P649" s="17">
        <v>42297.706608796296</v>
      </c>
      <c r="Q649" s="10" t="s">
        <v>1244</v>
      </c>
      <c r="R649" s="10" t="s">
        <v>2984</v>
      </c>
      <c r="S649" s="11" t="s">
        <v>2985</v>
      </c>
      <c r="T649" s="13"/>
      <c r="U649" s="18" t="str">
        <f>HYPERLINK("https://pbs.twimg.com/profile_images/1126966070164762624/Yl-l_YVC.png","View")</f>
        <v>View</v>
      </c>
      <c r="V649" s="13"/>
      <c r="W649" s="13"/>
      <c r="X649" s="13"/>
      <c r="Y649" s="13"/>
      <c r="Z649" s="13"/>
    </row>
    <row r="650">
      <c r="A650" s="8">
        <v>43848.63451388889</v>
      </c>
      <c r="B650" s="9" t="str">
        <f>HYPERLINK("https://twitter.com/FathersRightsHQ","@FathersRightsHQ")</f>
        <v>@FathersRightsHQ</v>
      </c>
      <c r="C650" s="10" t="s">
        <v>2986</v>
      </c>
      <c r="D650" s="10" t="s">
        <v>1918</v>
      </c>
      <c r="E650" s="9" t="str">
        <f>HYPERLINK("https://twitter.com/FathersRightsHQ/status/1218627544032956420","1218627544032956420")</f>
        <v>1218627544032956420</v>
      </c>
      <c r="F650" s="11" t="s">
        <v>1919</v>
      </c>
      <c r="G650" s="13"/>
      <c r="H650" s="13"/>
      <c r="I650" s="14">
        <v>1.0</v>
      </c>
      <c r="J650" s="14">
        <v>1.0</v>
      </c>
      <c r="K650" s="9" t="str">
        <f>HYPERLINK("https://paper.li","Paper.li")</f>
        <v>Paper.li</v>
      </c>
      <c r="L650" s="15">
        <v>274.0</v>
      </c>
      <c r="M650" s="15">
        <v>433.0</v>
      </c>
      <c r="N650" s="15">
        <v>16.0</v>
      </c>
      <c r="O650" s="16"/>
      <c r="P650" s="17">
        <v>42042.767175925925</v>
      </c>
      <c r="Q650" s="13"/>
      <c r="R650" s="10" t="s">
        <v>2987</v>
      </c>
      <c r="S650" s="11" t="s">
        <v>2988</v>
      </c>
      <c r="T650" s="13"/>
      <c r="U650" s="18" t="str">
        <f>HYPERLINK("https://pbs.twimg.com/profile_images/564204435287445504/8tEB0fLH.png","View")</f>
        <v>View</v>
      </c>
      <c r="V650" s="13"/>
      <c r="W650" s="13"/>
      <c r="X650" s="13"/>
      <c r="Y650" s="13"/>
      <c r="Z650" s="13"/>
    </row>
    <row r="651">
      <c r="A651" s="8">
        <v>43848.63403935185</v>
      </c>
      <c r="B651" s="9" t="str">
        <f>HYPERLINK("https://twitter.com/Yaya_Tales","@Yaya_Tales")</f>
        <v>@Yaya_Tales</v>
      </c>
      <c r="C651" s="10" t="s">
        <v>2989</v>
      </c>
      <c r="D651" s="10" t="s">
        <v>2990</v>
      </c>
      <c r="E651" s="9" t="str">
        <f>HYPERLINK("https://twitter.com/Yaya_Tales/status/1218627374646013952","1218627374646013952")</f>
        <v>1218627374646013952</v>
      </c>
      <c r="F651" s="11" t="s">
        <v>2991</v>
      </c>
      <c r="G651" s="11" t="s">
        <v>2992</v>
      </c>
      <c r="H651" s="13"/>
      <c r="I651" s="14">
        <v>3.0</v>
      </c>
      <c r="J651" s="14">
        <v>2.0</v>
      </c>
      <c r="K651" s="9" t="str">
        <f>HYPERLINK("https://buffer.com","Buffer")</f>
        <v>Buffer</v>
      </c>
      <c r="L651" s="15">
        <v>3637.0</v>
      </c>
      <c r="M651" s="15">
        <v>3278.0</v>
      </c>
      <c r="N651" s="15">
        <v>30.0</v>
      </c>
      <c r="O651" s="16"/>
      <c r="P651" s="17">
        <v>43223.36890046296</v>
      </c>
      <c r="Q651" s="10" t="s">
        <v>95</v>
      </c>
      <c r="R651" s="10" t="s">
        <v>2993</v>
      </c>
      <c r="S651" s="11" t="s">
        <v>2994</v>
      </c>
      <c r="T651" s="13"/>
      <c r="U651" s="18" t="str">
        <f>HYPERLINK("https://pbs.twimg.com/profile_images/1187646576765947905/WfjuSBZI.jpg","View")</f>
        <v>View</v>
      </c>
      <c r="V651" s="13"/>
      <c r="W651" s="13"/>
      <c r="X651" s="13"/>
      <c r="Y651" s="13"/>
      <c r="Z651" s="13"/>
    </row>
    <row r="652">
      <c r="A652" s="8">
        <v>43848.63319444444</v>
      </c>
      <c r="B652" s="9" t="str">
        <f>HYPERLINK("https://twitter.com/mhca2017","@mhca2017")</f>
        <v>@mhca2017</v>
      </c>
      <c r="C652" s="10" t="s">
        <v>2995</v>
      </c>
      <c r="D652" s="10" t="s">
        <v>2996</v>
      </c>
      <c r="E652" s="9" t="str">
        <f>HYPERLINK("https://twitter.com/mhca2017/status/1218627065337012225","1218627065337012225")</f>
        <v>1218627065337012225</v>
      </c>
      <c r="F652" s="11" t="s">
        <v>2997</v>
      </c>
      <c r="G652" s="13"/>
      <c r="H652" s="13"/>
      <c r="I652" s="14">
        <v>1.0</v>
      </c>
      <c r="J652" s="14">
        <v>0.0</v>
      </c>
      <c r="K652" s="9" t="str">
        <f t="shared" ref="K652:K653" si="76">HYPERLINK("http://twitter.com/download/android","Twitter for Android")</f>
        <v>Twitter for Android</v>
      </c>
      <c r="L652" s="15">
        <v>314.0</v>
      </c>
      <c r="M652" s="15">
        <v>110.0</v>
      </c>
      <c r="N652" s="15">
        <v>1.0</v>
      </c>
      <c r="O652" s="16"/>
      <c r="P652" s="17">
        <v>43249.65298611111</v>
      </c>
      <c r="Q652" s="10" t="s">
        <v>2998</v>
      </c>
      <c r="R652" s="10" t="s">
        <v>2999</v>
      </c>
      <c r="S652" s="13"/>
      <c r="T652" s="13"/>
      <c r="U652" s="18" t="str">
        <f>HYPERLINK("https://pbs.twimg.com/profile_images/1001776443943251968/2HeE3Eyx.jpg","View")</f>
        <v>View</v>
      </c>
      <c r="V652" s="13"/>
      <c r="W652" s="13"/>
      <c r="X652" s="13"/>
      <c r="Y652" s="13"/>
      <c r="Z652" s="13"/>
    </row>
    <row r="653">
      <c r="A653" s="8">
        <v>43848.63303240741</v>
      </c>
      <c r="B653" s="9" t="str">
        <f>HYPERLINK("https://twitter.com/spaceandweather","@spaceandweather")</f>
        <v>@spaceandweather</v>
      </c>
      <c r="C653" s="10" t="s">
        <v>3000</v>
      </c>
      <c r="D653" s="10" t="s">
        <v>3001</v>
      </c>
      <c r="E653" s="9" t="str">
        <f>HYPERLINK("https://twitter.com/spaceandweather/status/1218627007031869440","1218627007031869440")</f>
        <v>1218627007031869440</v>
      </c>
      <c r="F653" s="13"/>
      <c r="G653" s="13"/>
      <c r="H653" s="13"/>
      <c r="I653" s="14">
        <v>2.0</v>
      </c>
      <c r="J653" s="14">
        <v>26.0</v>
      </c>
      <c r="K653" s="9" t="str">
        <f t="shared" si="76"/>
        <v>Twitter for Android</v>
      </c>
      <c r="L653" s="15">
        <v>710.0</v>
      </c>
      <c r="M653" s="15">
        <v>1804.0</v>
      </c>
      <c r="N653" s="15">
        <v>8.0</v>
      </c>
      <c r="O653" s="16"/>
      <c r="P653" s="17">
        <v>40667.953935185185</v>
      </c>
      <c r="Q653" s="10" t="s">
        <v>3002</v>
      </c>
      <c r="R653" s="10" t="s">
        <v>3003</v>
      </c>
      <c r="S653" s="13"/>
      <c r="T653" s="13"/>
      <c r="U653" s="18" t="str">
        <f>HYPERLINK("https://pbs.twimg.com/profile_images/1208960910900903936/9DpyoVlj.jpg","View")</f>
        <v>View</v>
      </c>
      <c r="V653" s="13"/>
      <c r="W653" s="13"/>
      <c r="X653" s="13"/>
      <c r="Y653" s="13"/>
      <c r="Z653" s="13"/>
    </row>
    <row r="654">
      <c r="A654" s="8">
        <v>43848.632986111115</v>
      </c>
      <c r="B654" s="9" t="str">
        <f>HYPERLINK("https://twitter.com/Mysewerlife","@Mysewerlife")</f>
        <v>@Mysewerlife</v>
      </c>
      <c r="C654" s="10" t="s">
        <v>3004</v>
      </c>
      <c r="D654" s="10" t="s">
        <v>3005</v>
      </c>
      <c r="E654" s="9" t="str">
        <f>HYPERLINK("https://twitter.com/Mysewerlife/status/1218626990959284225","1218626990959284225")</f>
        <v>1218626990959284225</v>
      </c>
      <c r="F654" s="13"/>
      <c r="G654" s="13"/>
      <c r="H654" s="13"/>
      <c r="I654" s="14">
        <v>0.0</v>
      </c>
      <c r="J654" s="14">
        <v>0.0</v>
      </c>
      <c r="K654" s="9" t="str">
        <f>HYPERLINK("https://mobile.twitter.com","Twitter Web App")</f>
        <v>Twitter Web App</v>
      </c>
      <c r="L654" s="15">
        <v>8.0</v>
      </c>
      <c r="M654" s="15">
        <v>72.0</v>
      </c>
      <c r="N654" s="15">
        <v>0.0</v>
      </c>
      <c r="O654" s="16"/>
      <c r="P654" s="17">
        <v>43780.12043981481</v>
      </c>
      <c r="Q654" s="13"/>
      <c r="R654" s="10" t="s">
        <v>3006</v>
      </c>
      <c r="S654" s="13"/>
      <c r="T654" s="13"/>
      <c r="U654" s="18" t="str">
        <f>HYPERLINK("https://pbs.twimg.com/profile_images/1212009858095955968/YRfo22aG.jpg","View")</f>
        <v>View</v>
      </c>
      <c r="V654" s="13"/>
      <c r="W654" s="13"/>
      <c r="X654" s="13"/>
      <c r="Y654" s="13"/>
      <c r="Z654" s="13"/>
    </row>
    <row r="655">
      <c r="A655" s="8">
        <v>43848.63277777778</v>
      </c>
      <c r="B655" s="9" t="str">
        <f>HYPERLINK("https://twitter.com/jared_levenson","@jared_levenson")</f>
        <v>@jared_levenson</v>
      </c>
      <c r="C655" s="10" t="s">
        <v>489</v>
      </c>
      <c r="D655" s="10" t="s">
        <v>3007</v>
      </c>
      <c r="E655" s="9" t="str">
        <f>HYPERLINK("https://twitter.com/jared_levenson/status/1218626917731008513","1218626917731008513")</f>
        <v>1218626917731008513</v>
      </c>
      <c r="F655" s="11" t="s">
        <v>3008</v>
      </c>
      <c r="G655" s="11" t="s">
        <v>3009</v>
      </c>
      <c r="H655" s="13"/>
      <c r="I655" s="14">
        <v>0.0</v>
      </c>
      <c r="J655" s="14">
        <v>0.0</v>
      </c>
      <c r="K655" s="9" t="str">
        <f>HYPERLINK("https://zapier.com/","Zapier.com")</f>
        <v>Zapier.com</v>
      </c>
      <c r="L655" s="15">
        <v>477.0</v>
      </c>
      <c r="M655" s="15">
        <v>877.0</v>
      </c>
      <c r="N655" s="15">
        <v>0.0</v>
      </c>
      <c r="O655" s="16"/>
      <c r="P655" s="17">
        <v>41108.46530092593</v>
      </c>
      <c r="Q655" s="10" t="s">
        <v>493</v>
      </c>
      <c r="R655" s="10" t="s">
        <v>494</v>
      </c>
      <c r="S655" s="11" t="s">
        <v>495</v>
      </c>
      <c r="T655" s="13"/>
      <c r="U655" s="18" t="str">
        <f>HYPERLINK("https://pbs.twimg.com/profile_images/1153693207957364736/_Dtm-6O6.jpg","View")</f>
        <v>View</v>
      </c>
      <c r="V655" s="13"/>
      <c r="W655" s="13"/>
      <c r="X655" s="13"/>
      <c r="Y655" s="13"/>
      <c r="Z655" s="13"/>
    </row>
    <row r="656">
      <c r="A656" s="8">
        <v>43848.63255787037</v>
      </c>
      <c r="B656" s="9" t="str">
        <f>HYPERLINK("https://twitter.com/lgibson12397","@lgibson12397")</f>
        <v>@lgibson12397</v>
      </c>
      <c r="C656" s="10" t="s">
        <v>3010</v>
      </c>
      <c r="D656" s="10" t="s">
        <v>3011</v>
      </c>
      <c r="E656" s="9" t="str">
        <f>HYPERLINK("https://twitter.com/lgibson12397/status/1218626838190272512","1218626838190272512")</f>
        <v>1218626838190272512</v>
      </c>
      <c r="F656" s="13"/>
      <c r="G656" s="13"/>
      <c r="H656" s="13"/>
      <c r="I656" s="14">
        <v>5.0</v>
      </c>
      <c r="J656" s="14">
        <v>32.0</v>
      </c>
      <c r="K656" s="9" t="str">
        <f t="shared" ref="K656:K658" si="77">HYPERLINK("http://twitter.com/download/android","Twitter for Android")</f>
        <v>Twitter for Android</v>
      </c>
      <c r="L656" s="15">
        <v>8912.0</v>
      </c>
      <c r="M656" s="15">
        <v>9794.0</v>
      </c>
      <c r="N656" s="15">
        <v>15.0</v>
      </c>
      <c r="O656" s="16"/>
      <c r="P656" s="17">
        <v>42002.58578703704</v>
      </c>
      <c r="Q656" s="13"/>
      <c r="R656" s="10" t="s">
        <v>3012</v>
      </c>
      <c r="S656" s="13"/>
      <c r="T656" s="13"/>
      <c r="U656" s="18" t="str">
        <f>HYPERLINK("https://pbs.twimg.com/profile_images/1022914492227760128/zjmy0zqU.jpg","View")</f>
        <v>View</v>
      </c>
      <c r="V656" s="13"/>
      <c r="W656" s="13"/>
      <c r="X656" s="13"/>
      <c r="Y656" s="13"/>
      <c r="Z656" s="13"/>
    </row>
    <row r="657">
      <c r="A657" s="8">
        <v>43848.63056712963</v>
      </c>
      <c r="B657" s="9" t="str">
        <f>HYPERLINK("https://twitter.com/BabyBear6889","@BabyBear6889")</f>
        <v>@BabyBear6889</v>
      </c>
      <c r="C657" s="10" t="s">
        <v>3013</v>
      </c>
      <c r="D657" s="10" t="s">
        <v>3014</v>
      </c>
      <c r="E657" s="9" t="str">
        <f>HYPERLINK("https://twitter.com/BabyBear6889/status/1218626114521833473","1218626114521833473")</f>
        <v>1218626114521833473</v>
      </c>
      <c r="F657" s="13"/>
      <c r="G657" s="11" t="s">
        <v>3015</v>
      </c>
      <c r="H657" s="13"/>
      <c r="I657" s="14">
        <v>0.0</v>
      </c>
      <c r="J657" s="14">
        <v>2.0</v>
      </c>
      <c r="K657" s="9" t="str">
        <f t="shared" si="77"/>
        <v>Twitter for Android</v>
      </c>
      <c r="L657" s="15">
        <v>227.0</v>
      </c>
      <c r="M657" s="15">
        <v>547.0</v>
      </c>
      <c r="N657" s="15">
        <v>0.0</v>
      </c>
      <c r="O657" s="16"/>
      <c r="P657" s="17">
        <v>43670.20446759259</v>
      </c>
      <c r="Q657" s="10" t="s">
        <v>3016</v>
      </c>
      <c r="R657" s="10" t="s">
        <v>3017</v>
      </c>
      <c r="S657" s="11" t="s">
        <v>3018</v>
      </c>
      <c r="T657" s="13"/>
      <c r="U657" s="18" t="str">
        <f>HYPERLINK("https://pbs.twimg.com/profile_images/1217017246813323264/YC5TGG8b.jpg","View")</f>
        <v>View</v>
      </c>
      <c r="V657" s="13"/>
      <c r="W657" s="13"/>
      <c r="X657" s="13"/>
      <c r="Y657" s="13"/>
      <c r="Z657" s="13"/>
    </row>
    <row r="658">
      <c r="A658" s="8">
        <v>43848.63050925926</v>
      </c>
      <c r="B658" s="9" t="str">
        <f>HYPERLINK("https://twitter.com/mhca2017","@mhca2017")</f>
        <v>@mhca2017</v>
      </c>
      <c r="C658" s="10" t="s">
        <v>2995</v>
      </c>
      <c r="D658" s="10" t="s">
        <v>3019</v>
      </c>
      <c r="E658" s="9" t="str">
        <f>HYPERLINK("https://twitter.com/mhca2017/status/1218626094544367621","1218626094544367621")</f>
        <v>1218626094544367621</v>
      </c>
      <c r="F658" s="10" t="s">
        <v>3020</v>
      </c>
      <c r="G658" s="13"/>
      <c r="H658" s="13"/>
      <c r="I658" s="14">
        <v>0.0</v>
      </c>
      <c r="J658" s="14">
        <v>0.0</v>
      </c>
      <c r="K658" s="9" t="str">
        <f t="shared" si="77"/>
        <v>Twitter for Android</v>
      </c>
      <c r="L658" s="15">
        <v>314.0</v>
      </c>
      <c r="M658" s="15">
        <v>110.0</v>
      </c>
      <c r="N658" s="15">
        <v>1.0</v>
      </c>
      <c r="O658" s="16"/>
      <c r="P658" s="17">
        <v>43249.65298611111</v>
      </c>
      <c r="Q658" s="10" t="s">
        <v>2998</v>
      </c>
      <c r="R658" s="10" t="s">
        <v>2999</v>
      </c>
      <c r="S658" s="13"/>
      <c r="T658" s="13"/>
      <c r="U658" s="18" t="str">
        <f>HYPERLINK("https://pbs.twimg.com/profile_images/1001776443943251968/2HeE3Eyx.jpg","View")</f>
        <v>View</v>
      </c>
      <c r="V658" s="13"/>
      <c r="W658" s="13"/>
      <c r="X658" s="13"/>
      <c r="Y658" s="13"/>
      <c r="Z658" s="13"/>
    </row>
    <row r="659">
      <c r="A659" s="8">
        <v>43848.62918981482</v>
      </c>
      <c r="B659" s="9" t="str">
        <f>HYPERLINK("https://twitter.com/AmazonAutism","@AmazonAutism")</f>
        <v>@AmazonAutism</v>
      </c>
      <c r="C659" s="10" t="s">
        <v>662</v>
      </c>
      <c r="D659" s="10" t="s">
        <v>3021</v>
      </c>
      <c r="E659" s="9" t="str">
        <f>HYPERLINK("https://twitter.com/AmazonAutism/status/1218625615986855936","1218625615986855936")</f>
        <v>1218625615986855936</v>
      </c>
      <c r="F659" s="11" t="s">
        <v>3022</v>
      </c>
      <c r="G659" s="11" t="s">
        <v>3023</v>
      </c>
      <c r="H659" s="13"/>
      <c r="I659" s="14">
        <v>0.0</v>
      </c>
      <c r="J659" s="14">
        <v>0.0</v>
      </c>
      <c r="K659" s="9" t="str">
        <f>HYPERLINK("https://buffer.com","Buffer")</f>
        <v>Buffer</v>
      </c>
      <c r="L659" s="15">
        <v>557.0</v>
      </c>
      <c r="M659" s="15">
        <v>462.0</v>
      </c>
      <c r="N659" s="15">
        <v>8.0</v>
      </c>
      <c r="O659" s="16"/>
      <c r="P659" s="17">
        <v>43292.45008101852</v>
      </c>
      <c r="Q659" s="10" t="s">
        <v>24</v>
      </c>
      <c r="R659" s="10" t="s">
        <v>666</v>
      </c>
      <c r="S659" s="13"/>
      <c r="T659" s="13"/>
      <c r="U659" s="18" t="str">
        <f>HYPERLINK("https://pbs.twimg.com/profile_images/1035577601291706368/DU1nXdl5.jpg","View")</f>
        <v>View</v>
      </c>
      <c r="V659" s="13"/>
      <c r="W659" s="13"/>
      <c r="X659" s="13"/>
      <c r="Y659" s="13"/>
      <c r="Z659" s="13"/>
    </row>
    <row r="660">
      <c r="A660" s="8">
        <v>43848.628854166665</v>
      </c>
      <c r="B660" s="9" t="str">
        <f>HYPERLINK("https://twitter.com/TheRealHonz","@TheRealHonz")</f>
        <v>@TheRealHonz</v>
      </c>
      <c r="C660" s="10" t="s">
        <v>3024</v>
      </c>
      <c r="D660" s="10" t="s">
        <v>3025</v>
      </c>
      <c r="E660" s="9" t="str">
        <f>HYPERLINK("https://twitter.com/TheRealHonz/status/1218625494964494337","1218625494964494337")</f>
        <v>1218625494964494337</v>
      </c>
      <c r="F660" s="11" t="s">
        <v>3026</v>
      </c>
      <c r="G660" s="13"/>
      <c r="H660" s="13"/>
      <c r="I660" s="14">
        <v>0.0</v>
      </c>
      <c r="J660" s="14">
        <v>0.0</v>
      </c>
      <c r="K660" s="9" t="str">
        <f>HYPERLINK("https://mobile.twitter.com","Twitter Web App")</f>
        <v>Twitter Web App</v>
      </c>
      <c r="L660" s="15">
        <v>427.0</v>
      </c>
      <c r="M660" s="15">
        <v>1676.0</v>
      </c>
      <c r="N660" s="15">
        <v>161.0</v>
      </c>
      <c r="O660" s="16"/>
      <c r="P660" s="17">
        <v>40811.71332175926</v>
      </c>
      <c r="Q660" s="10" t="s">
        <v>3027</v>
      </c>
      <c r="R660" s="10" t="s">
        <v>3028</v>
      </c>
      <c r="S660" s="13"/>
      <c r="T660" s="13"/>
      <c r="U660" s="18" t="str">
        <f>HYPERLINK("https://pbs.twimg.com/profile_images/1559809590/Dark_Knight2.jpg","View")</f>
        <v>View</v>
      </c>
      <c r="V660" s="13"/>
      <c r="W660" s="13"/>
      <c r="X660" s="13"/>
      <c r="Y660" s="13"/>
      <c r="Z660" s="13"/>
    </row>
    <row r="661">
      <c r="A661" s="8">
        <v>43848.62858796296</v>
      </c>
      <c r="B661" s="9" t="str">
        <f>HYPERLINK("https://twitter.com/DPHarrison27","@DPHarrison27")</f>
        <v>@DPHarrison27</v>
      </c>
      <c r="C661" s="10" t="s">
        <v>3029</v>
      </c>
      <c r="D661" s="10" t="s">
        <v>3030</v>
      </c>
      <c r="E661" s="9" t="str">
        <f>HYPERLINK("https://twitter.com/DPHarrison27/status/1218625399078510593","1218625399078510593")</f>
        <v>1218625399078510593</v>
      </c>
      <c r="F661" s="11" t="s">
        <v>3031</v>
      </c>
      <c r="G661" s="13"/>
      <c r="H661" s="13"/>
      <c r="I661" s="14">
        <v>0.0</v>
      </c>
      <c r="J661" s="14">
        <v>2.0</v>
      </c>
      <c r="K661" s="9" t="str">
        <f>HYPERLINK("http://twitter.com/download/android","Twitter for Android")</f>
        <v>Twitter for Android</v>
      </c>
      <c r="L661" s="15">
        <v>236.0</v>
      </c>
      <c r="M661" s="15">
        <v>274.0</v>
      </c>
      <c r="N661" s="15">
        <v>4.0</v>
      </c>
      <c r="O661" s="16"/>
      <c r="P661" s="17">
        <v>40057.68653935185</v>
      </c>
      <c r="Q661" s="10" t="s">
        <v>3032</v>
      </c>
      <c r="R661" s="10" t="s">
        <v>3033</v>
      </c>
      <c r="S661" s="13"/>
      <c r="T661" s="13"/>
      <c r="U661" s="18" t="str">
        <f>HYPERLINK("https://pbs.twimg.com/profile_images/1194521229170020352/pmu_BC2_.jpg","View")</f>
        <v>View</v>
      </c>
      <c r="V661" s="13"/>
      <c r="W661" s="13"/>
      <c r="X661" s="13"/>
      <c r="Y661" s="13"/>
      <c r="Z661" s="13"/>
    </row>
    <row r="662">
      <c r="A662" s="8">
        <v>43848.628541666665</v>
      </c>
      <c r="B662" s="9" t="str">
        <f>HYPERLINK("https://twitter.com/djemal_ua","@djemal_ua")</f>
        <v>@djemal_ua</v>
      </c>
      <c r="C662" s="10" t="s">
        <v>1161</v>
      </c>
      <c r="D662" s="10" t="s">
        <v>3034</v>
      </c>
      <c r="E662" s="9" t="str">
        <f>HYPERLINK("https://twitter.com/djemal_ua/status/1218625381244207105","1218625381244207105")</f>
        <v>1218625381244207105</v>
      </c>
      <c r="F662" s="11" t="s">
        <v>3035</v>
      </c>
      <c r="G662" s="13"/>
      <c r="H662" s="13"/>
      <c r="I662" s="14">
        <v>0.0</v>
      </c>
      <c r="J662" s="14">
        <v>0.0</v>
      </c>
      <c r="K662" s="9" t="str">
        <f>HYPERLINK("https://www.hootsuite.com","Hootsuite Inc.")</f>
        <v>Hootsuite Inc.</v>
      </c>
      <c r="L662" s="15">
        <v>5127.0</v>
      </c>
      <c r="M662" s="15">
        <v>4724.0</v>
      </c>
      <c r="N662" s="15">
        <v>60.0</v>
      </c>
      <c r="O662" s="16"/>
      <c r="P662" s="17">
        <v>43530.25729166667</v>
      </c>
      <c r="Q662" s="10" t="s">
        <v>95</v>
      </c>
      <c r="R662" s="10" t="s">
        <v>1164</v>
      </c>
      <c r="S662" s="11" t="s">
        <v>1165</v>
      </c>
      <c r="T662" s="13"/>
      <c r="U662" s="18" t="str">
        <f>HYPERLINK("https://pbs.twimg.com/profile_images/1202978381106761728/aqUhVSTO.jpg","View")</f>
        <v>View</v>
      </c>
      <c r="V662" s="13"/>
      <c r="W662" s="13"/>
      <c r="X662" s="13"/>
      <c r="Y662" s="13"/>
      <c r="Z662" s="13"/>
    </row>
    <row r="663">
      <c r="A663" s="8">
        <v>43848.628287037034</v>
      </c>
      <c r="B663" s="9" t="str">
        <f>HYPERLINK("https://twitter.com/AndyMargett","@AndyMargett")</f>
        <v>@AndyMargett</v>
      </c>
      <c r="C663" s="10" t="s">
        <v>968</v>
      </c>
      <c r="D663" s="10" t="s">
        <v>3036</v>
      </c>
      <c r="E663" s="9" t="str">
        <f>HYPERLINK("https://twitter.com/AndyMargett/status/1218625287803543552","1218625287803543552")</f>
        <v>1218625287803543552</v>
      </c>
      <c r="F663" s="13"/>
      <c r="G663" s="11" t="s">
        <v>3037</v>
      </c>
      <c r="H663" s="13"/>
      <c r="I663" s="14">
        <v>0.0</v>
      </c>
      <c r="J663" s="14">
        <v>1.0</v>
      </c>
      <c r="K663" s="9" t="str">
        <f>HYPERLINK("http://twitter.com/download/iphone","Twitter for iPhone")</f>
        <v>Twitter for iPhone</v>
      </c>
      <c r="L663" s="15">
        <v>3562.0</v>
      </c>
      <c r="M663" s="15">
        <v>3141.0</v>
      </c>
      <c r="N663" s="15">
        <v>29.0</v>
      </c>
      <c r="O663" s="16"/>
      <c r="P663" s="17">
        <v>40694.744733796295</v>
      </c>
      <c r="Q663" s="10" t="s">
        <v>971</v>
      </c>
      <c r="R663" s="10" t="s">
        <v>972</v>
      </c>
      <c r="S663" s="11" t="s">
        <v>973</v>
      </c>
      <c r="T663" s="13"/>
      <c r="U663" s="18" t="str">
        <f>HYPERLINK("https://pbs.twimg.com/profile_images/1203102081357361153/X4xxruQJ.jpg","View")</f>
        <v>View</v>
      </c>
      <c r="V663" s="13"/>
      <c r="W663" s="13"/>
      <c r="X663" s="13"/>
      <c r="Y663" s="13"/>
      <c r="Z663" s="13"/>
    </row>
    <row r="664">
      <c r="A664" s="8">
        <v>43848.62825231481</v>
      </c>
      <c r="B664" s="9" t="str">
        <f>HYPERLINK("https://twitter.com/vitalizedfuture","@vitalizedfuture")</f>
        <v>@vitalizedfuture</v>
      </c>
      <c r="C664" s="10" t="s">
        <v>3038</v>
      </c>
      <c r="D664" s="10" t="s">
        <v>3039</v>
      </c>
      <c r="E664" s="9" t="str">
        <f>HYPERLINK("https://twitter.com/vitalizedfuture/status/1218625276193771532","1218625276193771532")</f>
        <v>1218625276193771532</v>
      </c>
      <c r="F664" s="11" t="s">
        <v>3040</v>
      </c>
      <c r="G664" s="13"/>
      <c r="H664" s="13"/>
      <c r="I664" s="14">
        <v>0.0</v>
      </c>
      <c r="J664" s="14">
        <v>0.0</v>
      </c>
      <c r="K664" s="9" t="str">
        <f>HYPERLINK("https://vitalizedfuture.com","vitalizedfuture Tweet App")</f>
        <v>vitalizedfuture Tweet App</v>
      </c>
      <c r="L664" s="15">
        <v>4707.0</v>
      </c>
      <c r="M664" s="15">
        <v>5068.0</v>
      </c>
      <c r="N664" s="15">
        <v>9.0</v>
      </c>
      <c r="O664" s="16"/>
      <c r="P664" s="17">
        <v>43547.41599537037</v>
      </c>
      <c r="Q664" s="10" t="s">
        <v>2102</v>
      </c>
      <c r="R664" s="10" t="s">
        <v>3041</v>
      </c>
      <c r="S664" s="11" t="s">
        <v>3042</v>
      </c>
      <c r="T664" s="13"/>
      <c r="U664" s="18" t="str">
        <f>HYPERLINK("https://pbs.twimg.com/profile_images/1110633387587526657/cIGwdRtj.png","View")</f>
        <v>View</v>
      </c>
      <c r="V664" s="13"/>
      <c r="W664" s="13"/>
      <c r="X664" s="13"/>
      <c r="Y664" s="13"/>
      <c r="Z664" s="13"/>
    </row>
    <row r="665">
      <c r="A665" s="8">
        <v>43848.62814814815</v>
      </c>
      <c r="B665" s="9" t="str">
        <f>HYPERLINK("https://twitter.com/philopsychotic","@philopsychotic")</f>
        <v>@philopsychotic</v>
      </c>
      <c r="C665" s="10" t="s">
        <v>3043</v>
      </c>
      <c r="D665" s="10" t="s">
        <v>3044</v>
      </c>
      <c r="E665" s="9" t="str">
        <f>HYPERLINK("https://twitter.com/philopsychotic/status/1218625238595817477","1218625238595817477")</f>
        <v>1218625238595817477</v>
      </c>
      <c r="F665" s="13"/>
      <c r="G665" s="13"/>
      <c r="H665" s="13"/>
      <c r="I665" s="14">
        <v>0.0</v>
      </c>
      <c r="J665" s="14">
        <v>0.0</v>
      </c>
      <c r="K665" s="9" t="str">
        <f>HYPERLINK("http://twitter.com/download/iphone","Twitter for iPhone")</f>
        <v>Twitter for iPhone</v>
      </c>
      <c r="L665" s="15">
        <v>39.0</v>
      </c>
      <c r="M665" s="15">
        <v>37.0</v>
      </c>
      <c r="N665" s="15">
        <v>1.0</v>
      </c>
      <c r="O665" s="16"/>
      <c r="P665" s="17">
        <v>43788.54456018518</v>
      </c>
      <c r="Q665" s="13"/>
      <c r="R665" s="10" t="s">
        <v>3045</v>
      </c>
      <c r="S665" s="11" t="s">
        <v>3046</v>
      </c>
      <c r="T665" s="13"/>
      <c r="U665" s="18" t="str">
        <f>HYPERLINK("https://pbs.twimg.com/profile_images/1214043814316298241/VLifM5Nf.jpg","View")</f>
        <v>View</v>
      </c>
      <c r="V665" s="13"/>
      <c r="W665" s="13"/>
      <c r="X665" s="13"/>
      <c r="Y665" s="13"/>
      <c r="Z665" s="13"/>
    </row>
    <row r="666">
      <c r="A666" s="8">
        <v>43848.62792824074</v>
      </c>
      <c r="B666" s="9" t="str">
        <f>HYPERLINK("https://twitter.com/TheDopamineFlux","@TheDopamineFlux")</f>
        <v>@TheDopamineFlux</v>
      </c>
      <c r="C666" s="10" t="s">
        <v>3047</v>
      </c>
      <c r="D666" s="10" t="s">
        <v>3048</v>
      </c>
      <c r="E666" s="9" t="str">
        <f>HYPERLINK("https://twitter.com/TheDopamineFlux/status/1218625160535855109","1218625160535855109")</f>
        <v>1218625160535855109</v>
      </c>
      <c r="F666" s="11" t="s">
        <v>3049</v>
      </c>
      <c r="G666" s="13"/>
      <c r="H666" s="13"/>
      <c r="I666" s="14">
        <v>0.0</v>
      </c>
      <c r="J666" s="14">
        <v>1.0</v>
      </c>
      <c r="K666" s="9" t="str">
        <f>HYPERLINK("http://twitter.com","Twitter Web Client")</f>
        <v>Twitter Web Client</v>
      </c>
      <c r="L666" s="15">
        <v>473.0</v>
      </c>
      <c r="M666" s="15">
        <v>423.0</v>
      </c>
      <c r="N666" s="15">
        <v>4.0</v>
      </c>
      <c r="O666" s="16"/>
      <c r="P666" s="17">
        <v>43611.49140046297</v>
      </c>
      <c r="Q666" s="10" t="s">
        <v>3050</v>
      </c>
      <c r="R666" s="10" t="s">
        <v>3051</v>
      </c>
      <c r="S666" s="11" t="s">
        <v>3052</v>
      </c>
      <c r="T666" s="13"/>
      <c r="U666" s="18" t="str">
        <f>HYPERLINK("https://pbs.twimg.com/profile_images/1187548790582140928/jUZ6ff3J.jpg","View")</f>
        <v>View</v>
      </c>
      <c r="V666" s="13"/>
      <c r="W666" s="13"/>
      <c r="X666" s="13"/>
      <c r="Y666" s="13"/>
      <c r="Z666" s="13"/>
    </row>
    <row r="667">
      <c r="A667" s="8">
        <v>43848.62648148148</v>
      </c>
      <c r="B667" s="9" t="str">
        <f>HYPERLINK("https://twitter.com/TweetCorrineB","@TweetCorrineB")</f>
        <v>@TweetCorrineB</v>
      </c>
      <c r="C667" s="10" t="s">
        <v>3053</v>
      </c>
      <c r="D667" s="10" t="s">
        <v>3054</v>
      </c>
      <c r="E667" s="9" t="str">
        <f>HYPERLINK("https://twitter.com/TweetCorrineB/status/1218624636541292544","1218624636541292544")</f>
        <v>1218624636541292544</v>
      </c>
      <c r="F667" s="13"/>
      <c r="G667" s="11" t="s">
        <v>3055</v>
      </c>
      <c r="H667" s="13"/>
      <c r="I667" s="14">
        <v>6.0</v>
      </c>
      <c r="J667" s="14">
        <v>28.0</v>
      </c>
      <c r="K667" s="9" t="str">
        <f>HYPERLINK("http://twitter.com/download/iphone","Twitter for iPhone")</f>
        <v>Twitter for iPhone</v>
      </c>
      <c r="L667" s="15">
        <v>5095.0</v>
      </c>
      <c r="M667" s="15">
        <v>3969.0</v>
      </c>
      <c r="N667" s="15">
        <v>154.0</v>
      </c>
      <c r="O667" s="16"/>
      <c r="P667" s="17">
        <v>42096.8209375</v>
      </c>
      <c r="Q667" s="10" t="s">
        <v>3056</v>
      </c>
      <c r="R667" s="10" t="s">
        <v>3057</v>
      </c>
      <c r="S667" s="13"/>
      <c r="T667" s="13"/>
      <c r="U667" s="18" t="str">
        <f>HYPERLINK("https://pbs.twimg.com/profile_images/1192537075939069952/Q8_kLjDe.jpg","View")</f>
        <v>View</v>
      </c>
      <c r="V667" s="13"/>
      <c r="W667" s="13"/>
      <c r="X667" s="13"/>
      <c r="Y667" s="13"/>
      <c r="Z667" s="13"/>
    </row>
    <row r="668">
      <c r="A668" s="8">
        <v>43848.625821759255</v>
      </c>
      <c r="B668" s="9" t="str">
        <f>HYPERLINK("https://twitter.com/ParentingMH","@ParentingMH")</f>
        <v>@ParentingMH</v>
      </c>
      <c r="C668" s="10" t="s">
        <v>3058</v>
      </c>
      <c r="D668" s="10" t="s">
        <v>3059</v>
      </c>
      <c r="E668" s="9" t="str">
        <f>HYPERLINK("https://twitter.com/ParentingMH/status/1218624395163455493","1218624395163455493")</f>
        <v>1218624395163455493</v>
      </c>
      <c r="F668" s="11" t="s">
        <v>3060</v>
      </c>
      <c r="G668" s="11" t="s">
        <v>3061</v>
      </c>
      <c r="H668" s="13"/>
      <c r="I668" s="14">
        <v>0.0</v>
      </c>
      <c r="J668" s="14">
        <v>0.0</v>
      </c>
      <c r="K668" s="9" t="str">
        <f t="shared" ref="K668:K672" si="78">HYPERLINK("https://www.hootsuite.com","Hootsuite Inc.")</f>
        <v>Hootsuite Inc.</v>
      </c>
      <c r="L668" s="15">
        <v>482.0</v>
      </c>
      <c r="M668" s="15">
        <v>583.0</v>
      </c>
      <c r="N668" s="15">
        <v>6.0</v>
      </c>
      <c r="O668" s="16"/>
      <c r="P668" s="17">
        <v>41937.3233449074</v>
      </c>
      <c r="Q668" s="10" t="s">
        <v>2050</v>
      </c>
      <c r="R668" s="10" t="s">
        <v>3062</v>
      </c>
      <c r="S668" s="11" t="s">
        <v>3063</v>
      </c>
      <c r="T668" s="13"/>
      <c r="U668" s="18" t="str">
        <f>HYPERLINK("https://pbs.twimg.com/profile_images/1102956134246289409/Z6rSYrfM.png","View")</f>
        <v>View</v>
      </c>
      <c r="V668" s="13"/>
      <c r="W668" s="13"/>
      <c r="X668" s="13"/>
      <c r="Y668" s="13"/>
      <c r="Z668" s="13"/>
    </row>
    <row r="669">
      <c r="A669" s="8">
        <v>43848.62574074074</v>
      </c>
      <c r="B669" s="9" t="str">
        <f>HYPERLINK("https://twitter.com/PineappleYSW","@PineappleYSW")</f>
        <v>@PineappleYSW</v>
      </c>
      <c r="C669" s="10" t="s">
        <v>3064</v>
      </c>
      <c r="D669" s="10" t="s">
        <v>3065</v>
      </c>
      <c r="E669" s="9" t="str">
        <f>HYPERLINK("https://twitter.com/PineappleYSW/status/1218624365018976257","1218624365018976257")</f>
        <v>1218624365018976257</v>
      </c>
      <c r="F669" s="11" t="s">
        <v>3066</v>
      </c>
      <c r="G669" s="11" t="s">
        <v>3067</v>
      </c>
      <c r="H669" s="13"/>
      <c r="I669" s="14">
        <v>6.0</v>
      </c>
      <c r="J669" s="14">
        <v>15.0</v>
      </c>
      <c r="K669" s="9" t="str">
        <f t="shared" si="78"/>
        <v>Hootsuite Inc.</v>
      </c>
      <c r="L669" s="15">
        <v>8380.0</v>
      </c>
      <c r="M669" s="15">
        <v>1234.0</v>
      </c>
      <c r="N669" s="15">
        <v>40.0</v>
      </c>
      <c r="O669" s="16"/>
      <c r="P669" s="17">
        <v>43146.30180555556</v>
      </c>
      <c r="Q669" s="13"/>
      <c r="R669" s="10" t="s">
        <v>3068</v>
      </c>
      <c r="S669" s="11" t="s">
        <v>3069</v>
      </c>
      <c r="T669" s="13"/>
      <c r="U669" s="18" t="str">
        <f>HYPERLINK("https://pbs.twimg.com/profile_images/1191389384668598274/gAFBLBeB.jpg","View")</f>
        <v>View</v>
      </c>
      <c r="V669" s="13"/>
      <c r="W669" s="13"/>
      <c r="X669" s="13"/>
      <c r="Y669" s="13"/>
      <c r="Z669" s="13"/>
    </row>
    <row r="670">
      <c r="A670" s="8">
        <v>43848.62568287037</v>
      </c>
      <c r="B670" s="9" t="str">
        <f>HYPERLINK("https://twitter.com/taraglcsw","@taraglcsw")</f>
        <v>@taraglcsw</v>
      </c>
      <c r="C670" s="10" t="s">
        <v>3070</v>
      </c>
      <c r="D670" s="10" t="s">
        <v>3071</v>
      </c>
      <c r="E670" s="9" t="str">
        <f>HYPERLINK("https://twitter.com/taraglcsw/status/1218624344278151168","1218624344278151168")</f>
        <v>1218624344278151168</v>
      </c>
      <c r="F670" s="13"/>
      <c r="G670" s="13"/>
      <c r="H670" s="13"/>
      <c r="I670" s="14">
        <v>1.0</v>
      </c>
      <c r="J670" s="14">
        <v>2.0</v>
      </c>
      <c r="K670" s="9" t="str">
        <f t="shared" si="78"/>
        <v>Hootsuite Inc.</v>
      </c>
      <c r="L670" s="15">
        <v>22.0</v>
      </c>
      <c r="M670" s="15">
        <v>21.0</v>
      </c>
      <c r="N670" s="15">
        <v>0.0</v>
      </c>
      <c r="O670" s="16"/>
      <c r="P670" s="17">
        <v>43754.492361111115</v>
      </c>
      <c r="Q670" s="10" t="s">
        <v>3072</v>
      </c>
      <c r="R670" s="10" t="s">
        <v>3073</v>
      </c>
      <c r="S670" s="11" t="s">
        <v>3074</v>
      </c>
      <c r="T670" s="13"/>
      <c r="U670" s="18" t="str">
        <f>HYPERLINK("https://pbs.twimg.com/profile_images/1190723174067003395/2K7Mz-xw.jpg","View")</f>
        <v>View</v>
      </c>
      <c r="V670" s="13"/>
      <c r="W670" s="13"/>
      <c r="X670" s="13"/>
      <c r="Y670" s="13"/>
      <c r="Z670" s="13"/>
    </row>
    <row r="671">
      <c r="A671" s="8">
        <v>43848.62567129629</v>
      </c>
      <c r="B671" s="9" t="str">
        <f>HYPERLINK("https://twitter.com/EmCPhotography4","@EmCPhotography4")</f>
        <v>@EmCPhotography4</v>
      </c>
      <c r="C671" s="10" t="s">
        <v>3075</v>
      </c>
      <c r="D671" s="10" t="s">
        <v>3076</v>
      </c>
      <c r="E671" s="9" t="str">
        <f>HYPERLINK("https://twitter.com/EmCPhotography4/status/1218624342923399168","1218624342923399168")</f>
        <v>1218624342923399168</v>
      </c>
      <c r="F671" s="11" t="s">
        <v>3077</v>
      </c>
      <c r="G671" s="11" t="s">
        <v>3078</v>
      </c>
      <c r="H671" s="13"/>
      <c r="I671" s="14">
        <v>0.0</v>
      </c>
      <c r="J671" s="14">
        <v>0.0</v>
      </c>
      <c r="K671" s="9" t="str">
        <f t="shared" si="78"/>
        <v>Hootsuite Inc.</v>
      </c>
      <c r="L671" s="15">
        <v>98.0</v>
      </c>
      <c r="M671" s="15">
        <v>344.0</v>
      </c>
      <c r="N671" s="15">
        <v>0.0</v>
      </c>
      <c r="O671" s="16"/>
      <c r="P671" s="17">
        <v>43313.7171412037</v>
      </c>
      <c r="Q671" s="10" t="s">
        <v>3079</v>
      </c>
      <c r="R671" s="10" t="s">
        <v>3080</v>
      </c>
      <c r="S671" s="11" t="s">
        <v>3081</v>
      </c>
      <c r="T671" s="13"/>
      <c r="U671" s="18" t="str">
        <f>HYPERLINK("https://pbs.twimg.com/profile_images/1026445730175754241/vu0gxWcM.jpg","View")</f>
        <v>View</v>
      </c>
      <c r="V671" s="13"/>
      <c r="W671" s="13"/>
      <c r="X671" s="13"/>
      <c r="Y671" s="13"/>
      <c r="Z671" s="13"/>
    </row>
    <row r="672">
      <c r="A672" s="8">
        <v>43848.62542824074</v>
      </c>
      <c r="B672" s="9" t="str">
        <f>HYPERLINK("https://twitter.com/MGHClayCenter","@MGHClayCenter")</f>
        <v>@MGHClayCenter</v>
      </c>
      <c r="C672" s="10" t="s">
        <v>1876</v>
      </c>
      <c r="D672" s="10" t="s">
        <v>3082</v>
      </c>
      <c r="E672" s="9" t="str">
        <f>HYPERLINK("https://twitter.com/MGHClayCenter/status/1218624254830358528","1218624254830358528")</f>
        <v>1218624254830358528</v>
      </c>
      <c r="F672" s="11" t="s">
        <v>3083</v>
      </c>
      <c r="G672" s="13"/>
      <c r="H672" s="13"/>
      <c r="I672" s="14">
        <v>1.0</v>
      </c>
      <c r="J672" s="14">
        <v>1.0</v>
      </c>
      <c r="K672" s="9" t="str">
        <f t="shared" si="78"/>
        <v>Hootsuite Inc.</v>
      </c>
      <c r="L672" s="15">
        <v>2095.0</v>
      </c>
      <c r="M672" s="15">
        <v>1623.0</v>
      </c>
      <c r="N672" s="15">
        <v>95.0</v>
      </c>
      <c r="O672" s="16"/>
      <c r="P672" s="17">
        <v>41522.70261574074</v>
      </c>
      <c r="Q672" s="10" t="s">
        <v>251</v>
      </c>
      <c r="R672" s="10" t="s">
        <v>1879</v>
      </c>
      <c r="S672" s="13"/>
      <c r="T672" s="13"/>
      <c r="U672" s="18" t="str">
        <f>HYPERLINK("https://pbs.twimg.com/profile_images/1134789340779962368/qntYMNiw.jpg","View")</f>
        <v>View</v>
      </c>
      <c r="V672" s="13"/>
      <c r="W672" s="13"/>
      <c r="X672" s="13"/>
      <c r="Y672" s="13"/>
      <c r="Z672" s="13"/>
    </row>
    <row r="673">
      <c r="A673" s="8">
        <v>43848.6253125</v>
      </c>
      <c r="B673" s="9" t="str">
        <f>HYPERLINK("https://twitter.com/HealthyPlace","@HealthyPlace")</f>
        <v>@HealthyPlace</v>
      </c>
      <c r="C673" s="10" t="s">
        <v>1457</v>
      </c>
      <c r="D673" s="10" t="s">
        <v>3084</v>
      </c>
      <c r="E673" s="9" t="str">
        <f>HYPERLINK("https://twitter.com/HealthyPlace/status/1218624212941922305","1218624212941922305")</f>
        <v>1218624212941922305</v>
      </c>
      <c r="F673" s="11" t="s">
        <v>3085</v>
      </c>
      <c r="G673" s="11" t="s">
        <v>3086</v>
      </c>
      <c r="H673" s="13"/>
      <c r="I673" s="14">
        <v>1.0</v>
      </c>
      <c r="J673" s="14">
        <v>2.0</v>
      </c>
      <c r="K673" s="9" t="str">
        <f>HYPERLINK("https://sproutsocial.com","Sprout Social")</f>
        <v>Sprout Social</v>
      </c>
      <c r="L673" s="15">
        <v>64943.0</v>
      </c>
      <c r="M673" s="15">
        <v>25049.0</v>
      </c>
      <c r="N673" s="15">
        <v>1710.0</v>
      </c>
      <c r="O673" s="16"/>
      <c r="P673" s="17">
        <v>39681.03928240741</v>
      </c>
      <c r="Q673" s="10" t="s">
        <v>1460</v>
      </c>
      <c r="R673" s="10" t="s">
        <v>1461</v>
      </c>
      <c r="S673" s="11" t="s">
        <v>1462</v>
      </c>
      <c r="T673" s="13"/>
      <c r="U673" s="18" t="str">
        <f>HYPERLINK("https://pbs.twimg.com/profile_images/753613454083252225/i5pr2xny.jpg","View")</f>
        <v>View</v>
      </c>
      <c r="V673" s="13"/>
      <c r="W673" s="13"/>
      <c r="X673" s="13"/>
      <c r="Y673" s="13"/>
      <c r="Z673" s="13"/>
    </row>
    <row r="674">
      <c r="A674" s="8">
        <v>43848.6253125</v>
      </c>
      <c r="B674" s="9" t="str">
        <f>HYPERLINK("https://twitter.com/mrshsfavthings","@mrshsfavthings")</f>
        <v>@mrshsfavthings</v>
      </c>
      <c r="C674" s="10" t="s">
        <v>3087</v>
      </c>
      <c r="D674" s="10" t="s">
        <v>3088</v>
      </c>
      <c r="E674" s="9" t="str">
        <f>HYPERLINK("https://twitter.com/mrshsfavthings/status/1218624212665020422","1218624212665020422")</f>
        <v>1218624212665020422</v>
      </c>
      <c r="F674" s="11" t="s">
        <v>3089</v>
      </c>
      <c r="G674" s="11" t="s">
        <v>3090</v>
      </c>
      <c r="H674" s="13"/>
      <c r="I674" s="14">
        <v>0.0</v>
      </c>
      <c r="J674" s="14">
        <v>2.0</v>
      </c>
      <c r="K674" s="9" t="str">
        <f>HYPERLINK("https://www.socialoomph.com","SocialOomph")</f>
        <v>SocialOomph</v>
      </c>
      <c r="L674" s="15">
        <v>13229.0</v>
      </c>
      <c r="M674" s="15">
        <v>5676.0</v>
      </c>
      <c r="N674" s="15">
        <v>294.0</v>
      </c>
      <c r="O674" s="16"/>
      <c r="P674" s="17">
        <v>40730.73159722222</v>
      </c>
      <c r="Q674" s="10" t="s">
        <v>3091</v>
      </c>
      <c r="R674" s="10" t="s">
        <v>3092</v>
      </c>
      <c r="S674" s="11" t="s">
        <v>3093</v>
      </c>
      <c r="T674" s="13"/>
      <c r="U674" s="18" t="str">
        <f>HYPERLINK("https://pbs.twimg.com/profile_images/1038188406445096965/YtYZSF2H.jpg","View")</f>
        <v>View</v>
      </c>
      <c r="V674" s="13"/>
      <c r="W674" s="13"/>
      <c r="X674" s="13"/>
      <c r="Y674" s="13"/>
      <c r="Z674" s="13"/>
    </row>
    <row r="675">
      <c r="A675" s="8">
        <v>43848.625185185185</v>
      </c>
      <c r="B675" s="9" t="str">
        <f>HYPERLINK("https://twitter.com/SeniorCareTalk","@SeniorCareTalk")</f>
        <v>@SeniorCareTalk</v>
      </c>
      <c r="C675" s="10" t="s">
        <v>3094</v>
      </c>
      <c r="D675" s="10" t="s">
        <v>3095</v>
      </c>
      <c r="E675" s="9" t="str">
        <f>HYPERLINK("https://twitter.com/SeniorCareTalk/status/1218624164480847873","1218624164480847873")</f>
        <v>1218624164480847873</v>
      </c>
      <c r="F675" s="11" t="s">
        <v>3096</v>
      </c>
      <c r="G675" s="13"/>
      <c r="H675" s="13"/>
      <c r="I675" s="14">
        <v>0.0</v>
      </c>
      <c r="J675" s="14">
        <v>0.0</v>
      </c>
      <c r="K675" s="9" t="str">
        <f>HYPERLINK("https://sproutsocial.com","Sprout Social")</f>
        <v>Sprout Social</v>
      </c>
      <c r="L675" s="15">
        <v>1217.0</v>
      </c>
      <c r="M675" s="15">
        <v>257.0</v>
      </c>
      <c r="N675" s="15">
        <v>21.0</v>
      </c>
      <c r="O675" s="16"/>
      <c r="P675" s="17">
        <v>42299.04854166666</v>
      </c>
      <c r="Q675" s="10" t="s">
        <v>3097</v>
      </c>
      <c r="R675" s="13"/>
      <c r="S675" s="11" t="s">
        <v>3098</v>
      </c>
      <c r="T675" s="13"/>
      <c r="U675" s="18" t="str">
        <f>HYPERLINK("https://pbs.twimg.com/profile_images/669018573763833856/qgm57tEG.jpg","View")</f>
        <v>View</v>
      </c>
      <c r="V675" s="13"/>
      <c r="W675" s="13"/>
      <c r="X675" s="13"/>
      <c r="Y675" s="13"/>
      <c r="Z675" s="13"/>
    </row>
    <row r="676">
      <c r="A676" s="8">
        <v>43848.62505787037</v>
      </c>
      <c r="B676" s="9" t="str">
        <f>HYPERLINK("https://twitter.com/owlpractice","@owlpractice")</f>
        <v>@owlpractice</v>
      </c>
      <c r="C676" s="10" t="s">
        <v>3099</v>
      </c>
      <c r="D676" s="10" t="s">
        <v>3100</v>
      </c>
      <c r="E676" s="9" t="str">
        <f>HYPERLINK("https://twitter.com/owlpractice/status/1218624119564095491","1218624119564095491")</f>
        <v>1218624119564095491</v>
      </c>
      <c r="F676" s="11" t="s">
        <v>3101</v>
      </c>
      <c r="G676" s="13"/>
      <c r="H676" s="13"/>
      <c r="I676" s="14">
        <v>0.0</v>
      </c>
      <c r="J676" s="14">
        <v>0.0</v>
      </c>
      <c r="K676" s="9" t="str">
        <f>HYPERLINK("https://cloudcampaign.io/","Cloud Campaign")</f>
        <v>Cloud Campaign</v>
      </c>
      <c r="L676" s="15">
        <v>288.0</v>
      </c>
      <c r="M676" s="15">
        <v>295.0</v>
      </c>
      <c r="N676" s="15">
        <v>23.0</v>
      </c>
      <c r="O676" s="16"/>
      <c r="P676" s="17">
        <v>42297.67471064815</v>
      </c>
      <c r="Q676" s="10" t="s">
        <v>474</v>
      </c>
      <c r="R676" s="10" t="s">
        <v>3102</v>
      </c>
      <c r="S676" s="11" t="s">
        <v>3103</v>
      </c>
      <c r="T676" s="13"/>
      <c r="U676" s="18" t="str">
        <f>HYPERLINK("https://pbs.twimg.com/profile_images/785137436984770560/nJKIxlB6.jpg","View")</f>
        <v>View</v>
      </c>
      <c r="V676" s="13"/>
      <c r="W676" s="13"/>
      <c r="X676" s="13"/>
      <c r="Y676" s="13"/>
      <c r="Z676" s="13"/>
    </row>
    <row r="677">
      <c r="A677" s="8">
        <v>43848.62483796296</v>
      </c>
      <c r="B677" s="9" t="str">
        <f>HYPERLINK("https://twitter.com/HalifaxMentor","@HalifaxMentor")</f>
        <v>@HalifaxMentor</v>
      </c>
      <c r="C677" s="10" t="s">
        <v>3104</v>
      </c>
      <c r="D677" s="10" t="s">
        <v>3105</v>
      </c>
      <c r="E677" s="9" t="str">
        <f>HYPERLINK("https://twitter.com/HalifaxMentor/status/1218624039910068228","1218624039910068228")</f>
        <v>1218624039910068228</v>
      </c>
      <c r="F677" s="13"/>
      <c r="G677" s="13"/>
      <c r="H677" s="13"/>
      <c r="I677" s="14">
        <v>0.0</v>
      </c>
      <c r="J677" s="14">
        <v>0.0</v>
      </c>
      <c r="K677" s="9" t="str">
        <f>HYPERLINK("http://twitter.com/download/android","Twitter for Android")</f>
        <v>Twitter for Android</v>
      </c>
      <c r="L677" s="15">
        <v>0.0</v>
      </c>
      <c r="M677" s="15">
        <v>12.0</v>
      </c>
      <c r="N677" s="15">
        <v>0.0</v>
      </c>
      <c r="O677" s="16"/>
      <c r="P677" s="17">
        <v>43848.60870370371</v>
      </c>
      <c r="Q677" s="10" t="s">
        <v>3106</v>
      </c>
      <c r="R677" s="10" t="s">
        <v>3107</v>
      </c>
      <c r="S677" s="13"/>
      <c r="T677" s="13"/>
      <c r="U677" s="18" t="str">
        <f>HYPERLINK("https://pbs.twimg.com/profile_images/1218618603026518016/WdvEPp5K.jpg","View")</f>
        <v>View</v>
      </c>
      <c r="V677" s="13"/>
      <c r="W677" s="13"/>
      <c r="X677" s="13"/>
      <c r="Y677" s="13"/>
      <c r="Z677" s="13"/>
    </row>
    <row r="678">
      <c r="A678" s="8">
        <v>43848.62462962963</v>
      </c>
      <c r="B678" s="9" t="str">
        <f>HYPERLINK("https://twitter.com/Keltic_Dave","@Keltic_Dave")</f>
        <v>@Keltic_Dave</v>
      </c>
      <c r="C678" s="10" t="s">
        <v>3108</v>
      </c>
      <c r="D678" s="10" t="s">
        <v>3109</v>
      </c>
      <c r="E678" s="9" t="str">
        <f>HYPERLINK("https://twitter.com/Keltic_Dave/status/1218623964668407808","1218623964668407808")</f>
        <v>1218623964668407808</v>
      </c>
      <c r="F678" s="13"/>
      <c r="G678" s="11" t="s">
        <v>3110</v>
      </c>
      <c r="H678" s="13"/>
      <c r="I678" s="14">
        <v>1.0</v>
      </c>
      <c r="J678" s="14">
        <v>4.0</v>
      </c>
      <c r="K678" s="9" t="str">
        <f t="shared" ref="K678:K679" si="79">HYPERLINK("https://mobile.twitter.com","Twitter Web App")</f>
        <v>Twitter Web App</v>
      </c>
      <c r="L678" s="15">
        <v>107.0</v>
      </c>
      <c r="M678" s="15">
        <v>59.0</v>
      </c>
      <c r="N678" s="15">
        <v>6.0</v>
      </c>
      <c r="O678" s="16"/>
      <c r="P678" s="17">
        <v>41406.493842592594</v>
      </c>
      <c r="Q678" s="10" t="s">
        <v>1442</v>
      </c>
      <c r="R678" s="10" t="s">
        <v>3111</v>
      </c>
      <c r="S678" s="11" t="s">
        <v>3112</v>
      </c>
      <c r="T678" s="13"/>
      <c r="U678" s="18" t="str">
        <f>HYPERLINK("https://pbs.twimg.com/profile_images/1165246398973075456/lbnpJARs.jpg","View")</f>
        <v>View</v>
      </c>
      <c r="V678" s="13"/>
      <c r="W678" s="13"/>
      <c r="X678" s="13"/>
      <c r="Y678" s="13"/>
      <c r="Z678" s="13"/>
    </row>
    <row r="679">
      <c r="A679" s="8">
        <v>43848.62453703704</v>
      </c>
      <c r="B679" s="9" t="str">
        <f>HYPERLINK("https://twitter.com/emahlee13","@emahlee13")</f>
        <v>@emahlee13</v>
      </c>
      <c r="C679" s="10" t="s">
        <v>3113</v>
      </c>
      <c r="D679" s="10" t="s">
        <v>3114</v>
      </c>
      <c r="E679" s="9" t="str">
        <f>HYPERLINK("https://twitter.com/emahlee13/status/1218623931600388096","1218623931600388096")</f>
        <v>1218623931600388096</v>
      </c>
      <c r="F679" s="13"/>
      <c r="G679" s="11" t="s">
        <v>3115</v>
      </c>
      <c r="H679" s="13"/>
      <c r="I679" s="14">
        <v>1.0</v>
      </c>
      <c r="J679" s="14">
        <v>0.0</v>
      </c>
      <c r="K679" s="9" t="str">
        <f t="shared" si="79"/>
        <v>Twitter Web App</v>
      </c>
      <c r="L679" s="15">
        <v>1486.0</v>
      </c>
      <c r="M679" s="15">
        <v>1279.0</v>
      </c>
      <c r="N679" s="15">
        <v>28.0</v>
      </c>
      <c r="O679" s="16"/>
      <c r="P679" s="17">
        <v>41492.02380787037</v>
      </c>
      <c r="Q679" s="10" t="s">
        <v>3116</v>
      </c>
      <c r="R679" s="10" t="s">
        <v>3117</v>
      </c>
      <c r="S679" s="11" t="s">
        <v>3118</v>
      </c>
      <c r="T679" s="13"/>
      <c r="U679" s="18" t="str">
        <f>HYPERLINK("https://pbs.twimg.com/profile_images/1214270492967702528/c_ScrDZJ.jpg","View")</f>
        <v>View</v>
      </c>
      <c r="V679" s="13"/>
      <c r="W679" s="13"/>
      <c r="X679" s="13"/>
      <c r="Y679" s="13"/>
      <c r="Z679" s="13"/>
    </row>
    <row r="680">
      <c r="A680" s="8">
        <v>43848.62412037037</v>
      </c>
      <c r="B680" s="9" t="str">
        <f>HYPERLINK("https://twitter.com/Jeffrey_of_Troy","@Jeffrey_of_Troy")</f>
        <v>@Jeffrey_of_Troy</v>
      </c>
      <c r="C680" s="10" t="s">
        <v>3119</v>
      </c>
      <c r="D680" s="10" t="s">
        <v>3120</v>
      </c>
      <c r="E680" s="9" t="str">
        <f>HYPERLINK("https://twitter.com/Jeffrey_of_Troy/status/1218623776935444480","1218623776935444480")</f>
        <v>1218623776935444480</v>
      </c>
      <c r="F680" s="11" t="s">
        <v>3121</v>
      </c>
      <c r="G680" s="13"/>
      <c r="H680" s="13"/>
      <c r="I680" s="14">
        <v>0.0</v>
      </c>
      <c r="J680" s="14">
        <v>1.0</v>
      </c>
      <c r="K680" s="9" t="str">
        <f>HYPERLINK("http://twitter.com/download/iphone","Twitter for iPhone")</f>
        <v>Twitter for iPhone</v>
      </c>
      <c r="L680" s="15">
        <v>277.0</v>
      </c>
      <c r="M680" s="15">
        <v>9.0</v>
      </c>
      <c r="N680" s="15">
        <v>50.0</v>
      </c>
      <c r="O680" s="16"/>
      <c r="P680" s="17">
        <v>40956.8425462963</v>
      </c>
      <c r="Q680" s="10" t="s">
        <v>3122</v>
      </c>
      <c r="R680" s="10" t="s">
        <v>3123</v>
      </c>
      <c r="S680" s="11" t="s">
        <v>3124</v>
      </c>
      <c r="T680" s="13"/>
      <c r="U680" s="18" t="str">
        <f>HYPERLINK("https://pbs.twimg.com/profile_images/1187914142688014336/Ierx8BPS.jpg","View")</f>
        <v>View</v>
      </c>
      <c r="V680" s="13"/>
      <c r="W680" s="13"/>
      <c r="X680" s="13"/>
      <c r="Y680" s="13"/>
      <c r="Z680" s="13"/>
    </row>
    <row r="681">
      <c r="A681" s="8">
        <v>43848.62391203704</v>
      </c>
      <c r="B681" s="9" t="str">
        <f>HYPERLINK("https://twitter.com/buyorlandosell","@buyorlandosell")</f>
        <v>@buyorlandosell</v>
      </c>
      <c r="C681" s="10" t="s">
        <v>3125</v>
      </c>
      <c r="D681" s="10" t="s">
        <v>3126</v>
      </c>
      <c r="E681" s="9" t="str">
        <f>HYPERLINK("https://twitter.com/buyorlandosell/status/1218623702339813376","1218623702339813376")</f>
        <v>1218623702339813376</v>
      </c>
      <c r="F681" s="11" t="s">
        <v>3127</v>
      </c>
      <c r="G681" s="11" t="s">
        <v>3128</v>
      </c>
      <c r="H681" s="13"/>
      <c r="I681" s="14">
        <v>0.0</v>
      </c>
      <c r="J681" s="14">
        <v>0.0</v>
      </c>
      <c r="K681" s="9" t="str">
        <f>HYPERLINK("https://www.corelistingmachine.com/","CORE ListingMachine")</f>
        <v>CORE ListingMachine</v>
      </c>
      <c r="L681" s="15">
        <v>5.0</v>
      </c>
      <c r="M681" s="15">
        <v>98.0</v>
      </c>
      <c r="N681" s="15">
        <v>0.0</v>
      </c>
      <c r="O681" s="16"/>
      <c r="P681" s="17">
        <v>41765.383125</v>
      </c>
      <c r="Q681" s="10" t="s">
        <v>3129</v>
      </c>
      <c r="R681" s="13"/>
      <c r="S681" s="11" t="s">
        <v>3130</v>
      </c>
      <c r="T681" s="13"/>
      <c r="U681" s="18" t="str">
        <f>HYPERLINK("https://pbs.twimg.com/profile_images/1132269275199287297/bUC67gZM.jpg","View")</f>
        <v>View</v>
      </c>
      <c r="V681" s="13"/>
      <c r="W681" s="13"/>
      <c r="X681" s="13"/>
      <c r="Y681" s="13"/>
      <c r="Z681" s="13"/>
    </row>
    <row r="682">
      <c r="A682" s="8">
        <v>43848.62390046296</v>
      </c>
      <c r="B682" s="9" t="str">
        <f>HYPERLINK("https://twitter.com/countrypiper1","@countrypiper1")</f>
        <v>@countrypiper1</v>
      </c>
      <c r="C682" s="10" t="s">
        <v>3131</v>
      </c>
      <c r="D682" s="10" t="s">
        <v>3132</v>
      </c>
      <c r="E682" s="9" t="str">
        <f>HYPERLINK("https://twitter.com/countrypiper1/status/1218623699693330434","1218623699693330434")</f>
        <v>1218623699693330434</v>
      </c>
      <c r="F682" s="13"/>
      <c r="G682" s="11" t="s">
        <v>3133</v>
      </c>
      <c r="H682" s="13"/>
      <c r="I682" s="14">
        <v>0.0</v>
      </c>
      <c r="J682" s="14">
        <v>0.0</v>
      </c>
      <c r="K682" s="9" t="str">
        <f>HYPERLINK("http://twitter.com/download/iphone","Twitter for iPhone")</f>
        <v>Twitter for iPhone</v>
      </c>
      <c r="L682" s="15">
        <v>36.0</v>
      </c>
      <c r="M682" s="15">
        <v>56.0</v>
      </c>
      <c r="N682" s="15">
        <v>0.0</v>
      </c>
      <c r="O682" s="16"/>
      <c r="P682" s="17">
        <v>43419.24355324074</v>
      </c>
      <c r="Q682" s="10" t="s">
        <v>3134</v>
      </c>
      <c r="R682" s="10" t="s">
        <v>3135</v>
      </c>
      <c r="S682" s="13"/>
      <c r="T682" s="13"/>
      <c r="U682" s="18" t="str">
        <f>HYPERLINK("https://pbs.twimg.com/profile_images/1146176126391332865/XDqt8JRB.jpg","View")</f>
        <v>View</v>
      </c>
      <c r="V682" s="13"/>
      <c r="W682" s="13"/>
      <c r="X682" s="13"/>
      <c r="Y682" s="13"/>
      <c r="Z682" s="13"/>
    </row>
    <row r="683">
      <c r="A683" s="8">
        <v>43848.62287037037</v>
      </c>
      <c r="B683" s="9" t="str">
        <f>HYPERLINK("https://twitter.com/mxrshqueen","@mxrshqueen")</f>
        <v>@mxrshqueen</v>
      </c>
      <c r="C683" s="10" t="s">
        <v>3136</v>
      </c>
      <c r="D683" s="10" t="s">
        <v>3137</v>
      </c>
      <c r="E683" s="9" t="str">
        <f>HYPERLINK("https://twitter.com/mxrshqueen/status/1218623324441468929","1218623324441468929")</f>
        <v>1218623324441468929</v>
      </c>
      <c r="F683" s="13"/>
      <c r="G683" s="13"/>
      <c r="H683" s="13"/>
      <c r="I683" s="14">
        <v>0.0</v>
      </c>
      <c r="J683" s="14">
        <v>0.0</v>
      </c>
      <c r="K683" s="9" t="str">
        <f t="shared" ref="K683:K684" si="80">HYPERLINK("https://mobile.twitter.com","Twitter Web App")</f>
        <v>Twitter Web App</v>
      </c>
      <c r="L683" s="15">
        <v>7896.0</v>
      </c>
      <c r="M683" s="15">
        <v>4884.0</v>
      </c>
      <c r="N683" s="15">
        <v>65.0</v>
      </c>
      <c r="O683" s="16"/>
      <c r="P683" s="17">
        <v>42427.24895833334</v>
      </c>
      <c r="Q683" s="10" t="s">
        <v>3138</v>
      </c>
      <c r="R683" s="10" t="s">
        <v>3139</v>
      </c>
      <c r="S683" s="11" t="s">
        <v>3140</v>
      </c>
      <c r="T683" s="13"/>
      <c r="U683" s="18" t="str">
        <f>HYPERLINK("https://pbs.twimg.com/profile_images/1192791560477433859/30UulsYJ.jpg","View")</f>
        <v>View</v>
      </c>
      <c r="V683" s="13"/>
      <c r="W683" s="13"/>
      <c r="X683" s="13"/>
      <c r="Y683" s="13"/>
      <c r="Z683" s="13"/>
    </row>
    <row r="684">
      <c r="A684" s="8">
        <v>43848.6225462963</v>
      </c>
      <c r="B684" s="9" t="str">
        <f>HYPERLINK("https://twitter.com/YaelWolfeHowls","@YaelWolfeHowls")</f>
        <v>@YaelWolfeHowls</v>
      </c>
      <c r="C684" s="10" t="s">
        <v>1105</v>
      </c>
      <c r="D684" s="10" t="s">
        <v>3141</v>
      </c>
      <c r="E684" s="9" t="str">
        <f>HYPERLINK("https://twitter.com/YaelWolfeHowls/status/1218623210255781896","1218623210255781896")</f>
        <v>1218623210255781896</v>
      </c>
      <c r="F684" s="11" t="s">
        <v>1107</v>
      </c>
      <c r="G684" s="13"/>
      <c r="H684" s="13"/>
      <c r="I684" s="14">
        <v>3.0</v>
      </c>
      <c r="J684" s="14">
        <v>3.0</v>
      </c>
      <c r="K684" s="9" t="str">
        <f t="shared" si="80"/>
        <v>Twitter Web App</v>
      </c>
      <c r="L684" s="15">
        <v>370.0</v>
      </c>
      <c r="M684" s="15">
        <v>176.0</v>
      </c>
      <c r="N684" s="15">
        <v>2.0</v>
      </c>
      <c r="O684" s="16"/>
      <c r="P684" s="17">
        <v>43545.89834490741</v>
      </c>
      <c r="Q684" s="13"/>
      <c r="R684" s="10" t="s">
        <v>1108</v>
      </c>
      <c r="S684" s="11" t="s">
        <v>1109</v>
      </c>
      <c r="T684" s="13"/>
      <c r="U684" s="18" t="str">
        <f>HYPERLINK("https://pbs.twimg.com/profile_images/1198863046787121152/sWQOoS7X.jpg","View")</f>
        <v>View</v>
      </c>
      <c r="V684" s="13"/>
      <c r="W684" s="13"/>
      <c r="X684" s="13"/>
      <c r="Y684" s="13"/>
      <c r="Z684" s="13"/>
    </row>
    <row r="685">
      <c r="A685" s="8">
        <v>43848.62173611111</v>
      </c>
      <c r="B685" s="9" t="str">
        <f>HYPERLINK("https://twitter.com/Romeoluzanojr","@Romeoluzanojr")</f>
        <v>@Romeoluzanojr</v>
      </c>
      <c r="C685" s="10" t="s">
        <v>3142</v>
      </c>
      <c r="D685" s="10" t="s">
        <v>3143</v>
      </c>
      <c r="E685" s="9" t="str">
        <f>HYPERLINK("https://twitter.com/Romeoluzanojr/status/1218622913646972928","1218622913646972928")</f>
        <v>1218622913646972928</v>
      </c>
      <c r="F685" s="13"/>
      <c r="G685" s="13"/>
      <c r="H685" s="13"/>
      <c r="I685" s="14">
        <v>0.0</v>
      </c>
      <c r="J685" s="14">
        <v>0.0</v>
      </c>
      <c r="K685" s="9" t="str">
        <f>HYPERLINK("http://twitter.com/download/iphone","Twitter for iPhone")</f>
        <v>Twitter for iPhone</v>
      </c>
      <c r="L685" s="15">
        <v>731.0</v>
      </c>
      <c r="M685" s="15">
        <v>346.0</v>
      </c>
      <c r="N685" s="15">
        <v>23.0</v>
      </c>
      <c r="O685" s="16"/>
      <c r="P685" s="17">
        <v>40060.868368055555</v>
      </c>
      <c r="Q685" s="10" t="s">
        <v>614</v>
      </c>
      <c r="R685" s="10" t="s">
        <v>3144</v>
      </c>
      <c r="S685" s="11" t="s">
        <v>3145</v>
      </c>
      <c r="T685" s="13"/>
      <c r="U685" s="18" t="str">
        <f>HYPERLINK("https://pbs.twimg.com/profile_images/1198477685762080769/CFlzT2KJ.jpg","View")</f>
        <v>View</v>
      </c>
      <c r="V685" s="13"/>
      <c r="W685" s="13"/>
      <c r="X685" s="13"/>
      <c r="Y685" s="13"/>
      <c r="Z685" s="13"/>
    </row>
    <row r="686">
      <c r="A686" s="8">
        <v>43848.62159722223</v>
      </c>
      <c r="B686" s="9" t="str">
        <f>HYPERLINK("https://twitter.com/healthcentral","@healthcentral")</f>
        <v>@healthcentral</v>
      </c>
      <c r="C686" s="10" t="s">
        <v>3146</v>
      </c>
      <c r="D686" s="10" t="s">
        <v>3147</v>
      </c>
      <c r="E686" s="9" t="str">
        <f>HYPERLINK("https://twitter.com/healthcentral/status/1218622865605611520","1218622865605611520")</f>
        <v>1218622865605611520</v>
      </c>
      <c r="F686" s="11" t="s">
        <v>3148</v>
      </c>
      <c r="G686" s="13"/>
      <c r="H686" s="13"/>
      <c r="I686" s="14">
        <v>0.0</v>
      </c>
      <c r="J686" s="14">
        <v>0.0</v>
      </c>
      <c r="K686" s="9" t="str">
        <f>HYPERLINK("https://www.hootsuite.com","Hootsuite Inc.")</f>
        <v>Hootsuite Inc.</v>
      </c>
      <c r="L686" s="15">
        <v>16351.0</v>
      </c>
      <c r="M686" s="15">
        <v>5297.0</v>
      </c>
      <c r="N686" s="15">
        <v>741.0</v>
      </c>
      <c r="O686" s="21" t="s">
        <v>522</v>
      </c>
      <c r="P686" s="17">
        <v>39569.764456018514</v>
      </c>
      <c r="Q686" s="13"/>
      <c r="R686" s="10" t="s">
        <v>3149</v>
      </c>
      <c r="S686" s="11" t="s">
        <v>3150</v>
      </c>
      <c r="T686" s="13"/>
      <c r="U686" s="18" t="str">
        <f>HYPERLINK("https://pbs.twimg.com/profile_images/1010136765078888448/ulHBZVoO.jpg","View")</f>
        <v>View</v>
      </c>
      <c r="V686" s="13"/>
      <c r="W686" s="13"/>
      <c r="X686" s="13"/>
      <c r="Y686" s="13"/>
      <c r="Z686" s="13"/>
    </row>
    <row r="687">
      <c r="A687" s="8">
        <v>43848.62106481481</v>
      </c>
      <c r="B687" s="9" t="str">
        <f>HYPERLINK("https://twitter.com/dr_metzner","@dr_metzner")</f>
        <v>@dr_metzner</v>
      </c>
      <c r="C687" s="10" t="s">
        <v>1526</v>
      </c>
      <c r="D687" s="10" t="s">
        <v>3151</v>
      </c>
      <c r="E687" s="9" t="str">
        <f>HYPERLINK("https://twitter.com/dr_metzner/status/1218622669609811968","1218622669609811968")</f>
        <v>1218622669609811968</v>
      </c>
      <c r="F687" s="11" t="s">
        <v>3152</v>
      </c>
      <c r="G687" s="13"/>
      <c r="H687" s="13"/>
      <c r="I687" s="14">
        <v>0.0</v>
      </c>
      <c r="J687" s="14">
        <v>0.0</v>
      </c>
      <c r="K687" s="9" t="str">
        <f>HYPERLINK("https://apps.twitter.com","Twitty4Dave")</f>
        <v>Twitty4Dave</v>
      </c>
      <c r="L687" s="15">
        <v>8261.0</v>
      </c>
      <c r="M687" s="15">
        <v>4146.0</v>
      </c>
      <c r="N687" s="15">
        <v>390.0</v>
      </c>
      <c r="O687" s="16"/>
      <c r="P687" s="17">
        <v>41990.31606481482</v>
      </c>
      <c r="Q687" s="10" t="s">
        <v>266</v>
      </c>
      <c r="R687" s="10" t="s">
        <v>1529</v>
      </c>
      <c r="S687" s="11" t="s">
        <v>1530</v>
      </c>
      <c r="T687" s="13"/>
      <c r="U687" s="18" t="str">
        <f>HYPERLINK("https://pbs.twimg.com/profile_images/545196276417974272/6qcohW0K.jpeg","View")</f>
        <v>View</v>
      </c>
      <c r="V687" s="13"/>
      <c r="W687" s="13"/>
      <c r="X687" s="13"/>
      <c r="Y687" s="13"/>
      <c r="Z687" s="13"/>
    </row>
    <row r="688">
      <c r="A688" s="8">
        <v>43848.62086805556</v>
      </c>
      <c r="B688" s="9" t="str">
        <f>HYPERLINK("https://twitter.com/tinogwitima","@tinogwitima")</f>
        <v>@tinogwitima</v>
      </c>
      <c r="C688" s="10" t="s">
        <v>3153</v>
      </c>
      <c r="D688" s="10" t="s">
        <v>3154</v>
      </c>
      <c r="E688" s="9" t="str">
        <f>HYPERLINK("https://twitter.com/tinogwitima/status/1218622600143941632","1218622600143941632")</f>
        <v>1218622600143941632</v>
      </c>
      <c r="F688" s="13"/>
      <c r="G688" s="11" t="s">
        <v>3155</v>
      </c>
      <c r="H688" s="13"/>
      <c r="I688" s="14">
        <v>0.0</v>
      </c>
      <c r="J688" s="14">
        <v>2.0</v>
      </c>
      <c r="K688" s="9" t="str">
        <f>HYPERLINK("http://twitter.com/download/iphone","Twitter for iPhone")</f>
        <v>Twitter for iPhone</v>
      </c>
      <c r="L688" s="15">
        <v>838.0</v>
      </c>
      <c r="M688" s="15">
        <v>660.0</v>
      </c>
      <c r="N688" s="15">
        <v>7.0</v>
      </c>
      <c r="O688" s="16"/>
      <c r="P688" s="17">
        <v>40667.194398148145</v>
      </c>
      <c r="Q688" s="10" t="s">
        <v>3156</v>
      </c>
      <c r="R688" s="10" t="s">
        <v>3157</v>
      </c>
      <c r="S688" s="13"/>
      <c r="T688" s="13"/>
      <c r="U688" s="18" t="str">
        <f>HYPERLINK("https://pbs.twimg.com/profile_images/1207157268174843904/jn9xM4rE.jpg","View")</f>
        <v>View</v>
      </c>
      <c r="V688" s="13"/>
      <c r="W688" s="13"/>
      <c r="X688" s="13"/>
      <c r="Y688" s="13"/>
      <c r="Z688" s="13"/>
    </row>
    <row r="689">
      <c r="A689" s="8">
        <v>43848.62076388889</v>
      </c>
      <c r="B689" s="9" t="str">
        <f>HYPERLINK("https://twitter.com/mhanorthshore","@mhanorthshore")</f>
        <v>@mhanorthshore</v>
      </c>
      <c r="C689" s="10" t="s">
        <v>3158</v>
      </c>
      <c r="D689" s="10" t="s">
        <v>3159</v>
      </c>
      <c r="E689" s="9" t="str">
        <f>HYPERLINK("https://twitter.com/mhanorthshore/status/1218622561652805632","1218622561652805632")</f>
        <v>1218622561652805632</v>
      </c>
      <c r="F689" s="11" t="s">
        <v>3160</v>
      </c>
      <c r="G689" s="11" t="s">
        <v>3161</v>
      </c>
      <c r="H689" s="13"/>
      <c r="I689" s="14">
        <v>1.0</v>
      </c>
      <c r="J689" s="14">
        <v>0.0</v>
      </c>
      <c r="K689" s="9" t="str">
        <f>HYPERLINK("https://mobile.twitter.com","Twitter Web App")</f>
        <v>Twitter Web App</v>
      </c>
      <c r="L689" s="15">
        <v>275.0</v>
      </c>
      <c r="M689" s="15">
        <v>332.0</v>
      </c>
      <c r="N689" s="15">
        <v>15.0</v>
      </c>
      <c r="O689" s="16"/>
      <c r="P689" s="17">
        <v>42702.43809027778</v>
      </c>
      <c r="Q689" s="10" t="s">
        <v>3162</v>
      </c>
      <c r="R689" s="10" t="s">
        <v>3163</v>
      </c>
      <c r="S689" s="11" t="s">
        <v>3164</v>
      </c>
      <c r="T689" s="13"/>
      <c r="U689" s="18" t="str">
        <f>HYPERLINK("https://pbs.twimg.com/profile_images/803260862869798913/rVdlPE-m.jpg","View")</f>
        <v>View</v>
      </c>
      <c r="V689" s="13"/>
      <c r="W689" s="13"/>
      <c r="X689" s="13"/>
      <c r="Y689" s="13"/>
      <c r="Z689" s="13"/>
    </row>
    <row r="690">
      <c r="A690" s="8">
        <v>43848.61924768519</v>
      </c>
      <c r="B690" s="9" t="str">
        <f>HYPERLINK("https://twitter.com/StanChoMPP","@StanChoMPP")</f>
        <v>@StanChoMPP</v>
      </c>
      <c r="C690" s="10" t="s">
        <v>3165</v>
      </c>
      <c r="D690" s="10" t="s">
        <v>3166</v>
      </c>
      <c r="E690" s="9" t="str">
        <f>HYPERLINK("https://twitter.com/StanChoMPP/status/1218622013578760192","1218622013578760192")</f>
        <v>1218622013578760192</v>
      </c>
      <c r="F690" s="13"/>
      <c r="G690" s="11" t="s">
        <v>3167</v>
      </c>
      <c r="H690" s="13"/>
      <c r="I690" s="14">
        <v>0.0</v>
      </c>
      <c r="J690" s="14">
        <v>11.0</v>
      </c>
      <c r="K690" s="9" t="str">
        <f>HYPERLINK("http://twitter.com/download/iphone","Twitter for iPhone")</f>
        <v>Twitter for iPhone</v>
      </c>
      <c r="L690" s="15">
        <v>3634.0</v>
      </c>
      <c r="M690" s="15">
        <v>419.0</v>
      </c>
      <c r="N690" s="15">
        <v>77.0</v>
      </c>
      <c r="O690" s="21" t="s">
        <v>522</v>
      </c>
      <c r="P690" s="17">
        <v>42712.96241898148</v>
      </c>
      <c r="Q690" s="10" t="s">
        <v>474</v>
      </c>
      <c r="R690" s="10" t="s">
        <v>3168</v>
      </c>
      <c r="S690" s="11" t="s">
        <v>3169</v>
      </c>
      <c r="T690" s="13"/>
      <c r="U690" s="18" t="str">
        <f>HYPERLINK("https://pbs.twimg.com/profile_images/1040218057363390464/2X9-xma_.jpg","View")</f>
        <v>View</v>
      </c>
      <c r="V690" s="13"/>
      <c r="W690" s="13"/>
      <c r="X690" s="13"/>
      <c r="Y690" s="13"/>
      <c r="Z690" s="13"/>
    </row>
    <row r="691">
      <c r="A691" s="8">
        <v>43848.618842592594</v>
      </c>
      <c r="B691" s="9" t="str">
        <f>HYPERLINK("https://twitter.com/mhanorthshore","@mhanorthshore")</f>
        <v>@mhanorthshore</v>
      </c>
      <c r="C691" s="10" t="s">
        <v>3158</v>
      </c>
      <c r="D691" s="10" t="s">
        <v>3170</v>
      </c>
      <c r="E691" s="9" t="str">
        <f>HYPERLINK("https://twitter.com/mhanorthshore/status/1218621867042443266","1218621867042443266")</f>
        <v>1218621867042443266</v>
      </c>
      <c r="F691" s="11" t="s">
        <v>3171</v>
      </c>
      <c r="G691" s="11" t="s">
        <v>3172</v>
      </c>
      <c r="H691" s="13"/>
      <c r="I691" s="14">
        <v>0.0</v>
      </c>
      <c r="J691" s="14">
        <v>0.0</v>
      </c>
      <c r="K691" s="9" t="str">
        <f>HYPERLINK("https://mobile.twitter.com","Twitter Web App")</f>
        <v>Twitter Web App</v>
      </c>
      <c r="L691" s="15">
        <v>275.0</v>
      </c>
      <c r="M691" s="15">
        <v>332.0</v>
      </c>
      <c r="N691" s="15">
        <v>15.0</v>
      </c>
      <c r="O691" s="16"/>
      <c r="P691" s="17">
        <v>42702.43809027778</v>
      </c>
      <c r="Q691" s="10" t="s">
        <v>3162</v>
      </c>
      <c r="R691" s="10" t="s">
        <v>3163</v>
      </c>
      <c r="S691" s="11" t="s">
        <v>3164</v>
      </c>
      <c r="T691" s="13"/>
      <c r="U691" s="18" t="str">
        <f>HYPERLINK("https://pbs.twimg.com/profile_images/803260862869798913/rVdlPE-m.jpg","View")</f>
        <v>View</v>
      </c>
      <c r="V691" s="13"/>
      <c r="W691" s="13"/>
      <c r="X691" s="13"/>
      <c r="Y691" s="13"/>
      <c r="Z691" s="13"/>
    </row>
    <row r="692">
      <c r="A692" s="8">
        <v>43848.618680555555</v>
      </c>
      <c r="B692" s="9" t="str">
        <f>HYPERLINK("https://twitter.com/HeatherBoydWire","@HeatherBoydWire")</f>
        <v>@HeatherBoydWire</v>
      </c>
      <c r="C692" s="10" t="s">
        <v>3173</v>
      </c>
      <c r="D692" s="10" t="s">
        <v>3174</v>
      </c>
      <c r="E692" s="9" t="str">
        <f>HYPERLINK("https://twitter.com/HeatherBoydWire/status/1218621808397647873","1218621808397647873")</f>
        <v>1218621808397647873</v>
      </c>
      <c r="F692" s="11" t="s">
        <v>3175</v>
      </c>
      <c r="G692" s="13"/>
      <c r="H692" s="13"/>
      <c r="I692" s="14">
        <v>1.0</v>
      </c>
      <c r="J692" s="14">
        <v>1.0</v>
      </c>
      <c r="K692" s="9" t="str">
        <f>HYPERLINK("http://twitter.com/download/iphone","Twitter for iPhone")</f>
        <v>Twitter for iPhone</v>
      </c>
      <c r="L692" s="15">
        <v>6675.0</v>
      </c>
      <c r="M692" s="15">
        <v>7058.0</v>
      </c>
      <c r="N692" s="15">
        <v>558.0</v>
      </c>
      <c r="O692" s="16"/>
      <c r="P692" s="17">
        <v>40062.37096064815</v>
      </c>
      <c r="Q692" s="10" t="s">
        <v>3176</v>
      </c>
      <c r="R692" s="10" t="s">
        <v>3177</v>
      </c>
      <c r="S692" s="11" t="s">
        <v>3178</v>
      </c>
      <c r="T692" s="13"/>
      <c r="U692" s="18" t="str">
        <f>HYPERLINK("https://pbs.twimg.com/profile_images/1025870266998693890/bzGR3Iey.jpg","View")</f>
        <v>View</v>
      </c>
      <c r="V692" s="13"/>
      <c r="W692" s="13"/>
      <c r="X692" s="13"/>
      <c r="Y692" s="13"/>
      <c r="Z692" s="13"/>
    </row>
    <row r="693">
      <c r="A693" s="8">
        <v>43848.61824074074</v>
      </c>
      <c r="B693" s="9" t="str">
        <f>HYPERLINK("https://twitter.com/mhanorthshore","@mhanorthshore")</f>
        <v>@mhanorthshore</v>
      </c>
      <c r="C693" s="10" t="s">
        <v>3158</v>
      </c>
      <c r="D693" s="10" t="s">
        <v>3179</v>
      </c>
      <c r="E693" s="9" t="str">
        <f>HYPERLINK("https://twitter.com/mhanorthshore/status/1218621648041017347","1218621648041017347")</f>
        <v>1218621648041017347</v>
      </c>
      <c r="F693" s="10" t="s">
        <v>3180</v>
      </c>
      <c r="G693" s="13"/>
      <c r="H693" s="13"/>
      <c r="I693" s="14">
        <v>1.0</v>
      </c>
      <c r="J693" s="14">
        <v>2.0</v>
      </c>
      <c r="K693" s="9" t="str">
        <f>HYPERLINK("https://mobile.twitter.com","Twitter Web App")</f>
        <v>Twitter Web App</v>
      </c>
      <c r="L693" s="15">
        <v>275.0</v>
      </c>
      <c r="M693" s="15">
        <v>332.0</v>
      </c>
      <c r="N693" s="15">
        <v>15.0</v>
      </c>
      <c r="O693" s="16"/>
      <c r="P693" s="17">
        <v>42702.43809027778</v>
      </c>
      <c r="Q693" s="10" t="s">
        <v>3162</v>
      </c>
      <c r="R693" s="10" t="s">
        <v>3163</v>
      </c>
      <c r="S693" s="11" t="s">
        <v>3164</v>
      </c>
      <c r="T693" s="13"/>
      <c r="U693" s="18" t="str">
        <f>HYPERLINK("https://pbs.twimg.com/profile_images/803260862869798913/rVdlPE-m.jpg","View")</f>
        <v>View</v>
      </c>
      <c r="V693" s="13"/>
      <c r="W693" s="13"/>
      <c r="X693" s="13"/>
      <c r="Y693" s="13"/>
      <c r="Z693" s="13"/>
    </row>
    <row r="694">
      <c r="A694" s="8">
        <v>43848.6180787037</v>
      </c>
      <c r="B694" s="9" t="str">
        <f>HYPERLINK("https://twitter.com/asianjobs","@asianjobs")</f>
        <v>@asianjobs</v>
      </c>
      <c r="C694" s="11" t="s">
        <v>3181</v>
      </c>
      <c r="D694" s="10" t="s">
        <v>3182</v>
      </c>
      <c r="E694" s="9" t="str">
        <f>HYPERLINK("https://twitter.com/asianjobs/status/1218621588205195265","1218621588205195265")</f>
        <v>1218621588205195265</v>
      </c>
      <c r="F694" s="11" t="s">
        <v>3183</v>
      </c>
      <c r="G694" s="11" t="s">
        <v>3184</v>
      </c>
      <c r="H694" s="13"/>
      <c r="I694" s="14">
        <v>1.0</v>
      </c>
      <c r="J694" s="14">
        <v>0.0</v>
      </c>
      <c r="K694" s="9" t="str">
        <f>HYPERLINK("https://buffer.com","Buffer")</f>
        <v>Buffer</v>
      </c>
      <c r="L694" s="15">
        <v>1472.0</v>
      </c>
      <c r="M694" s="15">
        <v>1798.0</v>
      </c>
      <c r="N694" s="15">
        <v>44.0</v>
      </c>
      <c r="O694" s="16"/>
      <c r="P694" s="17">
        <v>39895.02318287037</v>
      </c>
      <c r="Q694" s="10" t="s">
        <v>3116</v>
      </c>
      <c r="R694" s="10" t="s">
        <v>3185</v>
      </c>
      <c r="S694" s="11" t="s">
        <v>3186</v>
      </c>
      <c r="T694" s="13"/>
      <c r="U694" s="18" t="str">
        <f>HYPERLINK("https://pbs.twimg.com/profile_images/1273913563/MC_70320852_1.jpg","View")</f>
        <v>View</v>
      </c>
      <c r="V694" s="13"/>
      <c r="W694" s="13"/>
      <c r="X694" s="13"/>
      <c r="Y694" s="13"/>
      <c r="Z694" s="13"/>
    </row>
    <row r="695">
      <c r="A695" s="8">
        <v>43848.61785879629</v>
      </c>
      <c r="B695" s="9" t="str">
        <f>HYPERLINK("https://twitter.com/WiltonConsult","@WiltonConsult")</f>
        <v>@WiltonConsult</v>
      </c>
      <c r="C695" s="10" t="s">
        <v>3187</v>
      </c>
      <c r="D695" s="10" t="s">
        <v>3188</v>
      </c>
      <c r="E695" s="9" t="str">
        <f>HYPERLINK("https://twitter.com/WiltonConsult/status/1218621510388191232","1218621510388191232")</f>
        <v>1218621510388191232</v>
      </c>
      <c r="F695" s="13"/>
      <c r="G695" s="11" t="s">
        <v>3189</v>
      </c>
      <c r="H695" s="13"/>
      <c r="I695" s="14">
        <v>4.0</v>
      </c>
      <c r="J695" s="14">
        <v>4.0</v>
      </c>
      <c r="K695" s="9" t="str">
        <f>HYPERLINK("http://twitter.com/download/iphone","Twitter for iPhone")</f>
        <v>Twitter for iPhone</v>
      </c>
      <c r="L695" s="15">
        <v>85.0</v>
      </c>
      <c r="M695" s="15">
        <v>231.0</v>
      </c>
      <c r="N695" s="15">
        <v>0.0</v>
      </c>
      <c r="O695" s="16"/>
      <c r="P695" s="17">
        <v>43571.5597337963</v>
      </c>
      <c r="Q695" s="10" t="s">
        <v>285</v>
      </c>
      <c r="R695" s="10" t="s">
        <v>3190</v>
      </c>
      <c r="S695" s="11" t="s">
        <v>3191</v>
      </c>
      <c r="T695" s="13"/>
      <c r="U695" s="18" t="str">
        <f>HYPERLINK("https://pbs.twimg.com/profile_images/1217872822275575811/WlDcCyl6.jpg","View")</f>
        <v>View</v>
      </c>
      <c r="V695" s="13"/>
      <c r="W695" s="13"/>
      <c r="X695" s="13"/>
      <c r="Y695" s="13"/>
      <c r="Z695" s="13"/>
    </row>
    <row r="696">
      <c r="A696" s="8">
        <v>43848.61622685185</v>
      </c>
      <c r="B696" s="9" t="str">
        <f>HYPERLINK("https://twitter.com/TheNANProject","@TheNANProject")</f>
        <v>@TheNANProject</v>
      </c>
      <c r="C696" s="10" t="s">
        <v>3192</v>
      </c>
      <c r="D696" s="22" t="s">
        <v>3193</v>
      </c>
      <c r="E696" s="9" t="str">
        <f>HYPERLINK("https://twitter.com/TheNANProject/status/1218620919402332161","1218620919402332161")</f>
        <v>1218620919402332161</v>
      </c>
      <c r="F696" s="11" t="s">
        <v>3194</v>
      </c>
      <c r="G696" s="13"/>
      <c r="H696" s="13"/>
      <c r="I696" s="14">
        <v>0.0</v>
      </c>
      <c r="J696" s="14">
        <v>0.0</v>
      </c>
      <c r="K696" s="9" t="str">
        <f>HYPERLINK("https://mobile.twitter.com","Twitter Web App")</f>
        <v>Twitter Web App</v>
      </c>
      <c r="L696" s="15">
        <v>2576.0</v>
      </c>
      <c r="M696" s="15">
        <v>88.0</v>
      </c>
      <c r="N696" s="15">
        <v>3.0</v>
      </c>
      <c r="O696" s="16"/>
      <c r="P696" s="17">
        <v>42509.36395833333</v>
      </c>
      <c r="Q696" s="10" t="s">
        <v>1680</v>
      </c>
      <c r="R696" s="10" t="s">
        <v>3195</v>
      </c>
      <c r="S696" s="11" t="s">
        <v>3196</v>
      </c>
      <c r="T696" s="13"/>
      <c r="U696" s="18" t="str">
        <f>HYPERLINK("https://pbs.twimg.com/profile_images/733279311092977664/eMiScyfe.jpg","View")</f>
        <v>View</v>
      </c>
      <c r="V696" s="13"/>
      <c r="W696" s="13"/>
      <c r="X696" s="13"/>
      <c r="Y696" s="13"/>
      <c r="Z696" s="13"/>
    </row>
    <row r="697">
      <c r="A697" s="8">
        <v>43848.6162037037</v>
      </c>
      <c r="B697" s="9" t="str">
        <f>HYPERLINK("https://twitter.com/empathyzme","@empathyzme")</f>
        <v>@empathyzme</v>
      </c>
      <c r="C697" s="10" t="s">
        <v>3197</v>
      </c>
      <c r="D697" s="10" t="s">
        <v>3198</v>
      </c>
      <c r="E697" s="9" t="str">
        <f>HYPERLINK("https://twitter.com/empathyzme/status/1218620909621260293","1218620909621260293")</f>
        <v>1218620909621260293</v>
      </c>
      <c r="F697" s="10" t="s">
        <v>3199</v>
      </c>
      <c r="G697" s="13"/>
      <c r="H697" s="13"/>
      <c r="I697" s="14">
        <v>0.0</v>
      </c>
      <c r="J697" s="14">
        <v>1.0</v>
      </c>
      <c r="K697" s="9" t="str">
        <f t="shared" ref="K697:K698" si="81">HYPERLINK("http://twitter.com/download/iphone","Twitter for iPhone")</f>
        <v>Twitter for iPhone</v>
      </c>
      <c r="L697" s="15">
        <v>16.0</v>
      </c>
      <c r="M697" s="15">
        <v>102.0</v>
      </c>
      <c r="N697" s="15">
        <v>0.0</v>
      </c>
      <c r="O697" s="16"/>
      <c r="P697" s="17">
        <v>43763.96861111111</v>
      </c>
      <c r="Q697" s="10" t="s">
        <v>24</v>
      </c>
      <c r="R697" s="10" t="s">
        <v>3200</v>
      </c>
      <c r="S697" s="13"/>
      <c r="T697" s="13"/>
      <c r="U697" s="18" t="str">
        <f>HYPERLINK("https://pbs.twimg.com/profile_images/1187940430564020224/9w2Wa3eW.jpg","View")</f>
        <v>View</v>
      </c>
      <c r="V697" s="13"/>
      <c r="W697" s="13"/>
      <c r="X697" s="13"/>
      <c r="Y697" s="13"/>
      <c r="Z697" s="13"/>
    </row>
    <row r="698">
      <c r="A698" s="8">
        <v>43848.61596064815</v>
      </c>
      <c r="B698" s="9" t="str">
        <f>HYPERLINK("https://twitter.com/HajerNakua","@HajerNakua")</f>
        <v>@HajerNakua</v>
      </c>
      <c r="C698" s="10" t="s">
        <v>3201</v>
      </c>
      <c r="D698" s="10" t="s">
        <v>3202</v>
      </c>
      <c r="E698" s="9" t="str">
        <f>HYPERLINK("https://twitter.com/HajerNakua/status/1218620821654134788","1218620821654134788")</f>
        <v>1218620821654134788</v>
      </c>
      <c r="F698" s="10" t="s">
        <v>3203</v>
      </c>
      <c r="G698" s="13"/>
      <c r="H698" s="13"/>
      <c r="I698" s="14">
        <v>1.0</v>
      </c>
      <c r="J698" s="14">
        <v>2.0</v>
      </c>
      <c r="K698" s="9" t="str">
        <f t="shared" si="81"/>
        <v>Twitter for iPhone</v>
      </c>
      <c r="L698" s="15">
        <v>186.0</v>
      </c>
      <c r="M698" s="15">
        <v>250.0</v>
      </c>
      <c r="N698" s="15">
        <v>4.0</v>
      </c>
      <c r="O698" s="16"/>
      <c r="P698" s="17">
        <v>43607.90802083333</v>
      </c>
      <c r="Q698" s="13"/>
      <c r="R698" s="10" t="s">
        <v>3204</v>
      </c>
      <c r="S698" s="13"/>
      <c r="T698" s="13"/>
      <c r="U698" s="18" t="str">
        <f>HYPERLINK("https://pbs.twimg.com/profile_images/1212156255608946688/UcXoKZn5.jpg","View")</f>
        <v>View</v>
      </c>
      <c r="V698" s="13"/>
      <c r="W698" s="13"/>
      <c r="X698" s="13"/>
      <c r="Y698" s="13"/>
      <c r="Z698" s="13"/>
    </row>
    <row r="699">
      <c r="A699" s="8">
        <v>43848.61572916667</v>
      </c>
      <c r="B699" s="9" t="str">
        <f>HYPERLINK("https://twitter.com/TrishHurtubise","@TrishHurtubise")</f>
        <v>@TrishHurtubise</v>
      </c>
      <c r="C699" s="10" t="s">
        <v>3205</v>
      </c>
      <c r="D699" s="10" t="s">
        <v>3206</v>
      </c>
      <c r="E699" s="9" t="str">
        <f>HYPERLINK("https://twitter.com/TrishHurtubise/status/1218620737155629063","1218620737155629063")</f>
        <v>1218620737155629063</v>
      </c>
      <c r="F699" s="11" t="s">
        <v>3207</v>
      </c>
      <c r="G699" s="13"/>
      <c r="H699" s="13"/>
      <c r="I699" s="14">
        <v>0.0</v>
      </c>
      <c r="J699" s="14">
        <v>0.0</v>
      </c>
      <c r="K699" s="9" t="str">
        <f>HYPERLINK("http://mentalhealthtalk.info","iAutoTweetMHT")</f>
        <v>iAutoTweetMHT</v>
      </c>
      <c r="L699" s="15">
        <v>914.0</v>
      </c>
      <c r="M699" s="15">
        <v>549.0</v>
      </c>
      <c r="N699" s="15">
        <v>83.0</v>
      </c>
      <c r="O699" s="16"/>
      <c r="P699" s="17">
        <v>40608.93771990741</v>
      </c>
      <c r="Q699" s="10" t="s">
        <v>177</v>
      </c>
      <c r="R699" s="10" t="s">
        <v>3208</v>
      </c>
      <c r="S699" s="11" t="s">
        <v>3209</v>
      </c>
      <c r="T699" s="13"/>
      <c r="U699" s="18" t="str">
        <f>HYPERLINK("https://pbs.twimg.com/profile_images/1093932846257860610/vAjXU1Ja.jpg","View")</f>
        <v>View</v>
      </c>
      <c r="V699" s="13"/>
      <c r="W699" s="13"/>
      <c r="X699" s="13"/>
      <c r="Y699" s="13"/>
      <c r="Z699" s="13"/>
    </row>
    <row r="700">
      <c r="A700" s="8">
        <v>43848.61533564815</v>
      </c>
      <c r="B700" s="9" t="str">
        <f>HYPERLINK("https://twitter.com/CASWA_Charity","@CASWA_Charity")</f>
        <v>@CASWA_Charity</v>
      </c>
      <c r="C700" s="10" t="s">
        <v>3210</v>
      </c>
      <c r="D700" s="10" t="s">
        <v>3211</v>
      </c>
      <c r="E700" s="9" t="str">
        <f>HYPERLINK("https://twitter.com/CASWA_Charity/status/1218620596315140101","1218620596315140101")</f>
        <v>1218620596315140101</v>
      </c>
      <c r="F700" s="11" t="s">
        <v>3212</v>
      </c>
      <c r="G700" s="11" t="s">
        <v>3213</v>
      </c>
      <c r="H700" s="13"/>
      <c r="I700" s="14">
        <v>0.0</v>
      </c>
      <c r="J700" s="14">
        <v>0.0</v>
      </c>
      <c r="K700" s="9" t="str">
        <f>HYPERLINK("https://panel.socialpilot.co/","SocialPilot.co")</f>
        <v>SocialPilot.co</v>
      </c>
      <c r="L700" s="15">
        <v>718.0</v>
      </c>
      <c r="M700" s="15">
        <v>1890.0</v>
      </c>
      <c r="N700" s="15">
        <v>5.0</v>
      </c>
      <c r="O700" s="16"/>
      <c r="P700" s="17">
        <v>42263.18619212963</v>
      </c>
      <c r="Q700" s="10" t="s">
        <v>3214</v>
      </c>
      <c r="R700" s="10" t="s">
        <v>3215</v>
      </c>
      <c r="S700" s="11" t="s">
        <v>3216</v>
      </c>
      <c r="T700" s="13"/>
      <c r="U700" s="18" t="str">
        <f>HYPERLINK("https://pbs.twimg.com/profile_images/644067604831801344/29wCEyXQ.jpg","View")</f>
        <v>View</v>
      </c>
      <c r="V700" s="13"/>
      <c r="W700" s="13"/>
      <c r="X700" s="13"/>
      <c r="Y700" s="13"/>
      <c r="Z700" s="13"/>
    </row>
    <row r="701">
      <c r="A701" s="8">
        <v>43848.61530092593</v>
      </c>
      <c r="B701" s="9" t="str">
        <f>HYPERLINK("https://twitter.com/duke_garry","@duke_garry")</f>
        <v>@duke_garry</v>
      </c>
      <c r="C701" s="10" t="s">
        <v>3217</v>
      </c>
      <c r="D701" s="10" t="s">
        <v>238</v>
      </c>
      <c r="E701" s="9" t="str">
        <f>HYPERLINK("https://twitter.com/duke_garry/status/1218620582159212544","1218620582159212544")</f>
        <v>1218620582159212544</v>
      </c>
      <c r="F701" s="13"/>
      <c r="G701" s="13"/>
      <c r="H701" s="13"/>
      <c r="I701" s="14">
        <v>0.0</v>
      </c>
      <c r="J701" s="14">
        <v>0.0</v>
      </c>
      <c r="K701" s="9" t="str">
        <f>HYPERLINK("http://twitter.com/#!/download/ipad","Twitter for iPad")</f>
        <v>Twitter for iPad</v>
      </c>
      <c r="L701" s="15">
        <v>384.0</v>
      </c>
      <c r="M701" s="15">
        <v>842.0</v>
      </c>
      <c r="N701" s="15">
        <v>2.0</v>
      </c>
      <c r="O701" s="16"/>
      <c r="P701" s="17">
        <v>42603.99664351852</v>
      </c>
      <c r="Q701" s="10" t="s">
        <v>3218</v>
      </c>
      <c r="R701" s="13"/>
      <c r="S701" s="13"/>
      <c r="T701" s="13"/>
      <c r="U701" s="18" t="str">
        <f>HYPERLINK("https://pbs.twimg.com/profile_images/767572135841787904/taNsTik0.jpg","View")</f>
        <v>View</v>
      </c>
      <c r="V701" s="13"/>
      <c r="W701" s="13"/>
      <c r="X701" s="13"/>
      <c r="Y701" s="13"/>
      <c r="Z701" s="13"/>
    </row>
    <row r="702">
      <c r="A702" s="8">
        <v>43848.61523148148</v>
      </c>
      <c r="B702" s="9" t="str">
        <f>HYPERLINK("https://twitter.com/KimberleyG_91","@KimberleyG_91")</f>
        <v>@KimberleyG_91</v>
      </c>
      <c r="C702" s="10" t="s">
        <v>3219</v>
      </c>
      <c r="D702" s="10" t="s">
        <v>3220</v>
      </c>
      <c r="E702" s="9" t="str">
        <f>HYPERLINK("https://twitter.com/KimberleyG_91/status/1218620557962420224","1218620557962420224")</f>
        <v>1218620557962420224</v>
      </c>
      <c r="F702" s="13"/>
      <c r="G702" s="13"/>
      <c r="H702" s="13"/>
      <c r="I702" s="14">
        <v>0.0</v>
      </c>
      <c r="J702" s="14">
        <v>3.0</v>
      </c>
      <c r="K702" s="9" t="str">
        <f>HYPERLINK("http://twitter.com/download/android","Twitter for Android")</f>
        <v>Twitter for Android</v>
      </c>
      <c r="L702" s="15">
        <v>66.0</v>
      </c>
      <c r="M702" s="15">
        <v>325.0</v>
      </c>
      <c r="N702" s="15">
        <v>0.0</v>
      </c>
      <c r="O702" s="16"/>
      <c r="P702" s="17">
        <v>43721.0757175926</v>
      </c>
      <c r="Q702" s="10" t="s">
        <v>3221</v>
      </c>
      <c r="R702" s="10" t="s">
        <v>3222</v>
      </c>
      <c r="S702" s="13"/>
      <c r="T702" s="13"/>
      <c r="U702" s="18" t="str">
        <f>HYPERLINK("https://pbs.twimg.com/profile_images/1195455041185943553/lPcLp4QD.jpg","View")</f>
        <v>View</v>
      </c>
      <c r="V702" s="13"/>
      <c r="W702" s="13"/>
      <c r="X702" s="13"/>
      <c r="Y702" s="13"/>
      <c r="Z702" s="13"/>
    </row>
    <row r="703">
      <c r="A703" s="8">
        <v>43848.61493055556</v>
      </c>
      <c r="B703" s="9" t="str">
        <f>HYPERLINK("https://twitter.com/Mindfield8","@Mindfield8")</f>
        <v>@Mindfield8</v>
      </c>
      <c r="C703" s="10" t="s">
        <v>2121</v>
      </c>
      <c r="D703" s="10" t="s">
        <v>3223</v>
      </c>
      <c r="E703" s="9" t="str">
        <f>HYPERLINK("https://twitter.com/Mindfield8/status/1218620448214306817","1218620448214306817")</f>
        <v>1218620448214306817</v>
      </c>
      <c r="F703" s="13"/>
      <c r="G703" s="13"/>
      <c r="H703" s="13"/>
      <c r="I703" s="14">
        <v>2.0</v>
      </c>
      <c r="J703" s="14">
        <v>3.0</v>
      </c>
      <c r="K703" s="9" t="str">
        <f>HYPERLINK("https://mobile.twitter.com","Twitter Web App")</f>
        <v>Twitter Web App</v>
      </c>
      <c r="L703" s="15">
        <v>2.0</v>
      </c>
      <c r="M703" s="15">
        <v>0.0</v>
      </c>
      <c r="N703" s="15">
        <v>0.0</v>
      </c>
      <c r="O703" s="16"/>
      <c r="P703" s="17">
        <v>43848.39986111112</v>
      </c>
      <c r="Q703" s="13"/>
      <c r="R703" s="10" t="s">
        <v>2124</v>
      </c>
      <c r="S703" s="13"/>
      <c r="T703" s="13"/>
      <c r="U703" s="18" t="str">
        <f>HYPERLINK("https://pbs.twimg.com/profile_images/1218543833002233857/4yHWd7lr.jpg","View")</f>
        <v>View</v>
      </c>
      <c r="V703" s="13"/>
      <c r="W703" s="13"/>
      <c r="X703" s="13"/>
      <c r="Y703" s="13"/>
      <c r="Z703" s="13"/>
    </row>
    <row r="704">
      <c r="A704" s="8">
        <v>43848.61461805555</v>
      </c>
      <c r="B704" s="9" t="str">
        <f>HYPERLINK("https://twitter.com/HealthyPlace","@HealthyPlace")</f>
        <v>@HealthyPlace</v>
      </c>
      <c r="C704" s="10" t="s">
        <v>1457</v>
      </c>
      <c r="D704" s="10" t="s">
        <v>3224</v>
      </c>
      <c r="E704" s="9" t="str">
        <f>HYPERLINK("https://twitter.com/HealthyPlace/status/1218620333915283457","1218620333915283457")</f>
        <v>1218620333915283457</v>
      </c>
      <c r="F704" s="11" t="s">
        <v>3225</v>
      </c>
      <c r="G704" s="11" t="s">
        <v>3226</v>
      </c>
      <c r="H704" s="13"/>
      <c r="I704" s="14">
        <v>0.0</v>
      </c>
      <c r="J704" s="14">
        <v>2.0</v>
      </c>
      <c r="K704" s="9" t="str">
        <f>HYPERLINK("https://sproutsocial.com","Sprout Social")</f>
        <v>Sprout Social</v>
      </c>
      <c r="L704" s="15">
        <v>64943.0</v>
      </c>
      <c r="M704" s="15">
        <v>25049.0</v>
      </c>
      <c r="N704" s="15">
        <v>1710.0</v>
      </c>
      <c r="O704" s="16"/>
      <c r="P704" s="17">
        <v>39681.03928240741</v>
      </c>
      <c r="Q704" s="10" t="s">
        <v>1460</v>
      </c>
      <c r="R704" s="10" t="s">
        <v>1461</v>
      </c>
      <c r="S704" s="11" t="s">
        <v>1462</v>
      </c>
      <c r="T704" s="13"/>
      <c r="U704" s="18" t="str">
        <f>HYPERLINK("https://pbs.twimg.com/profile_images/753613454083252225/i5pr2xny.jpg","View")</f>
        <v>View</v>
      </c>
      <c r="V704" s="13"/>
      <c r="W704" s="13"/>
      <c r="X704" s="13"/>
      <c r="Y704" s="13"/>
      <c r="Z704" s="13"/>
    </row>
    <row r="705">
      <c r="A705" s="8">
        <v>43848.61460648148</v>
      </c>
      <c r="B705" s="9" t="str">
        <f>HYPERLINK("https://twitter.com/AboutConnection","@AboutConnection")</f>
        <v>@AboutConnection</v>
      </c>
      <c r="C705" s="10" t="s">
        <v>3227</v>
      </c>
      <c r="D705" s="10" t="s">
        <v>3228</v>
      </c>
      <c r="E705" s="9" t="str">
        <f>HYPERLINK("https://twitter.com/AboutConnection/status/1218620329859452930","1218620329859452930")</f>
        <v>1218620329859452930</v>
      </c>
      <c r="F705" s="13"/>
      <c r="G705" s="11" t="s">
        <v>3229</v>
      </c>
      <c r="H705" s="13"/>
      <c r="I705" s="14">
        <v>0.0</v>
      </c>
      <c r="J705" s="14">
        <v>0.0</v>
      </c>
      <c r="K705" s="9" t="str">
        <f>HYPERLINK("https://buffer.com","Buffer")</f>
        <v>Buffer</v>
      </c>
      <c r="L705" s="15">
        <v>117.0</v>
      </c>
      <c r="M705" s="15">
        <v>122.0</v>
      </c>
      <c r="N705" s="15">
        <v>29.0</v>
      </c>
      <c r="O705" s="16"/>
      <c r="P705" s="17">
        <v>41585.489907407406</v>
      </c>
      <c r="Q705" s="10" t="s">
        <v>882</v>
      </c>
      <c r="R705" s="10" t="s">
        <v>3230</v>
      </c>
      <c r="S705" s="11" t="s">
        <v>3231</v>
      </c>
      <c r="T705" s="13"/>
      <c r="U705" s="18" t="str">
        <f>HYPERLINK("https://pbs.twimg.com/profile_images/1202670611039952899/gVRJqPCx.jpg","View")</f>
        <v>View</v>
      </c>
      <c r="V705" s="13"/>
      <c r="W705" s="13"/>
      <c r="X705" s="13"/>
      <c r="Y705" s="13"/>
      <c r="Z705" s="13"/>
    </row>
    <row r="706">
      <c r="A706" s="8">
        <v>43848.61424768518</v>
      </c>
      <c r="B706" s="9" t="str">
        <f>HYPERLINK("https://twitter.com/NerdAwakened","@NerdAwakened")</f>
        <v>@NerdAwakened</v>
      </c>
      <c r="C706" s="10" t="s">
        <v>3232</v>
      </c>
      <c r="D706" s="10" t="s">
        <v>3233</v>
      </c>
      <c r="E706" s="9" t="str">
        <f>HYPERLINK("https://twitter.com/NerdAwakened/status/1218620201958244355","1218620201958244355")</f>
        <v>1218620201958244355</v>
      </c>
      <c r="F706" s="13"/>
      <c r="G706" s="13"/>
      <c r="H706" s="13"/>
      <c r="I706" s="14">
        <v>0.0</v>
      </c>
      <c r="J706" s="14">
        <v>12.0</v>
      </c>
      <c r="K706" s="9" t="str">
        <f>HYPERLINK("http://twitter.com/download/android","Twitter for Android")</f>
        <v>Twitter for Android</v>
      </c>
      <c r="L706" s="15">
        <v>824.0</v>
      </c>
      <c r="M706" s="15">
        <v>759.0</v>
      </c>
      <c r="N706" s="15">
        <v>2.0</v>
      </c>
      <c r="O706" s="16"/>
      <c r="P706" s="17">
        <v>43409.55888888889</v>
      </c>
      <c r="Q706" s="10" t="s">
        <v>85</v>
      </c>
      <c r="R706" s="10" t="s">
        <v>3234</v>
      </c>
      <c r="S706" s="13"/>
      <c r="T706" s="13"/>
      <c r="U706" s="18" t="str">
        <f>HYPERLINK("https://pbs.twimg.com/profile_images/1059514675027681281/2Et5nwF4.jpg","View")</f>
        <v>View</v>
      </c>
      <c r="V706" s="13"/>
      <c r="W706" s="13"/>
      <c r="X706" s="13"/>
      <c r="Y706" s="13"/>
      <c r="Z706" s="13"/>
    </row>
    <row r="707">
      <c r="A707" s="8">
        <v>43848.613912037035</v>
      </c>
      <c r="B707" s="9" t="str">
        <f>HYPERLINK("https://twitter.com/rharris415","@rharris415")</f>
        <v>@rharris415</v>
      </c>
      <c r="C707" s="10" t="s">
        <v>3235</v>
      </c>
      <c r="D707" s="10" t="s">
        <v>3236</v>
      </c>
      <c r="E707" s="9" t="str">
        <f>HYPERLINK("https://twitter.com/rharris415/status/1218620077983129600","1218620077983129600")</f>
        <v>1218620077983129600</v>
      </c>
      <c r="F707" s="11" t="s">
        <v>3237</v>
      </c>
      <c r="G707" s="11" t="s">
        <v>3238</v>
      </c>
      <c r="H707" s="13"/>
      <c r="I707" s="14">
        <v>0.0</v>
      </c>
      <c r="J707" s="14">
        <v>0.0</v>
      </c>
      <c r="K707" s="9" t="str">
        <f>HYPERLINK("https://sproutsocial.com","Sprout Social")</f>
        <v>Sprout Social</v>
      </c>
      <c r="L707" s="15">
        <v>5584.0</v>
      </c>
      <c r="M707" s="15">
        <v>1812.0</v>
      </c>
      <c r="N707" s="15">
        <v>442.0</v>
      </c>
      <c r="O707" s="16"/>
      <c r="P707" s="17">
        <v>40699.01847222222</v>
      </c>
      <c r="Q707" s="10" t="s">
        <v>3239</v>
      </c>
      <c r="R707" s="10" t="s">
        <v>3240</v>
      </c>
      <c r="S707" s="11" t="s">
        <v>3241</v>
      </c>
      <c r="T707" s="13"/>
      <c r="U707" s="18" t="str">
        <f>HYPERLINK("https://pbs.twimg.com/profile_images/845038619656044546/5COWwbwo.jpg","View")</f>
        <v>View</v>
      </c>
      <c r="V707" s="13"/>
      <c r="W707" s="13"/>
      <c r="X707" s="13"/>
      <c r="Y707" s="13"/>
      <c r="Z707" s="13"/>
    </row>
    <row r="708">
      <c r="A708" s="8">
        <v>43848.61368055556</v>
      </c>
      <c r="B708" s="9" t="str">
        <f>HYPERLINK("https://twitter.com/RespectfulWays","@RespectfulWays")</f>
        <v>@RespectfulWays</v>
      </c>
      <c r="C708" s="10" t="s">
        <v>3242</v>
      </c>
      <c r="D708" s="10" t="s">
        <v>3243</v>
      </c>
      <c r="E708" s="9" t="str">
        <f>HYPERLINK("https://twitter.com/RespectfulWays/status/1218619994575077379","1218619994575077379")</f>
        <v>1218619994575077379</v>
      </c>
      <c r="F708" s="11" t="s">
        <v>3244</v>
      </c>
      <c r="G708" s="11" t="s">
        <v>3245</v>
      </c>
      <c r="H708" s="13"/>
      <c r="I708" s="14">
        <v>0.0</v>
      </c>
      <c r="J708" s="14">
        <v>2.0</v>
      </c>
      <c r="K708" s="9" t="str">
        <f>HYPERLINK("https://mobile.twitter.com","Twitter Web App")</f>
        <v>Twitter Web App</v>
      </c>
      <c r="L708" s="15">
        <v>144.0</v>
      </c>
      <c r="M708" s="15">
        <v>206.0</v>
      </c>
      <c r="N708" s="15">
        <v>1.0</v>
      </c>
      <c r="O708" s="16"/>
      <c r="P708" s="17">
        <v>42882.35177083334</v>
      </c>
      <c r="Q708" s="10" t="s">
        <v>3246</v>
      </c>
      <c r="R708" s="10" t="s">
        <v>3247</v>
      </c>
      <c r="S708" s="11" t="s">
        <v>3248</v>
      </c>
      <c r="T708" s="13"/>
      <c r="U708" s="18" t="str">
        <f>HYPERLINK("https://pbs.twimg.com/profile_images/884876533617143808/nUzN8LOa.jpg","View")</f>
        <v>View</v>
      </c>
      <c r="V708" s="13"/>
      <c r="W708" s="13"/>
      <c r="X708" s="13"/>
      <c r="Y708" s="13"/>
      <c r="Z708" s="13"/>
    </row>
    <row r="709">
      <c r="A709" s="8">
        <v>43848.61355324074</v>
      </c>
      <c r="B709" s="9" t="str">
        <f>HYPERLINK("https://twitter.com/TrishHurtubise","@TrishHurtubise")</f>
        <v>@TrishHurtubise</v>
      </c>
      <c r="C709" s="10" t="s">
        <v>3205</v>
      </c>
      <c r="D709" s="10" t="s">
        <v>3249</v>
      </c>
      <c r="E709" s="9" t="str">
        <f>HYPERLINK("https://twitter.com/TrishHurtubise/status/1218619948370681856","1218619948370681856")</f>
        <v>1218619948370681856</v>
      </c>
      <c r="F709" s="11" t="s">
        <v>3250</v>
      </c>
      <c r="G709" s="13"/>
      <c r="H709" s="13"/>
      <c r="I709" s="14">
        <v>0.0</v>
      </c>
      <c r="J709" s="14">
        <v>0.0</v>
      </c>
      <c r="K709" s="9" t="str">
        <f>HYPERLINK("http://mentalhealthtalk.info","iAutoTweetMHT")</f>
        <v>iAutoTweetMHT</v>
      </c>
      <c r="L709" s="15">
        <v>914.0</v>
      </c>
      <c r="M709" s="15">
        <v>549.0</v>
      </c>
      <c r="N709" s="15">
        <v>83.0</v>
      </c>
      <c r="O709" s="16"/>
      <c r="P709" s="17">
        <v>40608.93771990741</v>
      </c>
      <c r="Q709" s="10" t="s">
        <v>177</v>
      </c>
      <c r="R709" s="10" t="s">
        <v>3208</v>
      </c>
      <c r="S709" s="11" t="s">
        <v>3209</v>
      </c>
      <c r="T709" s="13"/>
      <c r="U709" s="18" t="str">
        <f>HYPERLINK("https://pbs.twimg.com/profile_images/1093932846257860610/vAjXU1Ja.jpg","View")</f>
        <v>View</v>
      </c>
      <c r="V709" s="13"/>
      <c r="W709" s="13"/>
      <c r="X709" s="13"/>
      <c r="Y709" s="13"/>
      <c r="Z709" s="13"/>
    </row>
    <row r="710">
      <c r="A710" s="8">
        <v>43848.61319444445</v>
      </c>
      <c r="B710" s="9" t="str">
        <f>HYPERLINK("https://twitter.com/ngutuboy","@ngutuboy")</f>
        <v>@ngutuboy</v>
      </c>
      <c r="C710" s="10" t="s">
        <v>3251</v>
      </c>
      <c r="D710" s="10" t="s">
        <v>238</v>
      </c>
      <c r="E710" s="9" t="str">
        <f>HYPERLINK("https://twitter.com/ngutuboy/status/1218619818271825920","1218619818271825920")</f>
        <v>1218619818271825920</v>
      </c>
      <c r="F710" s="13"/>
      <c r="G710" s="13"/>
      <c r="H710" s="13"/>
      <c r="I710" s="14">
        <v>0.0</v>
      </c>
      <c r="J710" s="14">
        <v>0.0</v>
      </c>
      <c r="K710" s="9" t="str">
        <f>HYPERLINK("http://twitter.com/download/android","Twitter for Android")</f>
        <v>Twitter for Android</v>
      </c>
      <c r="L710" s="15">
        <v>30.0</v>
      </c>
      <c r="M710" s="15">
        <v>42.0</v>
      </c>
      <c r="N710" s="15">
        <v>0.0</v>
      </c>
      <c r="O710" s="16"/>
      <c r="P710" s="17">
        <v>42942.33658564815</v>
      </c>
      <c r="Q710" s="13"/>
      <c r="R710" s="10" t="s">
        <v>3252</v>
      </c>
      <c r="S710" s="13"/>
      <c r="T710" s="13"/>
      <c r="U710" s="18" t="str">
        <f>HYPERLINK("https://pbs.twimg.com/profile_images/976399334605492224/pPXGuzhq.jpg","View")</f>
        <v>View</v>
      </c>
      <c r="V710" s="13"/>
      <c r="W710" s="13"/>
      <c r="X710" s="13"/>
      <c r="Y710" s="13"/>
      <c r="Z710" s="13"/>
    </row>
    <row r="711">
      <c r="A711" s="8">
        <v>43848.612164351856</v>
      </c>
      <c r="B711" s="9" t="str">
        <f>HYPERLINK("https://twitter.com/wookat1983","@wookat1983")</f>
        <v>@wookat1983</v>
      </c>
      <c r="C711" s="10" t="s">
        <v>3253</v>
      </c>
      <c r="D711" s="10" t="s">
        <v>3254</v>
      </c>
      <c r="E711" s="9" t="str">
        <f>HYPERLINK("https://twitter.com/wookat1983/status/1218619444701822977","1218619444701822977")</f>
        <v>1218619444701822977</v>
      </c>
      <c r="F711" s="11" t="s">
        <v>3255</v>
      </c>
      <c r="G711" s="13"/>
      <c r="H711" s="13"/>
      <c r="I711" s="14">
        <v>0.0</v>
      </c>
      <c r="J711" s="14">
        <v>0.0</v>
      </c>
      <c r="K711" s="9" t="str">
        <f t="shared" ref="K711:K712" si="82">HYPERLINK("https://mobile.twitter.com","Twitter Web App")</f>
        <v>Twitter Web App</v>
      </c>
      <c r="L711" s="15">
        <v>1487.0</v>
      </c>
      <c r="M711" s="15">
        <v>2489.0</v>
      </c>
      <c r="N711" s="15">
        <v>90.0</v>
      </c>
      <c r="O711" s="16"/>
      <c r="P711" s="17">
        <v>39946.410787037035</v>
      </c>
      <c r="Q711" s="10" t="s">
        <v>3256</v>
      </c>
      <c r="R711" s="10" t="s">
        <v>3257</v>
      </c>
      <c r="S711" s="11" t="s">
        <v>3258</v>
      </c>
      <c r="T711" s="13"/>
      <c r="U711" s="18" t="str">
        <f>HYPERLINK("https://pbs.twimg.com/profile_images/1214147050704535552/2A5dsG94.png","View")</f>
        <v>View</v>
      </c>
      <c r="V711" s="13"/>
      <c r="W711" s="13"/>
      <c r="X711" s="13"/>
      <c r="Y711" s="13"/>
      <c r="Z711" s="13"/>
    </row>
    <row r="712">
      <c r="A712" s="8">
        <v>43848.61141203703</v>
      </c>
      <c r="B712" s="9" t="str">
        <f>HYPERLINK("https://twitter.com/HorizonPlymouth","@HorizonPlymouth")</f>
        <v>@HorizonPlymouth</v>
      </c>
      <c r="C712" s="10" t="s">
        <v>3259</v>
      </c>
      <c r="D712" s="10" t="s">
        <v>3260</v>
      </c>
      <c r="E712" s="9" t="str">
        <f>HYPERLINK("https://twitter.com/HorizonPlymouth/status/1218619174894915586","1218619174894915586")</f>
        <v>1218619174894915586</v>
      </c>
      <c r="F712" s="11" t="s">
        <v>3261</v>
      </c>
      <c r="G712" s="11" t="s">
        <v>3262</v>
      </c>
      <c r="H712" s="13"/>
      <c r="I712" s="14">
        <v>0.0</v>
      </c>
      <c r="J712" s="14">
        <v>0.0</v>
      </c>
      <c r="K712" s="9" t="str">
        <f t="shared" si="82"/>
        <v>Twitter Web App</v>
      </c>
      <c r="L712" s="15">
        <v>508.0</v>
      </c>
      <c r="M712" s="15">
        <v>859.0</v>
      </c>
      <c r="N712" s="15">
        <v>0.0</v>
      </c>
      <c r="O712" s="16"/>
      <c r="P712" s="17">
        <v>42044.459074074075</v>
      </c>
      <c r="Q712" s="10" t="s">
        <v>2635</v>
      </c>
      <c r="R712" s="10" t="s">
        <v>3263</v>
      </c>
      <c r="S712" s="11" t="s">
        <v>3264</v>
      </c>
      <c r="T712" s="13"/>
      <c r="U712" s="18" t="str">
        <f>HYPERLINK("https://pbs.twimg.com/profile_images/850339312315101185/kPDki1aK.jpg","View")</f>
        <v>View</v>
      </c>
      <c r="V712" s="13"/>
      <c r="W712" s="13"/>
      <c r="X712" s="13"/>
      <c r="Y712" s="13"/>
      <c r="Z712" s="13"/>
    </row>
    <row r="713">
      <c r="A713" s="8">
        <v>43848.61137731481</v>
      </c>
      <c r="B713" s="9" t="str">
        <f>HYPERLINK("https://twitter.com/TrishHurtubise","@TrishHurtubise")</f>
        <v>@TrishHurtubise</v>
      </c>
      <c r="C713" s="10" t="s">
        <v>3205</v>
      </c>
      <c r="D713" s="10" t="s">
        <v>3265</v>
      </c>
      <c r="E713" s="9" t="str">
        <f>HYPERLINK("https://twitter.com/TrishHurtubise/status/1218619160583974913","1218619160583974913")</f>
        <v>1218619160583974913</v>
      </c>
      <c r="F713" s="13"/>
      <c r="G713" s="13"/>
      <c r="H713" s="13"/>
      <c r="I713" s="14">
        <v>0.0</v>
      </c>
      <c r="J713" s="14">
        <v>0.0</v>
      </c>
      <c r="K713" s="9" t="str">
        <f>HYPERLINK("http://mentalhealthtalk.info","iAutoTweetMHT")</f>
        <v>iAutoTweetMHT</v>
      </c>
      <c r="L713" s="15">
        <v>914.0</v>
      </c>
      <c r="M713" s="15">
        <v>549.0</v>
      </c>
      <c r="N713" s="15">
        <v>83.0</v>
      </c>
      <c r="O713" s="16"/>
      <c r="P713" s="17">
        <v>40608.93771990741</v>
      </c>
      <c r="Q713" s="10" t="s">
        <v>177</v>
      </c>
      <c r="R713" s="10" t="s">
        <v>3208</v>
      </c>
      <c r="S713" s="11" t="s">
        <v>3209</v>
      </c>
      <c r="T713" s="13"/>
      <c r="U713" s="18" t="str">
        <f>HYPERLINK("https://pbs.twimg.com/profile_images/1093932846257860610/vAjXU1Ja.jpg","View")</f>
        <v>View</v>
      </c>
      <c r="V713" s="13"/>
      <c r="W713" s="13"/>
      <c r="X713" s="13"/>
      <c r="Y713" s="13"/>
      <c r="Z713" s="13"/>
    </row>
    <row r="714">
      <c r="A714" s="8">
        <v>43848.611122685186</v>
      </c>
      <c r="B714" s="9" t="str">
        <f>HYPERLINK("https://twitter.com/martavision","@martavision")</f>
        <v>@martavision</v>
      </c>
      <c r="C714" s="10" t="s">
        <v>3266</v>
      </c>
      <c r="D714" s="10" t="s">
        <v>3267</v>
      </c>
      <c r="E714" s="9" t="str">
        <f>HYPERLINK("https://twitter.com/martavision/status/1218619068879646720","1218619068879646720")</f>
        <v>1218619068879646720</v>
      </c>
      <c r="F714" s="13"/>
      <c r="G714" s="13"/>
      <c r="H714" s="13"/>
      <c r="I714" s="14">
        <v>0.0</v>
      </c>
      <c r="J714" s="14">
        <v>0.0</v>
      </c>
      <c r="K714" s="9" t="str">
        <f>HYPERLINK("https://sproutsocial.com","Sprout Social")</f>
        <v>Sprout Social</v>
      </c>
      <c r="L714" s="15">
        <v>5463.0</v>
      </c>
      <c r="M714" s="15">
        <v>2704.0</v>
      </c>
      <c r="N714" s="15">
        <v>44.0</v>
      </c>
      <c r="O714" s="16"/>
      <c r="P714" s="17">
        <v>39967.45789351852</v>
      </c>
      <c r="Q714" s="10" t="s">
        <v>3268</v>
      </c>
      <c r="R714" s="13"/>
      <c r="S714" s="11" t="s">
        <v>2711</v>
      </c>
      <c r="T714" s="13"/>
      <c r="U714" s="18" t="str">
        <f>HYPERLINK("https://pbs.twimg.com/profile_images/1488826870/Marta.jpg","View")</f>
        <v>View</v>
      </c>
      <c r="V714" s="13"/>
      <c r="W714" s="13"/>
      <c r="X714" s="13"/>
      <c r="Y714" s="13"/>
      <c r="Z714" s="13"/>
    </row>
    <row r="715">
      <c r="A715" s="8">
        <v>43848.61084490741</v>
      </c>
      <c r="B715" s="9" t="str">
        <f>HYPERLINK("https://twitter.com/GPSmindset","@GPSmindset")</f>
        <v>@GPSmindset</v>
      </c>
      <c r="C715" s="10" t="s">
        <v>3269</v>
      </c>
      <c r="D715" s="10" t="s">
        <v>3270</v>
      </c>
      <c r="E715" s="9" t="str">
        <f>HYPERLINK("https://twitter.com/GPSmindset/status/1218618966601609216","1218618966601609216")</f>
        <v>1218618966601609216</v>
      </c>
      <c r="F715" s="11" t="s">
        <v>3271</v>
      </c>
      <c r="G715" s="13"/>
      <c r="H715" s="13"/>
      <c r="I715" s="14">
        <v>0.0</v>
      </c>
      <c r="J715" s="14">
        <v>0.0</v>
      </c>
      <c r="K715" s="9" t="str">
        <f>HYPERLINK("https://mobile.twitter.com","Twitter Web App")</f>
        <v>Twitter Web App</v>
      </c>
      <c r="L715" s="15">
        <v>93.0</v>
      </c>
      <c r="M715" s="15">
        <v>700.0</v>
      </c>
      <c r="N715" s="15">
        <v>0.0</v>
      </c>
      <c r="O715" s="16"/>
      <c r="P715" s="17">
        <v>43442.54796296296</v>
      </c>
      <c r="Q715" s="10" t="s">
        <v>3272</v>
      </c>
      <c r="R715" s="10" t="s">
        <v>3273</v>
      </c>
      <c r="S715" s="11" t="s">
        <v>3274</v>
      </c>
      <c r="T715" s="13"/>
      <c r="U715" s="18" t="str">
        <f>HYPERLINK("https://pbs.twimg.com/profile_images/1084238192935612421/PeiNo0aw.jpg","View")</f>
        <v>View</v>
      </c>
      <c r="V715" s="13"/>
      <c r="W715" s="13"/>
      <c r="X715" s="13"/>
      <c r="Y715" s="13"/>
      <c r="Z715" s="13"/>
    </row>
    <row r="716">
      <c r="A716" s="8">
        <v>43848.610196759255</v>
      </c>
      <c r="B716" s="9" t="str">
        <f>HYPERLINK("https://twitter.com/kellyteague30","@kellyteague30")</f>
        <v>@kellyteague30</v>
      </c>
      <c r="C716" s="10" t="s">
        <v>3275</v>
      </c>
      <c r="D716" s="10" t="s">
        <v>3276</v>
      </c>
      <c r="E716" s="9" t="str">
        <f>HYPERLINK("https://twitter.com/kellyteague30/status/1218618732148379649","1218618732148379649")</f>
        <v>1218618732148379649</v>
      </c>
      <c r="F716" s="13"/>
      <c r="G716" s="11" t="s">
        <v>3277</v>
      </c>
      <c r="H716" s="13"/>
      <c r="I716" s="14">
        <v>6.0</v>
      </c>
      <c r="J716" s="14">
        <v>39.0</v>
      </c>
      <c r="K716" s="9" t="str">
        <f>HYPERLINK("http://twitter.com/download/android","Twitter for Android")</f>
        <v>Twitter for Android</v>
      </c>
      <c r="L716" s="15">
        <v>2057.0</v>
      </c>
      <c r="M716" s="15">
        <v>2056.0</v>
      </c>
      <c r="N716" s="15">
        <v>13.0</v>
      </c>
      <c r="O716" s="16"/>
      <c r="P716" s="17">
        <v>41365.584386574075</v>
      </c>
      <c r="Q716" s="10" t="s">
        <v>24</v>
      </c>
      <c r="R716" s="10" t="s">
        <v>3278</v>
      </c>
      <c r="S716" s="13"/>
      <c r="T716" s="13"/>
      <c r="U716" s="18" t="str">
        <f>HYPERLINK("https://pbs.twimg.com/profile_images/1208474949574365184/BK8raA3m.jpg","View")</f>
        <v>View</v>
      </c>
      <c r="V716" s="13"/>
      <c r="W716" s="13"/>
      <c r="X716" s="13"/>
      <c r="Y716" s="13"/>
      <c r="Z716" s="13"/>
    </row>
    <row r="717">
      <c r="A717" s="8">
        <v>43848.609201388885</v>
      </c>
      <c r="B717" s="9" t="str">
        <f>HYPERLINK("https://twitter.com/TrishHurtubise","@TrishHurtubise")</f>
        <v>@TrishHurtubise</v>
      </c>
      <c r="C717" s="10" t="s">
        <v>3205</v>
      </c>
      <c r="D717" s="10" t="s">
        <v>3279</v>
      </c>
      <c r="E717" s="9" t="str">
        <f>HYPERLINK("https://twitter.com/TrishHurtubise/status/1218618372197404672","1218618372197404672")</f>
        <v>1218618372197404672</v>
      </c>
      <c r="F717" s="11" t="s">
        <v>3280</v>
      </c>
      <c r="G717" s="13"/>
      <c r="H717" s="13"/>
      <c r="I717" s="14">
        <v>0.0</v>
      </c>
      <c r="J717" s="14">
        <v>0.0</v>
      </c>
      <c r="K717" s="9" t="str">
        <f>HYPERLINK("http://mentalhealthtalk.info","iAutoTweetMHT")</f>
        <v>iAutoTweetMHT</v>
      </c>
      <c r="L717" s="15">
        <v>914.0</v>
      </c>
      <c r="M717" s="15">
        <v>549.0</v>
      </c>
      <c r="N717" s="15">
        <v>83.0</v>
      </c>
      <c r="O717" s="16"/>
      <c r="P717" s="17">
        <v>40608.93771990741</v>
      </c>
      <c r="Q717" s="10" t="s">
        <v>177</v>
      </c>
      <c r="R717" s="10" t="s">
        <v>3208</v>
      </c>
      <c r="S717" s="11" t="s">
        <v>3209</v>
      </c>
      <c r="T717" s="13"/>
      <c r="U717" s="18" t="str">
        <f>HYPERLINK("https://pbs.twimg.com/profile_images/1093932846257860610/vAjXU1Ja.jpg","View")</f>
        <v>View</v>
      </c>
      <c r="V717" s="13"/>
      <c r="W717" s="13"/>
      <c r="X717" s="13"/>
      <c r="Y717" s="13"/>
      <c r="Z717" s="13"/>
    </row>
    <row r="718">
      <c r="A718" s="8">
        <v>43848.60914351852</v>
      </c>
      <c r="B718" s="9" t="str">
        <f>HYPERLINK("https://twitter.com/kumar_iima","@kumar_iima")</f>
        <v>@kumar_iima</v>
      </c>
      <c r="C718" s="10" t="s">
        <v>3281</v>
      </c>
      <c r="D718" s="10" t="s">
        <v>238</v>
      </c>
      <c r="E718" s="9" t="str">
        <f>HYPERLINK("https://twitter.com/kumar_iima/status/1218618353268314112","1218618353268314112")</f>
        <v>1218618353268314112</v>
      </c>
      <c r="F718" s="13"/>
      <c r="G718" s="13"/>
      <c r="H718" s="13"/>
      <c r="I718" s="14">
        <v>0.0</v>
      </c>
      <c r="J718" s="14">
        <v>1.0</v>
      </c>
      <c r="K718" s="9" t="str">
        <f t="shared" ref="K718:K720" si="83">HYPERLINK("http://twitter.com/download/android","Twitter for Android")</f>
        <v>Twitter for Android</v>
      </c>
      <c r="L718" s="15">
        <v>72.0</v>
      </c>
      <c r="M718" s="15">
        <v>528.0</v>
      </c>
      <c r="N718" s="15">
        <v>0.0</v>
      </c>
      <c r="O718" s="16"/>
      <c r="P718" s="17">
        <v>43373.3765625</v>
      </c>
      <c r="Q718" s="10" t="s">
        <v>3282</v>
      </c>
      <c r="R718" s="10" t="s">
        <v>3283</v>
      </c>
      <c r="S718" s="13"/>
      <c r="T718" s="13"/>
      <c r="U718" s="18" t="str">
        <f>HYPERLINK("https://pbs.twimg.com/profile_images/1051102335307567107/zAW1n12o.jpg","View")</f>
        <v>View</v>
      </c>
      <c r="V718" s="13"/>
      <c r="W718" s="13"/>
      <c r="X718" s="13"/>
      <c r="Y718" s="13"/>
      <c r="Z718" s="13"/>
    </row>
    <row r="719">
      <c r="A719" s="8">
        <v>43848.60864583333</v>
      </c>
      <c r="B719" s="9" t="str">
        <f>HYPERLINK("https://twitter.com/PatientExpertUK","@PatientExpertUK")</f>
        <v>@PatientExpertUK</v>
      </c>
      <c r="C719" s="10" t="s">
        <v>3284</v>
      </c>
      <c r="D719" s="10" t="s">
        <v>3285</v>
      </c>
      <c r="E719" s="9" t="str">
        <f>HYPERLINK("https://twitter.com/PatientExpertUK/status/1218618170455609344","1218618170455609344")</f>
        <v>1218618170455609344</v>
      </c>
      <c r="F719" s="13"/>
      <c r="G719" s="13"/>
      <c r="H719" s="13"/>
      <c r="I719" s="14">
        <v>0.0</v>
      </c>
      <c r="J719" s="14">
        <v>0.0</v>
      </c>
      <c r="K719" s="9" t="str">
        <f t="shared" si="83"/>
        <v>Twitter for Android</v>
      </c>
      <c r="L719" s="15">
        <v>3836.0</v>
      </c>
      <c r="M719" s="15">
        <v>4981.0</v>
      </c>
      <c r="N719" s="15">
        <v>118.0</v>
      </c>
      <c r="O719" s="16"/>
      <c r="P719" s="17">
        <v>39844.55090277777</v>
      </c>
      <c r="Q719" s="10" t="s">
        <v>3286</v>
      </c>
      <c r="R719" s="10" t="s">
        <v>3287</v>
      </c>
      <c r="S719" s="11" t="s">
        <v>3288</v>
      </c>
      <c r="T719" s="13"/>
      <c r="U719" s="18" t="str">
        <f>HYPERLINK("https://pbs.twimg.com/profile_images/905494510330884097/ld1VjElH.jpg","View")</f>
        <v>View</v>
      </c>
      <c r="V719" s="13"/>
      <c r="W719" s="13"/>
      <c r="X719" s="13"/>
      <c r="Y719" s="13"/>
      <c r="Z719" s="13"/>
    </row>
    <row r="720">
      <c r="A720" s="8">
        <v>43848.60824074074</v>
      </c>
      <c r="B720" s="9" t="str">
        <f>HYPERLINK("https://twitter.com/milieM8","@milieM8")</f>
        <v>@milieM8</v>
      </c>
      <c r="C720" s="10" t="s">
        <v>3289</v>
      </c>
      <c r="D720" s="10" t="s">
        <v>3290</v>
      </c>
      <c r="E720" s="9" t="str">
        <f>HYPERLINK("https://twitter.com/milieM8/status/1218618022459592705","1218618022459592705")</f>
        <v>1218618022459592705</v>
      </c>
      <c r="F720" s="13"/>
      <c r="G720" s="11" t="s">
        <v>3291</v>
      </c>
      <c r="H720" s="13"/>
      <c r="I720" s="14">
        <v>0.0</v>
      </c>
      <c r="J720" s="14">
        <v>0.0</v>
      </c>
      <c r="K720" s="9" t="str">
        <f t="shared" si="83"/>
        <v>Twitter for Android</v>
      </c>
      <c r="L720" s="15">
        <v>1.0</v>
      </c>
      <c r="M720" s="15">
        <v>10.0</v>
      </c>
      <c r="N720" s="15">
        <v>0.0</v>
      </c>
      <c r="O720" s="16"/>
      <c r="P720" s="17">
        <v>43848.575578703705</v>
      </c>
      <c r="Q720" s="10" t="s">
        <v>474</v>
      </c>
      <c r="R720" s="13"/>
      <c r="S720" s="11" t="s">
        <v>3292</v>
      </c>
      <c r="T720" s="13"/>
      <c r="U720" s="18" t="str">
        <f>HYPERLINK("https://pbs.twimg.com/profile_images/1218607650687995904/z3BqrIUR.jpg","View")</f>
        <v>View</v>
      </c>
      <c r="V720" s="13"/>
      <c r="W720" s="13"/>
      <c r="X720" s="13"/>
      <c r="Y720" s="13"/>
      <c r="Z720" s="13"/>
    </row>
    <row r="721">
      <c r="A721" s="8">
        <v>43848.60811342593</v>
      </c>
      <c r="B721" s="9" t="str">
        <f>HYPERLINK("https://twitter.com/dwiforg","@dwiforg")</f>
        <v>@dwiforg</v>
      </c>
      <c r="C721" s="10" t="s">
        <v>3293</v>
      </c>
      <c r="D721" s="10" t="s">
        <v>3294</v>
      </c>
      <c r="E721" s="9" t="str">
        <f>HYPERLINK("https://twitter.com/dwiforg/status/1218617978893172737","1218617978893172737")</f>
        <v>1218617978893172737</v>
      </c>
      <c r="F721" s="13"/>
      <c r="G721" s="13"/>
      <c r="H721" s="13"/>
      <c r="I721" s="14">
        <v>0.0</v>
      </c>
      <c r="J721" s="14">
        <v>0.0</v>
      </c>
      <c r="K721" s="9" t="str">
        <f>HYPERLINK("http://twitter.com/download/iphone","Twitter for iPhone")</f>
        <v>Twitter for iPhone</v>
      </c>
      <c r="L721" s="15">
        <v>23.0</v>
      </c>
      <c r="M721" s="15">
        <v>561.0</v>
      </c>
      <c r="N721" s="15">
        <v>0.0</v>
      </c>
      <c r="O721" s="16"/>
      <c r="P721" s="17">
        <v>43840.00592592593</v>
      </c>
      <c r="Q721" s="10" t="s">
        <v>382</v>
      </c>
      <c r="R721" s="10" t="s">
        <v>3295</v>
      </c>
      <c r="S721" s="11" t="s">
        <v>3296</v>
      </c>
      <c r="T721" s="13"/>
      <c r="U721" s="18" t="str">
        <f>HYPERLINK("https://pbs.twimg.com/profile_images/1217693404420698112/NGMYsev0.jpg","View")</f>
        <v>View</v>
      </c>
      <c r="V721" s="13"/>
      <c r="W721" s="13"/>
      <c r="X721" s="13"/>
      <c r="Y721" s="13"/>
      <c r="Z721" s="13"/>
    </row>
    <row r="722">
      <c r="A722" s="8">
        <v>43848.60766203704</v>
      </c>
      <c r="B722" s="9" t="str">
        <f>HYPERLINK("https://twitter.com/ShawnParker2013","@ShawnParker2013")</f>
        <v>@ShawnParker2013</v>
      </c>
      <c r="C722" s="10" t="s">
        <v>472</v>
      </c>
      <c r="D722" s="10" t="s">
        <v>3297</v>
      </c>
      <c r="E722" s="9" t="str">
        <f>HYPERLINK("https://twitter.com/ShawnParker2013/status/1218617812597407744","1218617812597407744")</f>
        <v>1218617812597407744</v>
      </c>
      <c r="F722" s="11" t="s">
        <v>3298</v>
      </c>
      <c r="G722" s="13"/>
      <c r="H722" s="13"/>
      <c r="I722" s="14">
        <v>0.0</v>
      </c>
      <c r="J722" s="14">
        <v>1.0</v>
      </c>
      <c r="K722" s="9" t="str">
        <f>HYPERLINK("http://plus.google.com/116032873101429204265","Zolushka4Sean")</f>
        <v>Zolushka4Sean</v>
      </c>
      <c r="L722" s="15">
        <v>8583.0</v>
      </c>
      <c r="M722" s="15">
        <v>3773.0</v>
      </c>
      <c r="N722" s="15">
        <v>423.0</v>
      </c>
      <c r="O722" s="16"/>
      <c r="P722" s="17">
        <v>41334.926898148144</v>
      </c>
      <c r="Q722" s="10" t="s">
        <v>474</v>
      </c>
      <c r="R722" s="10" t="s">
        <v>475</v>
      </c>
      <c r="S722" s="11" t="s">
        <v>476</v>
      </c>
      <c r="T722" s="13"/>
      <c r="U722" s="18" t="str">
        <f>HYPERLINK("https://pbs.twimg.com/profile_images/378800000506530098/83c03de093473f92e6c4dae97abff100.jpeg","View")</f>
        <v>View</v>
      </c>
      <c r="V722" s="13"/>
      <c r="W722" s="13"/>
      <c r="X722" s="13"/>
      <c r="Y722" s="13"/>
      <c r="Z722" s="13"/>
    </row>
    <row r="723">
      <c r="A723" s="8">
        <v>43848.60737268519</v>
      </c>
      <c r="B723" s="9" t="str">
        <f>HYPERLINK("https://twitter.com/sophiebiddulph","@sophiebiddulph")</f>
        <v>@sophiebiddulph</v>
      </c>
      <c r="C723" s="10" t="s">
        <v>3299</v>
      </c>
      <c r="D723" s="10" t="s">
        <v>3300</v>
      </c>
      <c r="E723" s="9" t="str">
        <f>HYPERLINK("https://twitter.com/sophiebiddulph/status/1218617711007322118","1218617711007322118")</f>
        <v>1218617711007322118</v>
      </c>
      <c r="F723" s="13"/>
      <c r="G723" s="13"/>
      <c r="H723" s="13"/>
      <c r="I723" s="14">
        <v>0.0</v>
      </c>
      <c r="J723" s="14">
        <v>1.0</v>
      </c>
      <c r="K723" s="9" t="str">
        <f>HYPERLINK("https://mobile.twitter.com","Twitter Web App")</f>
        <v>Twitter Web App</v>
      </c>
      <c r="L723" s="15">
        <v>484.0</v>
      </c>
      <c r="M723" s="15">
        <v>966.0</v>
      </c>
      <c r="N723" s="15">
        <v>9.0</v>
      </c>
      <c r="O723" s="16"/>
      <c r="P723" s="17">
        <v>41579.34704861111</v>
      </c>
      <c r="Q723" s="13"/>
      <c r="R723" s="10" t="s">
        <v>3301</v>
      </c>
      <c r="S723" s="11" t="s">
        <v>3302</v>
      </c>
      <c r="T723" s="13"/>
      <c r="U723" s="18" t="str">
        <f>HYPERLINK("https://pbs.twimg.com/profile_images/1180574976656760834/WXMwkkQr.jpg","View")</f>
        <v>View</v>
      </c>
      <c r="V723" s="13"/>
      <c r="W723" s="13"/>
      <c r="X723" s="13"/>
      <c r="Y723" s="13"/>
      <c r="Z723" s="13"/>
    </row>
    <row r="724">
      <c r="A724" s="8">
        <v>43848.60716435185</v>
      </c>
      <c r="B724" s="9" t="str">
        <f>HYPERLINK("https://twitter.com/tobyblaikie","@tobyblaikie")</f>
        <v>@tobyblaikie</v>
      </c>
      <c r="C724" s="10" t="s">
        <v>3303</v>
      </c>
      <c r="D724" s="10" t="s">
        <v>3304</v>
      </c>
      <c r="E724" s="9" t="str">
        <f>HYPERLINK("https://twitter.com/tobyblaikie/status/1218617633278439424","1218617633278439424")</f>
        <v>1218617633278439424</v>
      </c>
      <c r="F724" s="13"/>
      <c r="G724" s="13"/>
      <c r="H724" s="13"/>
      <c r="I724" s="14">
        <v>0.0</v>
      </c>
      <c r="J724" s="14">
        <v>2.0</v>
      </c>
      <c r="K724" s="9" t="str">
        <f>HYPERLINK("http://twitter.com/download/android","Twitter for Android")</f>
        <v>Twitter for Android</v>
      </c>
      <c r="L724" s="15">
        <v>84.0</v>
      </c>
      <c r="M724" s="15">
        <v>369.0</v>
      </c>
      <c r="N724" s="15">
        <v>1.0</v>
      </c>
      <c r="O724" s="16"/>
      <c r="P724" s="17">
        <v>40524.78391203703</v>
      </c>
      <c r="Q724" s="10" t="s">
        <v>1024</v>
      </c>
      <c r="R724" s="10" t="s">
        <v>3305</v>
      </c>
      <c r="S724" s="11" t="s">
        <v>3306</v>
      </c>
      <c r="T724" s="13"/>
      <c r="U724" s="18" t="str">
        <f>HYPERLINK("https://pbs.twimg.com/profile_images/1217024877061976064/yjMJ_Re8.jpg","View")</f>
        <v>View</v>
      </c>
      <c r="V724" s="13"/>
      <c r="W724" s="13"/>
      <c r="X724" s="13"/>
      <c r="Y724" s="13"/>
      <c r="Z724" s="13"/>
    </row>
    <row r="725">
      <c r="A725" s="8">
        <v>43848.60702546296</v>
      </c>
      <c r="B725" s="9" t="str">
        <f>HYPERLINK("https://twitter.com/TrishHurtubise","@TrishHurtubise")</f>
        <v>@TrishHurtubise</v>
      </c>
      <c r="C725" s="10" t="s">
        <v>3205</v>
      </c>
      <c r="D725" s="10" t="s">
        <v>3307</v>
      </c>
      <c r="E725" s="9" t="str">
        <f>HYPERLINK("https://twitter.com/TrishHurtubise/status/1218617584062431232","1218617584062431232")</f>
        <v>1218617584062431232</v>
      </c>
      <c r="F725" s="11" t="s">
        <v>3308</v>
      </c>
      <c r="G725" s="13"/>
      <c r="H725" s="13"/>
      <c r="I725" s="14">
        <v>0.0</v>
      </c>
      <c r="J725" s="14">
        <v>0.0</v>
      </c>
      <c r="K725" s="9" t="str">
        <f>HYPERLINK("http://mentalhealthtalk.info","iAutoTweetMHT")</f>
        <v>iAutoTweetMHT</v>
      </c>
      <c r="L725" s="15">
        <v>914.0</v>
      </c>
      <c r="M725" s="15">
        <v>549.0</v>
      </c>
      <c r="N725" s="15">
        <v>83.0</v>
      </c>
      <c r="O725" s="16"/>
      <c r="P725" s="17">
        <v>40608.93771990741</v>
      </c>
      <c r="Q725" s="10" t="s">
        <v>177</v>
      </c>
      <c r="R725" s="10" t="s">
        <v>3208</v>
      </c>
      <c r="S725" s="11" t="s">
        <v>3209</v>
      </c>
      <c r="T725" s="13"/>
      <c r="U725" s="18" t="str">
        <f>HYPERLINK("https://pbs.twimg.com/profile_images/1093932846257860610/vAjXU1Ja.jpg","View")</f>
        <v>View</v>
      </c>
      <c r="V725" s="13"/>
      <c r="W725" s="13"/>
      <c r="X725" s="13"/>
      <c r="Y725" s="13"/>
      <c r="Z725" s="13"/>
    </row>
    <row r="726">
      <c r="A726" s="8">
        <v>43848.6069675926</v>
      </c>
      <c r="B726" s="9" t="str">
        <f>HYPERLINK("https://twitter.com/lindahobbis","@lindahobbis")</f>
        <v>@lindahobbis</v>
      </c>
      <c r="C726" s="10" t="s">
        <v>3309</v>
      </c>
      <c r="D726" s="10" t="s">
        <v>3310</v>
      </c>
      <c r="E726" s="9" t="str">
        <f>HYPERLINK("https://twitter.com/lindahobbis/status/1218617563460132864","1218617563460132864")</f>
        <v>1218617563460132864</v>
      </c>
      <c r="F726" s="11" t="s">
        <v>3311</v>
      </c>
      <c r="G726" s="11" t="s">
        <v>3312</v>
      </c>
      <c r="H726" s="13"/>
      <c r="I726" s="14">
        <v>0.0</v>
      </c>
      <c r="J726" s="14">
        <v>0.0</v>
      </c>
      <c r="K726" s="9" t="str">
        <f>HYPERLINK("https://buffer.com","Buffer")</f>
        <v>Buffer</v>
      </c>
      <c r="L726" s="15">
        <v>14368.0</v>
      </c>
      <c r="M726" s="15">
        <v>3719.0</v>
      </c>
      <c r="N726" s="15">
        <v>889.0</v>
      </c>
      <c r="O726" s="16"/>
      <c r="P726" s="17">
        <v>40418.67385416667</v>
      </c>
      <c r="Q726" s="10" t="s">
        <v>1324</v>
      </c>
      <c r="R726" s="10" t="s">
        <v>3313</v>
      </c>
      <c r="S726" s="11" t="s">
        <v>3314</v>
      </c>
      <c r="T726" s="13"/>
      <c r="U726" s="18" t="str">
        <f>HYPERLINK("https://pbs.twimg.com/profile_images/1063787433928650754/J0a3EKfF.jpg","View")</f>
        <v>View</v>
      </c>
      <c r="V726" s="13"/>
      <c r="W726" s="13"/>
      <c r="X726" s="13"/>
      <c r="Y726" s="13"/>
      <c r="Z726" s="13"/>
    </row>
    <row r="727">
      <c r="A727" s="8">
        <v>43848.60695601851</v>
      </c>
      <c r="B727" s="9" t="str">
        <f>HYPERLINK("https://twitter.com/umbrellapjct","@umbrellapjct")</f>
        <v>@umbrellapjct</v>
      </c>
      <c r="C727" s="10" t="s">
        <v>3315</v>
      </c>
      <c r="D727" s="10" t="s">
        <v>3316</v>
      </c>
      <c r="E727" s="9" t="str">
        <f>HYPERLINK("https://twitter.com/umbrellapjct/status/1218617559563558918","1218617559563558918")</f>
        <v>1218617559563558918</v>
      </c>
      <c r="F727" s="13"/>
      <c r="G727" s="11" t="s">
        <v>3317</v>
      </c>
      <c r="H727" s="13"/>
      <c r="I727" s="14">
        <v>2.0</v>
      </c>
      <c r="J727" s="14">
        <v>6.0</v>
      </c>
      <c r="K727" s="9" t="str">
        <f>HYPERLINK("http://twitter.com/download/iphone","Twitter for iPhone")</f>
        <v>Twitter for iPhone</v>
      </c>
      <c r="L727" s="15">
        <v>1002.0</v>
      </c>
      <c r="M727" s="15">
        <v>635.0</v>
      </c>
      <c r="N727" s="15">
        <v>2.0</v>
      </c>
      <c r="O727" s="16"/>
      <c r="P727" s="17">
        <v>42660.384259259255</v>
      </c>
      <c r="Q727" s="10" t="s">
        <v>3318</v>
      </c>
      <c r="R727" s="10" t="s">
        <v>3319</v>
      </c>
      <c r="S727" s="11" t="s">
        <v>3320</v>
      </c>
      <c r="T727" s="13"/>
      <c r="U727" s="18" t="str">
        <f>HYPERLINK("https://pbs.twimg.com/profile_images/1064198945893699592/do3Rf6Jm.jpg","View")</f>
        <v>View</v>
      </c>
      <c r="V727" s="13"/>
      <c r="W727" s="13"/>
      <c r="X727" s="13"/>
      <c r="Y727" s="13"/>
      <c r="Z727" s="13"/>
    </row>
    <row r="728">
      <c r="A728" s="8">
        <v>43848.606840277775</v>
      </c>
      <c r="B728" s="9" t="str">
        <f>HYPERLINK("https://twitter.com/StephanyMcIlroy","@StephanyMcIlroy")</f>
        <v>@StephanyMcIlroy</v>
      </c>
      <c r="C728" s="10" t="s">
        <v>3321</v>
      </c>
      <c r="D728" s="10" t="s">
        <v>3322</v>
      </c>
      <c r="E728" s="9" t="str">
        <f>HYPERLINK("https://twitter.com/StephanyMcIlroy/status/1218617516995596288","1218617516995596288")</f>
        <v>1218617516995596288</v>
      </c>
      <c r="F728" s="13"/>
      <c r="G728" s="11" t="s">
        <v>3323</v>
      </c>
      <c r="H728" s="13"/>
      <c r="I728" s="14">
        <v>0.0</v>
      </c>
      <c r="J728" s="14">
        <v>0.0</v>
      </c>
      <c r="K728" s="9" t="str">
        <f t="shared" ref="K728:K729" si="84">HYPERLINK("http://twitter.com/download/android","Twitter for Android")</f>
        <v>Twitter for Android</v>
      </c>
      <c r="L728" s="15">
        <v>627.0</v>
      </c>
      <c r="M728" s="15">
        <v>2094.0</v>
      </c>
      <c r="N728" s="15">
        <v>25.0</v>
      </c>
      <c r="O728" s="16"/>
      <c r="P728" s="17">
        <v>40370.89770833333</v>
      </c>
      <c r="Q728" s="10" t="s">
        <v>3324</v>
      </c>
      <c r="R728" s="10" t="s">
        <v>3325</v>
      </c>
      <c r="S728" s="11" t="s">
        <v>3326</v>
      </c>
      <c r="T728" s="13"/>
      <c r="U728" s="18" t="str">
        <f>HYPERLINK("https://pbs.twimg.com/profile_images/1154481803534753794/yxpMfEgU.jpg","View")</f>
        <v>View</v>
      </c>
      <c r="V728" s="13"/>
      <c r="W728" s="13"/>
      <c r="X728" s="13"/>
      <c r="Y728" s="13"/>
      <c r="Z728" s="13"/>
    </row>
    <row r="729">
      <c r="A729" s="8">
        <v>43848.60628472222</v>
      </c>
      <c r="B729" s="9" t="str">
        <f>HYPERLINK("https://twitter.com/contessalynn505","@contessalynn505")</f>
        <v>@contessalynn505</v>
      </c>
      <c r="C729" s="10" t="s">
        <v>3327</v>
      </c>
      <c r="D729" s="10" t="s">
        <v>3328</v>
      </c>
      <c r="E729" s="9" t="str">
        <f>HYPERLINK("https://twitter.com/contessalynn505/status/1218617314721050624","1218617314721050624")</f>
        <v>1218617314721050624</v>
      </c>
      <c r="F729" s="13"/>
      <c r="G729" s="11" t="s">
        <v>3329</v>
      </c>
      <c r="H729" s="13"/>
      <c r="I729" s="14">
        <v>0.0</v>
      </c>
      <c r="J729" s="14">
        <v>0.0</v>
      </c>
      <c r="K729" s="9" t="str">
        <f t="shared" si="84"/>
        <v>Twitter for Android</v>
      </c>
      <c r="L729" s="15">
        <v>47.0</v>
      </c>
      <c r="M729" s="15">
        <v>70.0</v>
      </c>
      <c r="N729" s="15">
        <v>0.0</v>
      </c>
      <c r="O729" s="16"/>
      <c r="P729" s="17">
        <v>42760.99150462963</v>
      </c>
      <c r="Q729" s="10" t="s">
        <v>3330</v>
      </c>
      <c r="R729" s="10" t="s">
        <v>3331</v>
      </c>
      <c r="S729" s="11" t="s">
        <v>3332</v>
      </c>
      <c r="T729" s="13"/>
      <c r="U729" s="18" t="str">
        <f>HYPERLINK("https://pbs.twimg.com/profile_images/1212726395157147648/kbwH1Gsb.jpg","View")</f>
        <v>View</v>
      </c>
      <c r="V729" s="13"/>
      <c r="W729" s="13"/>
      <c r="X729" s="13"/>
      <c r="Y729" s="13"/>
      <c r="Z729" s="13"/>
    </row>
    <row r="730">
      <c r="A730" s="8">
        <v>43848.605995370366</v>
      </c>
      <c r="B730" s="9" t="str">
        <f>HYPERLINK("https://twitter.com/djdavelive","@djdavelive")</f>
        <v>@djdavelive</v>
      </c>
      <c r="C730" s="11" t="s">
        <v>1652</v>
      </c>
      <c r="D730" s="10" t="s">
        <v>3333</v>
      </c>
      <c r="E730" s="9" t="str">
        <f>HYPERLINK("https://twitter.com/djdavelive/status/1218617208861052928","1218617208861052928")</f>
        <v>1218617208861052928</v>
      </c>
      <c r="F730" s="11" t="s">
        <v>1654</v>
      </c>
      <c r="G730" s="13"/>
      <c r="H730" s="13"/>
      <c r="I730" s="14">
        <v>0.0</v>
      </c>
      <c r="J730" s="14">
        <v>0.0</v>
      </c>
      <c r="K730" s="9" t="str">
        <f>HYPERLINK("http://www.DynamicTweets.com","Dynamic Tweets")</f>
        <v>Dynamic Tweets</v>
      </c>
      <c r="L730" s="15">
        <v>5462.0</v>
      </c>
      <c r="M730" s="15">
        <v>5137.0</v>
      </c>
      <c r="N730" s="15">
        <v>204.0</v>
      </c>
      <c r="O730" s="16"/>
      <c r="P730" s="17">
        <v>40413.89355324074</v>
      </c>
      <c r="Q730" s="10" t="s">
        <v>245</v>
      </c>
      <c r="R730" s="10" t="s">
        <v>1655</v>
      </c>
      <c r="S730" s="11" t="s">
        <v>1656</v>
      </c>
      <c r="T730" s="13"/>
      <c r="U730" s="18" t="str">
        <f>HYPERLINK("https://pbs.twimg.com/profile_images/933351548951838725/KfUxqarF.jpg","View")</f>
        <v>View</v>
      </c>
      <c r="V730" s="13"/>
      <c r="W730" s="13"/>
      <c r="X730" s="13"/>
      <c r="Y730" s="13"/>
      <c r="Z730" s="13"/>
    </row>
    <row r="731">
      <c r="A731" s="8">
        <v>43848.605370370366</v>
      </c>
      <c r="B731" s="9" t="str">
        <f>HYPERLINK("https://twitter.com/AAMorra13","@AAMorra13")</f>
        <v>@AAMorra13</v>
      </c>
      <c r="C731" s="10" t="s">
        <v>3334</v>
      </c>
      <c r="D731" s="10" t="s">
        <v>3335</v>
      </c>
      <c r="E731" s="9" t="str">
        <f>HYPERLINK("https://twitter.com/AAMorra13/status/1218616985896071168","1218616985896071168")</f>
        <v>1218616985896071168</v>
      </c>
      <c r="F731" s="13"/>
      <c r="G731" s="11" t="s">
        <v>3336</v>
      </c>
      <c r="H731" s="13"/>
      <c r="I731" s="14">
        <v>0.0</v>
      </c>
      <c r="J731" s="14">
        <v>0.0</v>
      </c>
      <c r="K731" s="9" t="str">
        <f>HYPERLINK("http://twitter.com/download/iphone","Twitter for iPhone")</f>
        <v>Twitter for iPhone</v>
      </c>
      <c r="L731" s="15">
        <v>412.0</v>
      </c>
      <c r="M731" s="15">
        <v>895.0</v>
      </c>
      <c r="N731" s="15">
        <v>9.0</v>
      </c>
      <c r="O731" s="16"/>
      <c r="P731" s="17">
        <v>40756.778645833336</v>
      </c>
      <c r="Q731" s="13"/>
      <c r="R731" s="10" t="s">
        <v>3337</v>
      </c>
      <c r="S731" s="13"/>
      <c r="T731" s="13"/>
      <c r="U731" s="18" t="str">
        <f>HYPERLINK("https://pbs.twimg.com/profile_images/1114512862066749440/TI8htC0x.jpg","View")</f>
        <v>View</v>
      </c>
      <c r="V731" s="13"/>
      <c r="W731" s="13"/>
      <c r="X731" s="13"/>
      <c r="Y731" s="13"/>
      <c r="Z731" s="13"/>
    </row>
    <row r="732">
      <c r="A732" s="8">
        <v>43848.60491898148</v>
      </c>
      <c r="B732" s="9" t="str">
        <f>HYPERLINK("https://twitter.com/RiverviewCMHC","@RiverviewCMHC")</f>
        <v>@RiverviewCMHC</v>
      </c>
      <c r="C732" s="10" t="s">
        <v>3338</v>
      </c>
      <c r="D732" s="10" t="s">
        <v>3339</v>
      </c>
      <c r="E732" s="9" t="str">
        <f>HYPERLINK("https://twitter.com/RiverviewCMHC/status/1218616820510461952","1218616820510461952")</f>
        <v>1218616820510461952</v>
      </c>
      <c r="F732" s="11" t="s">
        <v>3340</v>
      </c>
      <c r="G732" s="11" t="s">
        <v>3341</v>
      </c>
      <c r="H732" s="13"/>
      <c r="I732" s="14">
        <v>0.0</v>
      </c>
      <c r="J732" s="14">
        <v>0.0</v>
      </c>
      <c r="K732" s="9" t="str">
        <f>HYPERLINK("https://panel.socialpilot.co/","SocialPilot.co")</f>
        <v>SocialPilot.co</v>
      </c>
      <c r="L732" s="15">
        <v>5.0</v>
      </c>
      <c r="M732" s="15">
        <v>3.0</v>
      </c>
      <c r="N732" s="15">
        <v>0.0</v>
      </c>
      <c r="O732" s="16"/>
      <c r="P732" s="17">
        <v>42697.79387731482</v>
      </c>
      <c r="Q732" s="10" t="s">
        <v>1220</v>
      </c>
      <c r="R732" s="10" t="s">
        <v>3342</v>
      </c>
      <c r="S732" s="11" t="s">
        <v>3343</v>
      </c>
      <c r="T732" s="13"/>
      <c r="U732" s="18" t="str">
        <f>HYPERLINK("https://pbs.twimg.com/profile_images/801576996388110337/OM3HsTam.jpg","View")</f>
        <v>View</v>
      </c>
      <c r="V732" s="13"/>
      <c r="W732" s="13"/>
      <c r="X732" s="13"/>
      <c r="Y732" s="13"/>
      <c r="Z732" s="13"/>
    </row>
    <row r="733">
      <c r="A733" s="8">
        <v>43848.604849537034</v>
      </c>
      <c r="B733" s="9" t="str">
        <f>HYPERLINK("https://twitter.com/TrishHurtubise","@TrishHurtubise")</f>
        <v>@TrishHurtubise</v>
      </c>
      <c r="C733" s="10" t="s">
        <v>3205</v>
      </c>
      <c r="D733" s="10" t="s">
        <v>3344</v>
      </c>
      <c r="E733" s="9" t="str">
        <f>HYPERLINK("https://twitter.com/TrishHurtubise/status/1218616796380651520","1218616796380651520")</f>
        <v>1218616796380651520</v>
      </c>
      <c r="F733" s="11" t="s">
        <v>3345</v>
      </c>
      <c r="G733" s="13"/>
      <c r="H733" s="13"/>
      <c r="I733" s="14">
        <v>0.0</v>
      </c>
      <c r="J733" s="14">
        <v>0.0</v>
      </c>
      <c r="K733" s="9" t="str">
        <f>HYPERLINK("http://mentalhealthtalk.info","iAutoTweetMHT")</f>
        <v>iAutoTweetMHT</v>
      </c>
      <c r="L733" s="15">
        <v>914.0</v>
      </c>
      <c r="M733" s="15">
        <v>549.0</v>
      </c>
      <c r="N733" s="15">
        <v>83.0</v>
      </c>
      <c r="O733" s="16"/>
      <c r="P733" s="17">
        <v>40608.93771990741</v>
      </c>
      <c r="Q733" s="10" t="s">
        <v>177</v>
      </c>
      <c r="R733" s="10" t="s">
        <v>3208</v>
      </c>
      <c r="S733" s="11" t="s">
        <v>3209</v>
      </c>
      <c r="T733" s="13"/>
      <c r="U733" s="18" t="str">
        <f>HYPERLINK("https://pbs.twimg.com/profile_images/1093932846257860610/vAjXU1Ja.jpg","View")</f>
        <v>View</v>
      </c>
      <c r="V733" s="13"/>
      <c r="W733" s="13"/>
      <c r="X733" s="13"/>
      <c r="Y733" s="13"/>
      <c r="Z733" s="13"/>
    </row>
    <row r="734">
      <c r="A734" s="8">
        <v>43848.604849537034</v>
      </c>
      <c r="B734" s="9" t="str">
        <f>HYPERLINK("https://twitter.com/jesdeh2o","@jesdeh2o")</f>
        <v>@jesdeh2o</v>
      </c>
      <c r="C734" s="10" t="s">
        <v>3346</v>
      </c>
      <c r="D734" s="10" t="s">
        <v>3347</v>
      </c>
      <c r="E734" s="9" t="str">
        <f>HYPERLINK("https://twitter.com/jesdeh2o/status/1218616796338708481","1218616796338708481")</f>
        <v>1218616796338708481</v>
      </c>
      <c r="F734" s="13"/>
      <c r="G734" s="13"/>
      <c r="H734" s="13"/>
      <c r="I734" s="14">
        <v>0.0</v>
      </c>
      <c r="J734" s="14">
        <v>0.0</v>
      </c>
      <c r="K734" s="9" t="str">
        <f>HYPERLINK("http://twitter.com/download/android","Twitter for Android")</f>
        <v>Twitter for Android</v>
      </c>
      <c r="L734" s="15">
        <v>556.0</v>
      </c>
      <c r="M734" s="15">
        <v>361.0</v>
      </c>
      <c r="N734" s="15">
        <v>148.0</v>
      </c>
      <c r="O734" s="16"/>
      <c r="P734" s="17">
        <v>40905.01228009259</v>
      </c>
      <c r="Q734" s="10" t="s">
        <v>590</v>
      </c>
      <c r="R734" s="10" t="s">
        <v>3348</v>
      </c>
      <c r="S734" s="11" t="s">
        <v>3349</v>
      </c>
      <c r="T734" s="13"/>
      <c r="U734" s="18" t="str">
        <f>HYPERLINK("https://pbs.twimg.com/profile_images/1200932246565400577/7TtlA8s5.jpg","View")</f>
        <v>View</v>
      </c>
      <c r="V734" s="13"/>
      <c r="W734" s="13"/>
      <c r="X734" s="13"/>
      <c r="Y734" s="13"/>
      <c r="Z734" s="13"/>
    </row>
    <row r="735">
      <c r="A735" s="8">
        <v>43848.604479166665</v>
      </c>
      <c r="B735" s="9" t="str">
        <f>HYPERLINK("https://twitter.com/jtreagent","@jtreagent")</f>
        <v>@jtreagent</v>
      </c>
      <c r="C735" s="10" t="s">
        <v>3350</v>
      </c>
      <c r="D735" s="10" t="s">
        <v>3351</v>
      </c>
      <c r="E735" s="9" t="str">
        <f>HYPERLINK("https://twitter.com/jtreagent/status/1218616659386273792","1218616659386273792")</f>
        <v>1218616659386273792</v>
      </c>
      <c r="F735" s="11" t="s">
        <v>3352</v>
      </c>
      <c r="G735" s="11" t="s">
        <v>3353</v>
      </c>
      <c r="H735" s="13"/>
      <c r="I735" s="14">
        <v>0.0</v>
      </c>
      <c r="J735" s="14">
        <v>0.0</v>
      </c>
      <c r="K735" s="9" t="str">
        <f>HYPERLINK("https://www.corelistingmachine.com/","CORE ListingMachine")</f>
        <v>CORE ListingMachine</v>
      </c>
      <c r="L735" s="15">
        <v>80.0</v>
      </c>
      <c r="M735" s="15">
        <v>94.0</v>
      </c>
      <c r="N735" s="15">
        <v>1.0</v>
      </c>
      <c r="O735" s="16"/>
      <c r="P735" s="17">
        <v>41158.38575231482</v>
      </c>
      <c r="Q735" s="10" t="s">
        <v>3354</v>
      </c>
      <c r="R735" s="10" t="s">
        <v>3355</v>
      </c>
      <c r="S735" s="11" t="s">
        <v>3356</v>
      </c>
      <c r="T735" s="13"/>
      <c r="U735" s="18" t="str">
        <f>HYPERLINK("https://pbs.twimg.com/profile_images/1189650441606488064/cuf6OFg6.jpg","View")</f>
        <v>View</v>
      </c>
      <c r="V735" s="13"/>
      <c r="W735" s="13"/>
      <c r="X735" s="13"/>
      <c r="Y735" s="13"/>
      <c r="Z735" s="13"/>
    </row>
    <row r="736">
      <c r="A736" s="8">
        <v>43848.604212962964</v>
      </c>
      <c r="B736" s="9" t="str">
        <f>HYPERLINK("https://twitter.com/wysabuddy","@wysabuddy")</f>
        <v>@wysabuddy</v>
      </c>
      <c r="C736" s="10" t="s">
        <v>325</v>
      </c>
      <c r="D736" s="10" t="s">
        <v>3357</v>
      </c>
      <c r="E736" s="9" t="str">
        <f>HYPERLINK("https://twitter.com/wysabuddy/status/1218616565610041344","1218616565610041344")</f>
        <v>1218616565610041344</v>
      </c>
      <c r="F736" s="11" t="s">
        <v>3358</v>
      </c>
      <c r="G736" s="13"/>
      <c r="H736" s="13"/>
      <c r="I736" s="14">
        <v>1.0</v>
      </c>
      <c r="J736" s="14">
        <v>0.0</v>
      </c>
      <c r="K736" s="9" t="str">
        <f>HYPERLINK("https://sproutsocial.com","Sprout Social")</f>
        <v>Sprout Social</v>
      </c>
      <c r="L736" s="15">
        <v>3943.0</v>
      </c>
      <c r="M736" s="15">
        <v>981.0</v>
      </c>
      <c r="N736" s="15">
        <v>163.0</v>
      </c>
      <c r="O736" s="16"/>
      <c r="P736" s="17">
        <v>41735.31763888889</v>
      </c>
      <c r="Q736" s="10" t="s">
        <v>329</v>
      </c>
      <c r="R736" s="10" t="s">
        <v>330</v>
      </c>
      <c r="S736" s="11" t="s">
        <v>327</v>
      </c>
      <c r="T736" s="13"/>
      <c r="U736" s="18" t="str">
        <f>HYPERLINK("https://pbs.twimg.com/profile_images/986922852900159488/b-suTNS6.jpg","View")</f>
        <v>View</v>
      </c>
      <c r="V736" s="13"/>
      <c r="W736" s="13"/>
      <c r="X736" s="13"/>
      <c r="Y736" s="13"/>
      <c r="Z736" s="13"/>
    </row>
    <row r="737">
      <c r="A737" s="8">
        <v>43848.60420138889</v>
      </c>
      <c r="B737" s="9" t="str">
        <f>HYPERLINK("https://twitter.com/LearnedHealth_","@LearnedHealth_")</f>
        <v>@LearnedHealth_</v>
      </c>
      <c r="C737" s="11" t="s">
        <v>3359</v>
      </c>
      <c r="D737" s="10" t="s">
        <v>3360</v>
      </c>
      <c r="E737" s="9" t="str">
        <f>HYPERLINK("https://twitter.com/LearnedHealth_/status/1218616558798266368","1218616558798266368")</f>
        <v>1218616558798266368</v>
      </c>
      <c r="F737" s="11" t="s">
        <v>3361</v>
      </c>
      <c r="G737" s="11" t="s">
        <v>3362</v>
      </c>
      <c r="H737" s="13"/>
      <c r="I737" s="14">
        <v>0.0</v>
      </c>
      <c r="J737" s="14">
        <v>0.0</v>
      </c>
      <c r="K737" s="9" t="str">
        <f>HYPERLINK("https://dlvrit.com/","dlvr.it")</f>
        <v>dlvr.it</v>
      </c>
      <c r="L737" s="15">
        <v>28.0</v>
      </c>
      <c r="M737" s="15">
        <v>77.0</v>
      </c>
      <c r="N737" s="15">
        <v>2.0</v>
      </c>
      <c r="O737" s="16"/>
      <c r="P737" s="17">
        <v>41206.799525462964</v>
      </c>
      <c r="Q737" s="10" t="s">
        <v>3116</v>
      </c>
      <c r="R737" s="10" t="s">
        <v>3363</v>
      </c>
      <c r="S737" s="11" t="s">
        <v>3364</v>
      </c>
      <c r="T737" s="13"/>
      <c r="U737" s="18" t="str">
        <f>HYPERLINK("https://pbs.twimg.com/profile_images/1168747220125904897/gJtwDRLp.jpg","View")</f>
        <v>View</v>
      </c>
      <c r="V737" s="13"/>
      <c r="W737" s="13"/>
      <c r="X737" s="13"/>
      <c r="Y737" s="13"/>
      <c r="Z737" s="13"/>
    </row>
    <row r="738">
      <c r="A738" s="8">
        <v>43848.60418981481</v>
      </c>
      <c r="B738" s="9" t="str">
        <f>HYPERLINK("https://twitter.com/SkypeTherapist","@SkypeTherapist")</f>
        <v>@SkypeTherapist</v>
      </c>
      <c r="C738" s="10" t="s">
        <v>39</v>
      </c>
      <c r="D738" s="10" t="s">
        <v>3365</v>
      </c>
      <c r="E738" s="9" t="str">
        <f>HYPERLINK("https://twitter.com/SkypeTherapist/status/1218616556990672896","1218616556990672896")</f>
        <v>1218616556990672896</v>
      </c>
      <c r="F738" s="11" t="s">
        <v>43</v>
      </c>
      <c r="G738" s="13"/>
      <c r="H738" s="13"/>
      <c r="I738" s="14">
        <v>0.0</v>
      </c>
      <c r="J738" s="14">
        <v>0.0</v>
      </c>
      <c r="K738" s="9" t="str">
        <f>HYPERLINK("https://buffer.com","Buffer")</f>
        <v>Buffer</v>
      </c>
      <c r="L738" s="15">
        <v>31074.0</v>
      </c>
      <c r="M738" s="15">
        <v>29180.0</v>
      </c>
      <c r="N738" s="15">
        <v>397.0</v>
      </c>
      <c r="O738" s="16"/>
      <c r="P738" s="17">
        <v>40131.457777777774</v>
      </c>
      <c r="Q738" s="10" t="s">
        <v>46</v>
      </c>
      <c r="R738" s="10" t="s">
        <v>47</v>
      </c>
      <c r="S738" s="11" t="s">
        <v>43</v>
      </c>
      <c r="T738" s="13"/>
      <c r="U738" s="18" t="str">
        <f>HYPERLINK("https://pbs.twimg.com/profile_images/1093911234120798208/G4lphODU.jpg","View")</f>
        <v>View</v>
      </c>
      <c r="V738" s="13"/>
      <c r="W738" s="13"/>
      <c r="X738" s="13"/>
      <c r="Y738" s="13"/>
      <c r="Z738" s="13"/>
    </row>
    <row r="739">
      <c r="A739" s="8">
        <v>43848.60418981481</v>
      </c>
      <c r="B739" s="9" t="str">
        <f>HYPERLINK("https://twitter.com/HealthyPlace","@HealthyPlace")</f>
        <v>@HealthyPlace</v>
      </c>
      <c r="C739" s="10" t="s">
        <v>1457</v>
      </c>
      <c r="D739" s="10" t="s">
        <v>3366</v>
      </c>
      <c r="E739" s="9" t="str">
        <f>HYPERLINK("https://twitter.com/HealthyPlace/status/1218616556655185925","1218616556655185925")</f>
        <v>1218616556655185925</v>
      </c>
      <c r="F739" s="11" t="s">
        <v>3367</v>
      </c>
      <c r="G739" s="13"/>
      <c r="H739" s="13"/>
      <c r="I739" s="14">
        <v>0.0</v>
      </c>
      <c r="J739" s="14">
        <v>0.0</v>
      </c>
      <c r="K739" s="9" t="str">
        <f>HYPERLINK("https://sproutsocial.com","Sprout Social")</f>
        <v>Sprout Social</v>
      </c>
      <c r="L739" s="15">
        <v>64943.0</v>
      </c>
      <c r="M739" s="15">
        <v>25049.0</v>
      </c>
      <c r="N739" s="15">
        <v>1710.0</v>
      </c>
      <c r="O739" s="16"/>
      <c r="P739" s="17">
        <v>39681.03928240741</v>
      </c>
      <c r="Q739" s="10" t="s">
        <v>1460</v>
      </c>
      <c r="R739" s="10" t="s">
        <v>1461</v>
      </c>
      <c r="S739" s="11" t="s">
        <v>1462</v>
      </c>
      <c r="T739" s="13"/>
      <c r="U739" s="18" t="str">
        <f>HYPERLINK("https://pbs.twimg.com/profile_images/753613454083252225/i5pr2xny.jpg","View")</f>
        <v>View</v>
      </c>
      <c r="V739" s="13"/>
      <c r="W739" s="13"/>
      <c r="X739" s="13"/>
      <c r="Y739" s="13"/>
      <c r="Z739" s="13"/>
    </row>
    <row r="740">
      <c r="A740" s="8">
        <v>43848.60416666667</v>
      </c>
      <c r="B740" s="9" t="str">
        <f>HYPERLINK("https://twitter.com/SSAFA","@SSAFA")</f>
        <v>@SSAFA</v>
      </c>
      <c r="C740" s="10" t="s">
        <v>3368</v>
      </c>
      <c r="D740" s="10" t="s">
        <v>3369</v>
      </c>
      <c r="E740" s="9" t="str">
        <f>HYPERLINK("https://twitter.com/SSAFA/status/1218616547146719232","1218616547146719232")</f>
        <v>1218616547146719232</v>
      </c>
      <c r="F740" s="13"/>
      <c r="G740" s="11" t="s">
        <v>3370</v>
      </c>
      <c r="H740" s="13"/>
      <c r="I740" s="14">
        <v>9.0</v>
      </c>
      <c r="J740" s="14">
        <v>33.0</v>
      </c>
      <c r="K740" s="9" t="str">
        <f>HYPERLINK("https://mobile.twitter.com","Twitter Web App")</f>
        <v>Twitter Web App</v>
      </c>
      <c r="L740" s="15">
        <v>78304.0</v>
      </c>
      <c r="M740" s="15">
        <v>3206.0</v>
      </c>
      <c r="N740" s="15">
        <v>467.0</v>
      </c>
      <c r="O740" s="21" t="s">
        <v>522</v>
      </c>
      <c r="P740" s="17">
        <v>39839.62640046296</v>
      </c>
      <c r="Q740" s="10" t="s">
        <v>3371</v>
      </c>
      <c r="R740" s="10" t="s">
        <v>3372</v>
      </c>
      <c r="S740" s="11" t="s">
        <v>3373</v>
      </c>
      <c r="T740" s="13"/>
      <c r="U740" s="18" t="str">
        <f>HYPERLINK("https://pbs.twimg.com/profile_images/879370314068709377/gpvULUdg.jpg","View")</f>
        <v>View</v>
      </c>
      <c r="V740" s="13"/>
      <c r="W740" s="13"/>
      <c r="X740" s="13"/>
      <c r="Y740" s="13"/>
      <c r="Z740" s="13"/>
    </row>
    <row r="741">
      <c r="A741" s="8">
        <v>43848.60376157408</v>
      </c>
      <c r="B741" s="9" t="str">
        <f>HYPERLINK("https://twitter.com/TrishHurtubise","@TrishHurtubise")</f>
        <v>@TrishHurtubise</v>
      </c>
      <c r="C741" s="10" t="s">
        <v>3205</v>
      </c>
      <c r="D741" s="10" t="s">
        <v>3374</v>
      </c>
      <c r="E741" s="9" t="str">
        <f>HYPERLINK("https://twitter.com/TrishHurtubise/status/1218616401193291781","1218616401193291781")</f>
        <v>1218616401193291781</v>
      </c>
      <c r="F741" s="11" t="s">
        <v>3375</v>
      </c>
      <c r="G741" s="13"/>
      <c r="H741" s="13"/>
      <c r="I741" s="14">
        <v>0.0</v>
      </c>
      <c r="J741" s="14">
        <v>0.0</v>
      </c>
      <c r="K741" s="9" t="str">
        <f>HYPERLINK("http://mentalhealthtalk.info","iAutoTweetMHT")</f>
        <v>iAutoTweetMHT</v>
      </c>
      <c r="L741" s="15">
        <v>914.0</v>
      </c>
      <c r="M741" s="15">
        <v>549.0</v>
      </c>
      <c r="N741" s="15">
        <v>83.0</v>
      </c>
      <c r="O741" s="16"/>
      <c r="P741" s="17">
        <v>40608.93771990741</v>
      </c>
      <c r="Q741" s="10" t="s">
        <v>177</v>
      </c>
      <c r="R741" s="10" t="s">
        <v>3208</v>
      </c>
      <c r="S741" s="11" t="s">
        <v>3209</v>
      </c>
      <c r="T741" s="13"/>
      <c r="U741" s="18" t="str">
        <f>HYPERLINK("https://pbs.twimg.com/profile_images/1093932846257860610/vAjXU1Ja.jpg","View")</f>
        <v>View</v>
      </c>
      <c r="V741" s="13"/>
      <c r="W741" s="13"/>
      <c r="X741" s="13"/>
      <c r="Y741" s="13"/>
      <c r="Z741" s="13"/>
    </row>
    <row r="742">
      <c r="A742" s="8">
        <v>43848.60333333333</v>
      </c>
      <c r="B742" s="9" t="str">
        <f>HYPERLINK("https://twitter.com/grouptherapy33","@grouptherapy33")</f>
        <v>@grouptherapy33</v>
      </c>
      <c r="C742" s="10" t="s">
        <v>831</v>
      </c>
      <c r="D742" s="10" t="s">
        <v>3376</v>
      </c>
      <c r="E742" s="9" t="str">
        <f>HYPERLINK("https://twitter.com/grouptherapy33/status/1218616245098024963","1218616245098024963")</f>
        <v>1218616245098024963</v>
      </c>
      <c r="F742" s="13"/>
      <c r="G742" s="13"/>
      <c r="H742" s="13"/>
      <c r="I742" s="14">
        <v>0.0</v>
      </c>
      <c r="J742" s="14">
        <v>0.0</v>
      </c>
      <c r="K742" s="9" t="str">
        <f>HYPERLINK("http://www.DynamicTweets.com","Dynamic Tweets")</f>
        <v>Dynamic Tweets</v>
      </c>
      <c r="L742" s="15">
        <v>4053.0</v>
      </c>
      <c r="M742" s="15">
        <v>3517.0</v>
      </c>
      <c r="N742" s="15">
        <v>74.0</v>
      </c>
      <c r="O742" s="16"/>
      <c r="P742" s="17">
        <v>42375.45542824074</v>
      </c>
      <c r="Q742" s="13"/>
      <c r="R742" s="13"/>
      <c r="S742" s="11" t="s">
        <v>833</v>
      </c>
      <c r="T742" s="13"/>
      <c r="U742" s="18" t="str">
        <f>HYPERLINK("https://pbs.twimg.com/profile_images/773354507157671941/wE10yy8j.jpg","View")</f>
        <v>View</v>
      </c>
      <c r="V742" s="13"/>
      <c r="W742" s="13"/>
      <c r="X742" s="13"/>
      <c r="Y742" s="13"/>
      <c r="Z742" s="13"/>
    </row>
    <row r="743">
      <c r="A743" s="8">
        <v>43848.60270833333</v>
      </c>
      <c r="B743" s="9" t="str">
        <f>HYPERLINK("https://twitter.com/epaultaylor","@epaultaylor")</f>
        <v>@epaultaylor</v>
      </c>
      <c r="C743" s="10" t="s">
        <v>3377</v>
      </c>
      <c r="D743" s="10" t="s">
        <v>3378</v>
      </c>
      <c r="E743" s="9" t="str">
        <f>HYPERLINK("https://twitter.com/epaultaylor/status/1218616019037642757","1218616019037642757")</f>
        <v>1218616019037642757</v>
      </c>
      <c r="F743" s="11" t="s">
        <v>334</v>
      </c>
      <c r="G743" s="13"/>
      <c r="H743" s="13"/>
      <c r="I743" s="14">
        <v>1.0</v>
      </c>
      <c r="J743" s="14">
        <v>1.0</v>
      </c>
      <c r="K743" s="9" t="str">
        <f>HYPERLINK("http://twitter.com/download/iphone","Twitter for iPhone")</f>
        <v>Twitter for iPhone</v>
      </c>
      <c r="L743" s="15">
        <v>3590.0</v>
      </c>
      <c r="M743" s="15">
        <v>343.0</v>
      </c>
      <c r="N743" s="15">
        <v>283.0</v>
      </c>
      <c r="O743" s="16"/>
      <c r="P743" s="17">
        <v>41120.41037037037</v>
      </c>
      <c r="Q743" s="10" t="s">
        <v>245</v>
      </c>
      <c r="R743" s="10" t="s">
        <v>3379</v>
      </c>
      <c r="S743" s="13"/>
      <c r="T743" s="13"/>
      <c r="U743" s="18" t="str">
        <f>HYPERLINK("https://pbs.twimg.com/profile_images/664265948833054720/A9j4xPq1.jpg","View")</f>
        <v>View</v>
      </c>
      <c r="V743" s="13"/>
      <c r="W743" s="13"/>
      <c r="X743" s="13"/>
      <c r="Y743" s="13"/>
      <c r="Z743" s="13"/>
    </row>
    <row r="744">
      <c r="A744" s="8">
        <v>43848.60267361111</v>
      </c>
      <c r="B744" s="9" t="str">
        <f>HYPERLINK("https://twitter.com/TrishHurtubise","@TrishHurtubise")</f>
        <v>@TrishHurtubise</v>
      </c>
      <c r="C744" s="10" t="s">
        <v>3205</v>
      </c>
      <c r="D744" s="10" t="s">
        <v>3380</v>
      </c>
      <c r="E744" s="9" t="str">
        <f>HYPERLINK("https://twitter.com/TrishHurtubise/status/1218616005313863680","1218616005313863680")</f>
        <v>1218616005313863680</v>
      </c>
      <c r="F744" s="11" t="s">
        <v>3381</v>
      </c>
      <c r="G744" s="13"/>
      <c r="H744" s="13"/>
      <c r="I744" s="14">
        <v>1.0</v>
      </c>
      <c r="J744" s="14">
        <v>1.0</v>
      </c>
      <c r="K744" s="9" t="str">
        <f>HYPERLINK("http://mentalhealthtalk.info","iAutoTweetMHT")</f>
        <v>iAutoTweetMHT</v>
      </c>
      <c r="L744" s="15">
        <v>914.0</v>
      </c>
      <c r="M744" s="15">
        <v>549.0</v>
      </c>
      <c r="N744" s="15">
        <v>83.0</v>
      </c>
      <c r="O744" s="16"/>
      <c r="P744" s="17">
        <v>40608.93771990741</v>
      </c>
      <c r="Q744" s="10" t="s">
        <v>177</v>
      </c>
      <c r="R744" s="10" t="s">
        <v>3208</v>
      </c>
      <c r="S744" s="11" t="s">
        <v>3209</v>
      </c>
      <c r="T744" s="13"/>
      <c r="U744" s="18" t="str">
        <f>HYPERLINK("https://pbs.twimg.com/profile_images/1093932846257860610/vAjXU1Ja.jpg","View")</f>
        <v>View</v>
      </c>
      <c r="V744" s="13"/>
      <c r="W744" s="13"/>
      <c r="X744" s="13"/>
      <c r="Y744" s="13"/>
      <c r="Z744" s="13"/>
    </row>
    <row r="745">
      <c r="A745" s="8">
        <v>43848.60251157408</v>
      </c>
      <c r="B745" s="9" t="str">
        <f>HYPERLINK("https://twitter.com/KeiylasWords","@KeiylasWords")</f>
        <v>@KeiylasWords</v>
      </c>
      <c r="C745" s="10" t="s">
        <v>3382</v>
      </c>
      <c r="D745" s="10" t="s">
        <v>3383</v>
      </c>
      <c r="E745" s="9" t="str">
        <f>HYPERLINK("https://twitter.com/KeiylasWords/status/1218615947507970048","1218615947507970048")</f>
        <v>1218615947507970048</v>
      </c>
      <c r="F745" s="13"/>
      <c r="G745" s="13"/>
      <c r="H745" s="13"/>
      <c r="I745" s="14">
        <v>0.0</v>
      </c>
      <c r="J745" s="14">
        <v>6.0</v>
      </c>
      <c r="K745" s="9" t="str">
        <f>HYPERLINK("http://twitter.com/download/iphone","Twitter for iPhone")</f>
        <v>Twitter for iPhone</v>
      </c>
      <c r="L745" s="15">
        <v>2086.0</v>
      </c>
      <c r="M745" s="15">
        <v>1065.0</v>
      </c>
      <c r="N745" s="15">
        <v>28.0</v>
      </c>
      <c r="O745" s="16"/>
      <c r="P745" s="17">
        <v>42192.69255787037</v>
      </c>
      <c r="Q745" s="10" t="s">
        <v>1460</v>
      </c>
      <c r="R745" s="10" t="s">
        <v>3384</v>
      </c>
      <c r="S745" s="11" t="s">
        <v>3385</v>
      </c>
      <c r="T745" s="13"/>
      <c r="U745" s="18" t="str">
        <f>HYPERLINK("https://pbs.twimg.com/profile_images/1209568617479778306/6UMbG3BW.jpg","View")</f>
        <v>View</v>
      </c>
      <c r="V745" s="13"/>
      <c r="W745" s="13"/>
      <c r="X745" s="13"/>
      <c r="Y745" s="13"/>
      <c r="Z745" s="13"/>
    </row>
    <row r="746">
      <c r="A746" s="8">
        <v>43848.60207175926</v>
      </c>
      <c r="B746" s="9" t="str">
        <f>HYPERLINK("https://twitter.com/grouptherapy33","@grouptherapy33")</f>
        <v>@grouptherapy33</v>
      </c>
      <c r="C746" s="10" t="s">
        <v>831</v>
      </c>
      <c r="D746" s="10" t="s">
        <v>3386</v>
      </c>
      <c r="E746" s="9" t="str">
        <f>HYPERLINK("https://twitter.com/grouptherapy33/status/1218615789797937153","1218615789797937153")</f>
        <v>1218615789797937153</v>
      </c>
      <c r="F746" s="11" t="s">
        <v>2202</v>
      </c>
      <c r="G746" s="13"/>
      <c r="H746" s="13"/>
      <c r="I746" s="14">
        <v>0.0</v>
      </c>
      <c r="J746" s="14">
        <v>0.0</v>
      </c>
      <c r="K746" s="9" t="str">
        <f>HYPERLINK("http://www.DynamicTweets.com","Dynamic Tweets")</f>
        <v>Dynamic Tweets</v>
      </c>
      <c r="L746" s="15">
        <v>4053.0</v>
      </c>
      <c r="M746" s="15">
        <v>3517.0</v>
      </c>
      <c r="N746" s="15">
        <v>74.0</v>
      </c>
      <c r="O746" s="16"/>
      <c r="P746" s="17">
        <v>42375.45542824074</v>
      </c>
      <c r="Q746" s="13"/>
      <c r="R746" s="13"/>
      <c r="S746" s="11" t="s">
        <v>833</v>
      </c>
      <c r="T746" s="13"/>
      <c r="U746" s="18" t="str">
        <f>HYPERLINK("https://pbs.twimg.com/profile_images/773354507157671941/wE10yy8j.jpg","View")</f>
        <v>View</v>
      </c>
      <c r="V746" s="13"/>
      <c r="W746" s="13"/>
      <c r="X746" s="13"/>
      <c r="Y746" s="13"/>
      <c r="Z746" s="13"/>
    </row>
    <row r="747">
      <c r="A747" s="8">
        <v>43848.60207175926</v>
      </c>
      <c r="B747" s="9" t="str">
        <f>HYPERLINK("https://twitter.com/MindfulKaylee","@MindfulKaylee")</f>
        <v>@MindfulKaylee</v>
      </c>
      <c r="C747" s="10" t="s">
        <v>3387</v>
      </c>
      <c r="D747" s="10" t="s">
        <v>3388</v>
      </c>
      <c r="E747" s="9" t="str">
        <f>HYPERLINK("https://twitter.com/MindfulKaylee/status/1218615787738615808","1218615787738615808")</f>
        <v>1218615787738615808</v>
      </c>
      <c r="F747" s="13"/>
      <c r="G747" s="13"/>
      <c r="H747" s="13"/>
      <c r="I747" s="14">
        <v>0.0</v>
      </c>
      <c r="J747" s="14">
        <v>1.0</v>
      </c>
      <c r="K747" s="9" t="str">
        <f>HYPERLINK("http://twitter.com/download/iphone","Twitter for iPhone")</f>
        <v>Twitter for iPhone</v>
      </c>
      <c r="L747" s="15">
        <v>27.0</v>
      </c>
      <c r="M747" s="15">
        <v>123.0</v>
      </c>
      <c r="N747" s="15">
        <v>0.0</v>
      </c>
      <c r="O747" s="16"/>
      <c r="P747" s="17">
        <v>43585.31412037037</v>
      </c>
      <c r="Q747" s="10" t="s">
        <v>3389</v>
      </c>
      <c r="R747" s="10" t="s">
        <v>3390</v>
      </c>
      <c r="S747" s="13"/>
      <c r="T747" s="13"/>
      <c r="U747" s="18" t="str">
        <f>HYPERLINK("https://pbs.twimg.com/profile_images/1187841065753174016/wjuARp5t.jpg","View")</f>
        <v>View</v>
      </c>
      <c r="V747" s="13"/>
      <c r="W747" s="13"/>
      <c r="X747" s="13"/>
      <c r="Y747" s="13"/>
      <c r="Z747" s="13"/>
    </row>
    <row r="748">
      <c r="A748" s="8">
        <v>43848.601643518516</v>
      </c>
      <c r="B748" s="9" t="str">
        <f>HYPERLINK("https://twitter.com/vincenteke2","@vincenteke2")</f>
        <v>@vincenteke2</v>
      </c>
      <c r="C748" s="10" t="s">
        <v>3391</v>
      </c>
      <c r="D748" s="10" t="s">
        <v>238</v>
      </c>
      <c r="E748" s="9" t="str">
        <f>HYPERLINK("https://twitter.com/vincenteke2/status/1218615633677639680","1218615633677639680")</f>
        <v>1218615633677639680</v>
      </c>
      <c r="F748" s="13"/>
      <c r="G748" s="13"/>
      <c r="H748" s="13"/>
      <c r="I748" s="14">
        <v>0.0</v>
      </c>
      <c r="J748" s="14">
        <v>1.0</v>
      </c>
      <c r="K748" s="9" t="str">
        <f>HYPERLINK("http://twitter.com/download/android","Twitter for Android")</f>
        <v>Twitter for Android</v>
      </c>
      <c r="L748" s="15">
        <v>150.0</v>
      </c>
      <c r="M748" s="15">
        <v>209.0</v>
      </c>
      <c r="N748" s="15">
        <v>0.0</v>
      </c>
      <c r="O748" s="16"/>
      <c r="P748" s="17">
        <v>42363.59989583334</v>
      </c>
      <c r="Q748" s="10" t="s">
        <v>3392</v>
      </c>
      <c r="R748" s="10" t="s">
        <v>3393</v>
      </c>
      <c r="S748" s="13"/>
      <c r="T748" s="13"/>
      <c r="U748" s="18" t="str">
        <f>HYPERLINK("https://pbs.twimg.com/profile_images/1200876846407147521/FtMHQ8d9.jpg","View")</f>
        <v>View</v>
      </c>
      <c r="V748" s="13"/>
      <c r="W748" s="13"/>
      <c r="X748" s="13"/>
      <c r="Y748" s="13"/>
      <c r="Z748" s="13"/>
    </row>
    <row r="749">
      <c r="A749" s="8">
        <v>43848.60157407407</v>
      </c>
      <c r="B749" s="9" t="str">
        <f>HYPERLINK("https://twitter.com/TrishHurtubise","@TrishHurtubise")</f>
        <v>@TrishHurtubise</v>
      </c>
      <c r="C749" s="10" t="s">
        <v>3205</v>
      </c>
      <c r="D749" s="10" t="s">
        <v>3394</v>
      </c>
      <c r="E749" s="9" t="str">
        <f>HYPERLINK("https://twitter.com/TrishHurtubise/status/1218615608826322947","1218615608826322947")</f>
        <v>1218615608826322947</v>
      </c>
      <c r="F749" s="11" t="s">
        <v>3395</v>
      </c>
      <c r="G749" s="13"/>
      <c r="H749" s="13"/>
      <c r="I749" s="14">
        <v>0.0</v>
      </c>
      <c r="J749" s="14">
        <v>1.0</v>
      </c>
      <c r="K749" s="9" t="str">
        <f>HYPERLINK("http://mentalhealthtalk.info","iAutoTweetMHT")</f>
        <v>iAutoTweetMHT</v>
      </c>
      <c r="L749" s="15">
        <v>914.0</v>
      </c>
      <c r="M749" s="15">
        <v>549.0</v>
      </c>
      <c r="N749" s="15">
        <v>83.0</v>
      </c>
      <c r="O749" s="16"/>
      <c r="P749" s="17">
        <v>40608.93771990741</v>
      </c>
      <c r="Q749" s="10" t="s">
        <v>177</v>
      </c>
      <c r="R749" s="10" t="s">
        <v>3208</v>
      </c>
      <c r="S749" s="11" t="s">
        <v>3209</v>
      </c>
      <c r="T749" s="13"/>
      <c r="U749" s="18" t="str">
        <f>HYPERLINK("https://pbs.twimg.com/profile_images/1093932846257860610/vAjXU1Ja.jpg","View")</f>
        <v>View</v>
      </c>
      <c r="V749" s="13"/>
      <c r="W749" s="13"/>
      <c r="X749" s="13"/>
      <c r="Y749" s="13"/>
      <c r="Z749" s="13"/>
    </row>
    <row r="750">
      <c r="A750" s="8">
        <v>43848.6015625</v>
      </c>
      <c r="B750" s="9" t="str">
        <f>HYPERLINK("https://twitter.com/76Tumbleweed","@76Tumbleweed")</f>
        <v>@76Tumbleweed</v>
      </c>
      <c r="C750" s="10" t="s">
        <v>3396</v>
      </c>
      <c r="D750" s="10" t="s">
        <v>3397</v>
      </c>
      <c r="E750" s="9" t="str">
        <f>HYPERLINK("https://twitter.com/76Tumbleweed/status/1218615602975334402","1218615602975334402")</f>
        <v>1218615602975334402</v>
      </c>
      <c r="F750" s="13"/>
      <c r="G750" s="11" t="s">
        <v>3398</v>
      </c>
      <c r="H750" s="13"/>
      <c r="I750" s="14">
        <v>0.0</v>
      </c>
      <c r="J750" s="14">
        <v>0.0</v>
      </c>
      <c r="K750" s="9" t="str">
        <f>HYPERLINK("http://twitter.com/download/android","Twitter for Android")</f>
        <v>Twitter for Android</v>
      </c>
      <c r="L750" s="15">
        <v>3120.0</v>
      </c>
      <c r="M750" s="15">
        <v>3452.0</v>
      </c>
      <c r="N750" s="15">
        <v>15.0</v>
      </c>
      <c r="O750" s="16"/>
      <c r="P750" s="17">
        <v>43303.73180555555</v>
      </c>
      <c r="Q750" s="10" t="s">
        <v>3399</v>
      </c>
      <c r="R750" s="10" t="s">
        <v>3400</v>
      </c>
      <c r="S750" s="11" t="s">
        <v>3401</v>
      </c>
      <c r="T750" s="13"/>
      <c r="U750" s="18" t="str">
        <f>HYPERLINK("https://pbs.twimg.com/profile_images/1144578146081157120/DqwbBAHW.jpg","View")</f>
        <v>View</v>
      </c>
      <c r="V750" s="13"/>
      <c r="W750" s="13"/>
      <c r="X750" s="13"/>
      <c r="Y750" s="13"/>
      <c r="Z750" s="13"/>
    </row>
    <row r="751">
      <c r="A751" s="8">
        <v>43848.600694444445</v>
      </c>
      <c r="B751" s="9" t="str">
        <f>HYPERLINK("https://twitter.com/BurgersandB","@BurgersandB")</f>
        <v>@BurgersandB</v>
      </c>
      <c r="C751" s="10" t="s">
        <v>3402</v>
      </c>
      <c r="D751" s="10" t="s">
        <v>3403</v>
      </c>
      <c r="E751" s="9" t="str">
        <f>HYPERLINK("https://twitter.com/BurgersandB/status/1218615290595962881","1218615290595962881")</f>
        <v>1218615290595962881</v>
      </c>
      <c r="F751" s="13"/>
      <c r="G751" s="11" t="s">
        <v>3404</v>
      </c>
      <c r="H751" s="13"/>
      <c r="I751" s="14">
        <v>0.0</v>
      </c>
      <c r="J751" s="14">
        <v>0.0</v>
      </c>
      <c r="K751" s="9" t="str">
        <f>HYPERLINK("https://social.zoho.com","Zoho Social")</f>
        <v>Zoho Social</v>
      </c>
      <c r="L751" s="15">
        <v>21.0</v>
      </c>
      <c r="M751" s="15">
        <v>2.0</v>
      </c>
      <c r="N751" s="15">
        <v>1.0</v>
      </c>
      <c r="O751" s="16"/>
      <c r="P751" s="17">
        <v>43207.650671296295</v>
      </c>
      <c r="Q751" s="13"/>
      <c r="R751" s="13"/>
      <c r="S751" s="13"/>
      <c r="T751" s="13"/>
      <c r="U751" s="18" t="str">
        <f>HYPERLINK("https://pbs.twimg.com/profile_images/1152336672119545856/5LPTJBUU.jpg","View")</f>
        <v>View</v>
      </c>
      <c r="V751" s="13"/>
      <c r="W751" s="13"/>
      <c r="X751" s="13"/>
      <c r="Y751" s="13"/>
      <c r="Z751" s="13"/>
    </row>
    <row r="752">
      <c r="A752" s="8">
        <v>43848.59940972222</v>
      </c>
      <c r="B752" s="9" t="str">
        <f>HYPERLINK("https://twitter.com/relaxwithlucy","@relaxwithlucy")</f>
        <v>@relaxwithlucy</v>
      </c>
      <c r="C752" s="10" t="s">
        <v>3405</v>
      </c>
      <c r="D752" s="10" t="s">
        <v>3406</v>
      </c>
      <c r="E752" s="9" t="str">
        <f>HYPERLINK("https://twitter.com/relaxwithlucy/status/1218614825019985921","1218614825019985921")</f>
        <v>1218614825019985921</v>
      </c>
      <c r="F752" s="13"/>
      <c r="G752" s="11" t="s">
        <v>3407</v>
      </c>
      <c r="H752" s="13"/>
      <c r="I752" s="14">
        <v>0.0</v>
      </c>
      <c r="J752" s="14">
        <v>1.0</v>
      </c>
      <c r="K752" s="9" t="str">
        <f>HYPERLINK("http://twitter.com/download/android","Twitter for Android")</f>
        <v>Twitter for Android</v>
      </c>
      <c r="L752" s="15">
        <v>134.0</v>
      </c>
      <c r="M752" s="15">
        <v>318.0</v>
      </c>
      <c r="N752" s="15">
        <v>0.0</v>
      </c>
      <c r="O752" s="16"/>
      <c r="P752" s="17">
        <v>43768.13554398148</v>
      </c>
      <c r="Q752" s="10" t="s">
        <v>3408</v>
      </c>
      <c r="R752" s="10" t="s">
        <v>3409</v>
      </c>
      <c r="S752" s="11" t="s">
        <v>3410</v>
      </c>
      <c r="T752" s="13"/>
      <c r="U752" s="18" t="str">
        <f>HYPERLINK("https://pbs.twimg.com/profile_images/1195079716786622465/7gQc_k5d.jpg","View")</f>
        <v>View</v>
      </c>
      <c r="V752" s="13"/>
      <c r="W752" s="13"/>
      <c r="X752" s="13"/>
      <c r="Y752" s="13"/>
      <c r="Z752" s="13"/>
    </row>
    <row r="753">
      <c r="A753" s="8">
        <v>43848.59886574074</v>
      </c>
      <c r="B753" s="9" t="str">
        <f>HYPERLINK("https://twitter.com/libero_mag","@libero_mag")</f>
        <v>@libero_mag</v>
      </c>
      <c r="C753" s="10" t="s">
        <v>268</v>
      </c>
      <c r="D753" s="10" t="s">
        <v>3411</v>
      </c>
      <c r="E753" s="9" t="str">
        <f>HYPERLINK("https://twitter.com/libero_mag/status/1218614626969182208","1218614626969182208")</f>
        <v>1218614626969182208</v>
      </c>
      <c r="F753" s="11" t="s">
        <v>3412</v>
      </c>
      <c r="G753" s="11" t="s">
        <v>3413</v>
      </c>
      <c r="H753" s="13"/>
      <c r="I753" s="14">
        <v>0.0</v>
      </c>
      <c r="J753" s="14">
        <v>0.0</v>
      </c>
      <c r="K753" s="9" t="str">
        <f>HYPERLINK("https://liberomagazine.com","Libero Revive")</f>
        <v>Libero Revive</v>
      </c>
      <c r="L753" s="15">
        <v>1467.0</v>
      </c>
      <c r="M753" s="15">
        <v>598.0</v>
      </c>
      <c r="N753" s="15">
        <v>74.0</v>
      </c>
      <c r="O753" s="16"/>
      <c r="P753" s="17">
        <v>40542.99030092593</v>
      </c>
      <c r="Q753" s="10" t="s">
        <v>272</v>
      </c>
      <c r="R753" s="10" t="s">
        <v>273</v>
      </c>
      <c r="S753" s="11" t="s">
        <v>274</v>
      </c>
      <c r="T753" s="13"/>
      <c r="U753" s="18" t="str">
        <f>HYPERLINK("https://pbs.twimg.com/profile_images/1204472628913688576/UHwEA5Mb.jpg","View")</f>
        <v>View</v>
      </c>
      <c r="V753" s="13"/>
      <c r="W753" s="13"/>
      <c r="X753" s="13"/>
      <c r="Y753" s="13"/>
      <c r="Z753" s="13"/>
    </row>
    <row r="754">
      <c r="A754" s="8">
        <v>43848.59883101852</v>
      </c>
      <c r="B754" s="9" t="str">
        <f>HYPERLINK("https://twitter.com/JOAVAH1","@JOAVAH1")</f>
        <v>@JOAVAH1</v>
      </c>
      <c r="C754" s="10" t="s">
        <v>3414</v>
      </c>
      <c r="D754" s="10" t="s">
        <v>3415</v>
      </c>
      <c r="E754" s="9" t="str">
        <f>HYPERLINK("https://twitter.com/JOAVAH1/status/1218614615103459328","1218614615103459328")</f>
        <v>1218614615103459328</v>
      </c>
      <c r="F754" s="11" t="s">
        <v>3416</v>
      </c>
      <c r="G754" s="13"/>
      <c r="H754" s="13"/>
      <c r="I754" s="14">
        <v>0.0</v>
      </c>
      <c r="J754" s="14">
        <v>2.0</v>
      </c>
      <c r="K754" s="9" t="str">
        <f>HYPERLINK("http://twitter.com/download/android","Twitter for Android")</f>
        <v>Twitter for Android</v>
      </c>
      <c r="L754" s="15">
        <v>3.0</v>
      </c>
      <c r="M754" s="15">
        <v>0.0</v>
      </c>
      <c r="N754" s="15">
        <v>0.0</v>
      </c>
      <c r="O754" s="16"/>
      <c r="P754" s="17">
        <v>43845.01027777778</v>
      </c>
      <c r="Q754" s="13"/>
      <c r="R754" s="10" t="s">
        <v>3417</v>
      </c>
      <c r="S754" s="13"/>
      <c r="T754" s="13"/>
      <c r="U754" s="18" t="str">
        <f>HYPERLINK("https://pbs.twimg.com/profile_images/1217314209966559234/YSTDQC0o.jpg","View")</f>
        <v>View</v>
      </c>
      <c r="V754" s="13"/>
      <c r="W754" s="13"/>
      <c r="X754" s="13"/>
      <c r="Y754" s="13"/>
      <c r="Z754" s="13"/>
    </row>
    <row r="755">
      <c r="A755" s="8">
        <v>43848.59861111111</v>
      </c>
      <c r="B755" s="9" t="str">
        <f>HYPERLINK("https://twitter.com/mindyourmind_ca","@mindyourmind_ca")</f>
        <v>@mindyourmind_ca</v>
      </c>
      <c r="C755" s="10" t="s">
        <v>3418</v>
      </c>
      <c r="D755" s="10" t="s">
        <v>3419</v>
      </c>
      <c r="E755" s="9" t="str">
        <f>HYPERLINK("https://twitter.com/mindyourmind_ca/status/1218614533771681792","1218614533771681792")</f>
        <v>1218614533771681792</v>
      </c>
      <c r="F755" s="11" t="s">
        <v>3420</v>
      </c>
      <c r="G755" s="11" t="s">
        <v>3421</v>
      </c>
      <c r="H755" s="13"/>
      <c r="I755" s="14">
        <v>0.0</v>
      </c>
      <c r="J755" s="14">
        <v>0.0</v>
      </c>
      <c r="K755" s="9" t="str">
        <f>HYPERLINK("https://about.twitter.com/products/tweetdeck","TweetDeck")</f>
        <v>TweetDeck</v>
      </c>
      <c r="L755" s="15">
        <v>15636.0</v>
      </c>
      <c r="M755" s="15">
        <v>12674.0</v>
      </c>
      <c r="N755" s="15">
        <v>441.0</v>
      </c>
      <c r="O755" s="16"/>
      <c r="P755" s="17">
        <v>39694.97528935185</v>
      </c>
      <c r="Q755" s="10" t="s">
        <v>3371</v>
      </c>
      <c r="R755" s="10" t="s">
        <v>3422</v>
      </c>
      <c r="S755" s="11" t="s">
        <v>3423</v>
      </c>
      <c r="T755" s="13"/>
      <c r="U755" s="18" t="str">
        <f>HYPERLINK("https://pbs.twimg.com/profile_images/1014170394536787968/bDbYyxNa.jpg","View")</f>
        <v>View</v>
      </c>
      <c r="V755" s="13"/>
      <c r="W755" s="13"/>
      <c r="X755" s="13"/>
      <c r="Y755" s="13"/>
      <c r="Z755" s="13"/>
    </row>
    <row r="756">
      <c r="A756" s="8">
        <v>43848.598391203705</v>
      </c>
      <c r="B756" s="9" t="str">
        <f>HYPERLINK("https://twitter.com/EarthWithJohnH","@EarthWithJohnH")</f>
        <v>@EarthWithJohnH</v>
      </c>
      <c r="C756" s="10" t="s">
        <v>3424</v>
      </c>
      <c r="D756" s="10" t="s">
        <v>3425</v>
      </c>
      <c r="E756" s="9" t="str">
        <f>HYPERLINK("https://twitter.com/EarthWithJohnH/status/1218614456063791106","1218614456063791106")</f>
        <v>1218614456063791106</v>
      </c>
      <c r="F756" s="13"/>
      <c r="G756" s="11" t="s">
        <v>3426</v>
      </c>
      <c r="H756" s="13"/>
      <c r="I756" s="14">
        <v>0.0</v>
      </c>
      <c r="J756" s="14">
        <v>0.0</v>
      </c>
      <c r="K756" s="9" t="str">
        <f>HYPERLINK("https://mobile.twitter.com","Twitter Web App")</f>
        <v>Twitter Web App</v>
      </c>
      <c r="L756" s="15">
        <v>17.0</v>
      </c>
      <c r="M756" s="15">
        <v>65.0</v>
      </c>
      <c r="N756" s="15">
        <v>0.0</v>
      </c>
      <c r="O756" s="16"/>
      <c r="P756" s="17">
        <v>43815.79620370371</v>
      </c>
      <c r="Q756" s="10" t="s">
        <v>3427</v>
      </c>
      <c r="R756" s="10" t="s">
        <v>3428</v>
      </c>
      <c r="S756" s="11" t="s">
        <v>3429</v>
      </c>
      <c r="T756" s="13"/>
      <c r="U756" s="18" t="str">
        <f>HYPERLINK("https://pbs.twimg.com/profile_images/1207726894675906560/O4bMI2pw.jpg","View")</f>
        <v>View</v>
      </c>
      <c r="V756" s="13"/>
      <c r="W756" s="13"/>
      <c r="X756" s="13"/>
      <c r="Y756" s="13"/>
      <c r="Z756" s="13"/>
    </row>
    <row r="757">
      <c r="A757" s="8">
        <v>43848.59832175926</v>
      </c>
      <c r="B757" s="9" t="str">
        <f>HYPERLINK("https://twitter.com/SaraJaneKehler","@SaraJaneKehler")</f>
        <v>@SaraJaneKehler</v>
      </c>
      <c r="C757" s="10" t="s">
        <v>3430</v>
      </c>
      <c r="D757" s="10" t="s">
        <v>3431</v>
      </c>
      <c r="E757" s="9" t="str">
        <f>HYPERLINK("https://twitter.com/SaraJaneKehler/status/1218614427857059843","1218614427857059843")</f>
        <v>1218614427857059843</v>
      </c>
      <c r="F757" s="11" t="s">
        <v>3432</v>
      </c>
      <c r="G757" s="13"/>
      <c r="H757" s="13"/>
      <c r="I757" s="14">
        <v>0.0</v>
      </c>
      <c r="J757" s="14">
        <v>5.0</v>
      </c>
      <c r="K757" s="9" t="str">
        <f>HYPERLINK("http://twitter.com","Twitter Web Client")</f>
        <v>Twitter Web Client</v>
      </c>
      <c r="L757" s="15">
        <v>2856.0</v>
      </c>
      <c r="M757" s="15">
        <v>3248.0</v>
      </c>
      <c r="N757" s="15">
        <v>21.0</v>
      </c>
      <c r="O757" s="16"/>
      <c r="P757" s="17">
        <v>43704.99753472222</v>
      </c>
      <c r="Q757" s="10" t="s">
        <v>3433</v>
      </c>
      <c r="R757" s="10" t="s">
        <v>3434</v>
      </c>
      <c r="S757" s="11" t="s">
        <v>3435</v>
      </c>
      <c r="T757" s="13"/>
      <c r="U757" s="18" t="str">
        <f>HYPERLINK("https://pbs.twimg.com/profile_images/1202275360991260672/97oXSa0X.jpg","View")</f>
        <v>View</v>
      </c>
      <c r="V757" s="13"/>
      <c r="W757" s="13"/>
      <c r="X757" s="13"/>
      <c r="Y757" s="13"/>
      <c r="Z757" s="13"/>
    </row>
    <row r="758">
      <c r="A758" s="8">
        <v>43848.59829861111</v>
      </c>
      <c r="B758" s="9" t="str">
        <f>HYPERLINK("https://twitter.com/DShorb","@DShorb")</f>
        <v>@DShorb</v>
      </c>
      <c r="C758" s="10" t="s">
        <v>21</v>
      </c>
      <c r="D758" s="10" t="s">
        <v>22</v>
      </c>
      <c r="E758" s="9" t="str">
        <f>HYPERLINK("https://twitter.com/DShorb/status/1218614419476942849","1218614419476942849")</f>
        <v>1218614419476942849</v>
      </c>
      <c r="F758" s="11" t="s">
        <v>3436</v>
      </c>
      <c r="G758" s="13"/>
      <c r="H758" s="13"/>
      <c r="I758" s="14">
        <v>0.0</v>
      </c>
      <c r="J758" s="14">
        <v>0.0</v>
      </c>
      <c r="K758" s="9" t="str">
        <f>HYPERLINK("https://www.smedian.com","Penname")</f>
        <v>Penname</v>
      </c>
      <c r="L758" s="15">
        <v>3871.0</v>
      </c>
      <c r="M758" s="15">
        <v>4543.0</v>
      </c>
      <c r="N758" s="15">
        <v>185.0</v>
      </c>
      <c r="O758" s="16"/>
      <c r="P758" s="17">
        <v>40991.739027777774</v>
      </c>
      <c r="Q758" s="10" t="s">
        <v>24</v>
      </c>
      <c r="R758" s="10" t="s">
        <v>25</v>
      </c>
      <c r="S758" s="11" t="s">
        <v>26</v>
      </c>
      <c r="T758" s="13"/>
      <c r="U758" s="18" t="str">
        <f>HYPERLINK("https://pbs.twimg.com/profile_images/1134459629478408192/VnPf0dlm.jpg","View")</f>
        <v>View</v>
      </c>
      <c r="V758" s="13"/>
      <c r="W758" s="13"/>
      <c r="X758" s="13"/>
      <c r="Y758" s="13"/>
      <c r="Z758" s="13"/>
    </row>
    <row r="759">
      <c r="A759" s="8">
        <v>43848.598182870366</v>
      </c>
      <c r="B759" s="9" t="str">
        <f>HYPERLINK("https://twitter.com/mindtreeDBT","@mindtreeDBT")</f>
        <v>@mindtreeDBT</v>
      </c>
      <c r="C759" s="10" t="s">
        <v>3437</v>
      </c>
      <c r="D759" s="10" t="s">
        <v>3438</v>
      </c>
      <c r="E759" s="9" t="str">
        <f>HYPERLINK("https://twitter.com/mindtreeDBT/status/1218614377630269441","1218614377630269441")</f>
        <v>1218614377630269441</v>
      </c>
      <c r="F759" s="13"/>
      <c r="G759" s="11" t="s">
        <v>3439</v>
      </c>
      <c r="H759" s="13"/>
      <c r="I759" s="14">
        <v>1.0</v>
      </c>
      <c r="J759" s="14">
        <v>2.0</v>
      </c>
      <c r="K759" s="9" t="str">
        <f>HYPERLINK("http://twitter.com/#!/download/ipad","Twitter for iPad")</f>
        <v>Twitter for iPad</v>
      </c>
      <c r="L759" s="15">
        <v>1432.0</v>
      </c>
      <c r="M759" s="15">
        <v>1107.0</v>
      </c>
      <c r="N759" s="15">
        <v>61.0</v>
      </c>
      <c r="O759" s="16"/>
      <c r="P759" s="17">
        <v>41324.42309027778</v>
      </c>
      <c r="Q759" s="10" t="s">
        <v>3440</v>
      </c>
      <c r="R759" s="10" t="s">
        <v>3441</v>
      </c>
      <c r="S759" s="13"/>
      <c r="T759" s="13"/>
      <c r="U759" s="18" t="str">
        <f>HYPERLINK("https://pbs.twimg.com/profile_images/567661503898468352/wvALq4Ur.png","View")</f>
        <v>View</v>
      </c>
      <c r="V759" s="13"/>
      <c r="W759" s="13"/>
      <c r="X759" s="13"/>
      <c r="Y759" s="13"/>
      <c r="Z759" s="13"/>
    </row>
    <row r="760">
      <c r="A760" s="8">
        <v>43848.597395833334</v>
      </c>
      <c r="B760" s="9" t="str">
        <f>HYPERLINK("https://twitter.com/Jon_Vanstone","@Jon_Vanstone")</f>
        <v>@Jon_Vanstone</v>
      </c>
      <c r="C760" s="10" t="s">
        <v>3442</v>
      </c>
      <c r="D760" s="10" t="s">
        <v>3443</v>
      </c>
      <c r="E760" s="9" t="str">
        <f>HYPERLINK("https://twitter.com/Jon_Vanstone/status/1218614094732890114","1218614094732890114")</f>
        <v>1218614094732890114</v>
      </c>
      <c r="F760" s="10" t="s">
        <v>3444</v>
      </c>
      <c r="G760" s="11" t="s">
        <v>3445</v>
      </c>
      <c r="H760" s="13"/>
      <c r="I760" s="14">
        <v>0.0</v>
      </c>
      <c r="J760" s="14">
        <v>1.0</v>
      </c>
      <c r="K760" s="9" t="str">
        <f>HYPERLINK("https://mobile.twitter.com","Twitter Web App")</f>
        <v>Twitter Web App</v>
      </c>
      <c r="L760" s="15">
        <v>18293.0</v>
      </c>
      <c r="M760" s="15">
        <v>13635.0</v>
      </c>
      <c r="N760" s="15">
        <v>167.0</v>
      </c>
      <c r="O760" s="16"/>
      <c r="P760" s="17">
        <v>41591.40042824074</v>
      </c>
      <c r="Q760" s="10" t="s">
        <v>2102</v>
      </c>
      <c r="R760" s="10" t="s">
        <v>3446</v>
      </c>
      <c r="S760" s="11" t="s">
        <v>3447</v>
      </c>
      <c r="T760" s="13"/>
      <c r="U760" s="18" t="str">
        <f>HYPERLINK("https://pbs.twimg.com/profile_images/1029278310222704640/TdVsltc_.jpg","View")</f>
        <v>View</v>
      </c>
      <c r="V760" s="13"/>
      <c r="W760" s="13"/>
      <c r="X760" s="13"/>
      <c r="Y760" s="13"/>
      <c r="Z760" s="13"/>
    </row>
    <row r="761">
      <c r="A761" s="8">
        <v>43848.59722222222</v>
      </c>
      <c r="B761" s="9" t="str">
        <f>HYPERLINK("https://twitter.com/DivergentCIO","@DivergentCIO")</f>
        <v>@DivergentCIO</v>
      </c>
      <c r="C761" s="10" t="s">
        <v>3448</v>
      </c>
      <c r="D761" s="10" t="s">
        <v>3449</v>
      </c>
      <c r="E761" s="9" t="str">
        <f>HYPERLINK("https://twitter.com/DivergentCIO/status/1218614032468529152","1218614032468529152")</f>
        <v>1218614032468529152</v>
      </c>
      <c r="F761" s="11" t="s">
        <v>3450</v>
      </c>
      <c r="G761" s="13"/>
      <c r="H761" s="13"/>
      <c r="I761" s="14">
        <v>0.0</v>
      </c>
      <c r="J761" s="14">
        <v>0.0</v>
      </c>
      <c r="K761" s="9" t="str">
        <f>HYPERLINK("https://buffer.com","Buffer")</f>
        <v>Buffer</v>
      </c>
      <c r="L761" s="15">
        <v>28703.0</v>
      </c>
      <c r="M761" s="15">
        <v>25617.0</v>
      </c>
      <c r="N761" s="15">
        <v>1729.0</v>
      </c>
      <c r="O761" s="16"/>
      <c r="P761" s="17">
        <v>42071.738854166666</v>
      </c>
      <c r="Q761" s="10" t="s">
        <v>3451</v>
      </c>
      <c r="R761" s="10" t="s">
        <v>3452</v>
      </c>
      <c r="S761" s="11" t="s">
        <v>3453</v>
      </c>
      <c r="T761" s="13"/>
      <c r="U761" s="18" t="str">
        <f>HYPERLINK("https://pbs.twimg.com/profile_images/767507322583199745/rpfbzBzg.jpg","View")</f>
        <v>View</v>
      </c>
      <c r="V761" s="13"/>
      <c r="W761" s="13"/>
      <c r="X761" s="13"/>
      <c r="Y761" s="13"/>
      <c r="Z761" s="13"/>
    </row>
    <row r="762">
      <c r="A762" s="8">
        <v>43848.59707175926</v>
      </c>
      <c r="B762" s="9" t="str">
        <f>HYPERLINK("https://twitter.com/StubagsyThe","@StubagsyThe")</f>
        <v>@StubagsyThe</v>
      </c>
      <c r="C762" s="10" t="s">
        <v>3454</v>
      </c>
      <c r="D762" s="10" t="s">
        <v>3455</v>
      </c>
      <c r="E762" s="9" t="str">
        <f>HYPERLINK("https://twitter.com/StubagsyThe/status/1218613975069470722","1218613975069470722")</f>
        <v>1218613975069470722</v>
      </c>
      <c r="F762" s="11" t="s">
        <v>3456</v>
      </c>
      <c r="G762" s="13"/>
      <c r="H762" s="13"/>
      <c r="I762" s="14">
        <v>0.0</v>
      </c>
      <c r="J762" s="14">
        <v>0.0</v>
      </c>
      <c r="K762" s="9" t="str">
        <f>HYPERLINK("http://instagram.com","Instagram")</f>
        <v>Instagram</v>
      </c>
      <c r="L762" s="15">
        <v>3915.0</v>
      </c>
      <c r="M762" s="15">
        <v>3410.0</v>
      </c>
      <c r="N762" s="15">
        <v>77.0</v>
      </c>
      <c r="O762" s="16"/>
      <c r="P762" s="17">
        <v>42446.40046296296</v>
      </c>
      <c r="Q762" s="10" t="s">
        <v>446</v>
      </c>
      <c r="R762" s="10" t="s">
        <v>3457</v>
      </c>
      <c r="S762" s="11" t="s">
        <v>3458</v>
      </c>
      <c r="T762" s="13"/>
      <c r="U762" s="18" t="str">
        <f>HYPERLINK("https://pbs.twimg.com/profile_images/874908006240137217/AUsYW_Cm.jpg","View")</f>
        <v>View</v>
      </c>
      <c r="V762" s="13"/>
      <c r="W762" s="13"/>
      <c r="X762" s="13"/>
      <c r="Y762" s="13"/>
      <c r="Z762" s="13"/>
    </row>
    <row r="763">
      <c r="A763" s="8">
        <v>43848.59643518519</v>
      </c>
      <c r="B763" s="9" t="str">
        <f>HYPERLINK("https://twitter.com/wookat1983","@wookat1983")</f>
        <v>@wookat1983</v>
      </c>
      <c r="C763" s="10" t="s">
        <v>3253</v>
      </c>
      <c r="D763" s="10" t="s">
        <v>3459</v>
      </c>
      <c r="E763" s="9" t="str">
        <f>HYPERLINK("https://twitter.com/wookat1983/status/1218613744504311808","1218613744504311808")</f>
        <v>1218613744504311808</v>
      </c>
      <c r="F763" s="11" t="s">
        <v>3460</v>
      </c>
      <c r="G763" s="13"/>
      <c r="H763" s="13"/>
      <c r="I763" s="14">
        <v>0.0</v>
      </c>
      <c r="J763" s="14">
        <v>1.0</v>
      </c>
      <c r="K763" s="9" t="str">
        <f>HYPERLINK("https://mobile.twitter.com","Twitter Web App")</f>
        <v>Twitter Web App</v>
      </c>
      <c r="L763" s="15">
        <v>1487.0</v>
      </c>
      <c r="M763" s="15">
        <v>2489.0</v>
      </c>
      <c r="N763" s="15">
        <v>90.0</v>
      </c>
      <c r="O763" s="16"/>
      <c r="P763" s="17">
        <v>39946.410787037035</v>
      </c>
      <c r="Q763" s="10" t="s">
        <v>3256</v>
      </c>
      <c r="R763" s="10" t="s">
        <v>3257</v>
      </c>
      <c r="S763" s="11" t="s">
        <v>3258</v>
      </c>
      <c r="T763" s="13"/>
      <c r="U763" s="18" t="str">
        <f>HYPERLINK("https://pbs.twimg.com/profile_images/1214147050704535552/2A5dsG94.png","View")</f>
        <v>View</v>
      </c>
      <c r="V763" s="13"/>
      <c r="W763" s="13"/>
      <c r="X763" s="13"/>
      <c r="Y763" s="13"/>
      <c r="Z763" s="13"/>
    </row>
    <row r="764">
      <c r="A764" s="8">
        <v>43848.5941087963</v>
      </c>
      <c r="B764" s="9" t="str">
        <f>HYPERLINK("https://twitter.com/BookCleansing","@BookCleansing")</f>
        <v>@BookCleansing</v>
      </c>
      <c r="C764" s="10" t="s">
        <v>3461</v>
      </c>
      <c r="D764" s="10" t="s">
        <v>3462</v>
      </c>
      <c r="E764" s="9" t="str">
        <f>HYPERLINK("https://twitter.com/BookCleansing/status/1218612901055025152","1218612901055025152")</f>
        <v>1218612901055025152</v>
      </c>
      <c r="F764" s="10" t="s">
        <v>3463</v>
      </c>
      <c r="G764" s="13"/>
      <c r="H764" s="13"/>
      <c r="I764" s="14">
        <v>0.0</v>
      </c>
      <c r="J764" s="14">
        <v>1.0</v>
      </c>
      <c r="K764" s="9" t="str">
        <f>HYPERLINK("http://twitter.com/download/android","Twitter for Android")</f>
        <v>Twitter for Android</v>
      </c>
      <c r="L764" s="15">
        <v>2101.0</v>
      </c>
      <c r="M764" s="15">
        <v>1938.0</v>
      </c>
      <c r="N764" s="15">
        <v>25.0</v>
      </c>
      <c r="O764" s="16"/>
      <c r="P764" s="17">
        <v>43353.65725694444</v>
      </c>
      <c r="Q764" s="10" t="s">
        <v>3464</v>
      </c>
      <c r="R764" s="10" t="s">
        <v>3465</v>
      </c>
      <c r="S764" s="13"/>
      <c r="T764" s="13"/>
      <c r="U764" s="18" t="str">
        <f>HYPERLINK("https://pbs.twimg.com/profile_images/1081318844034150400/i3PtZEyb.jpg","View")</f>
        <v>View</v>
      </c>
      <c r="V764" s="13"/>
      <c r="W764" s="13"/>
      <c r="X764" s="13"/>
      <c r="Y764" s="13"/>
      <c r="Z764" s="13"/>
    </row>
    <row r="765">
      <c r="A765" s="8">
        <v>43848.59391203704</v>
      </c>
      <c r="B765" s="9" t="str">
        <f>HYPERLINK("https://twitter.com/sheldonbailey","@sheldonbailey")</f>
        <v>@sheldonbailey</v>
      </c>
      <c r="C765" s="10" t="s">
        <v>2110</v>
      </c>
      <c r="D765" s="10" t="s">
        <v>3466</v>
      </c>
      <c r="E765" s="9" t="str">
        <f>HYPERLINK("https://twitter.com/sheldonbailey/status/1218612833094553600","1218612833094553600")</f>
        <v>1218612833094553600</v>
      </c>
      <c r="F765" s="11" t="s">
        <v>3467</v>
      </c>
      <c r="G765" s="13"/>
      <c r="H765" s="13"/>
      <c r="I765" s="14">
        <v>2.0</v>
      </c>
      <c r="J765" s="14">
        <v>1.0</v>
      </c>
      <c r="K765" s="9" t="str">
        <f>HYPERLINK("https://mobile.twitter.com","Twitter Web App")</f>
        <v>Twitter Web App</v>
      </c>
      <c r="L765" s="15">
        <v>1261.0</v>
      </c>
      <c r="M765" s="15">
        <v>1257.0</v>
      </c>
      <c r="N765" s="15">
        <v>28.0</v>
      </c>
      <c r="O765" s="16"/>
      <c r="P765" s="17">
        <v>39743.79922453704</v>
      </c>
      <c r="Q765" s="10" t="s">
        <v>2113</v>
      </c>
      <c r="R765" s="10" t="s">
        <v>2114</v>
      </c>
      <c r="S765" s="13"/>
      <c r="T765" s="13"/>
      <c r="U765" s="18" t="str">
        <f>HYPERLINK("https://pbs.twimg.com/profile_images/1022293945764597760/_UgOTs4N.jpg","View")</f>
        <v>View</v>
      </c>
      <c r="V765" s="13"/>
      <c r="W765" s="13"/>
      <c r="X765" s="13"/>
      <c r="Y765" s="13"/>
      <c r="Z765" s="13"/>
    </row>
    <row r="766">
      <c r="A766" s="8">
        <v>43848.59390046296</v>
      </c>
      <c r="B766" s="9" t="str">
        <f>HYPERLINK("https://twitter.com/SaltielSarah","@SaltielSarah")</f>
        <v>@SaltielSarah</v>
      </c>
      <c r="C766" s="10" t="s">
        <v>3468</v>
      </c>
      <c r="D766" s="10" t="s">
        <v>3469</v>
      </c>
      <c r="E766" s="9" t="str">
        <f>HYPERLINK("https://twitter.com/SaltielSarah/status/1218612829692952577","1218612829692952577")</f>
        <v>1218612829692952577</v>
      </c>
      <c r="F766" s="11" t="s">
        <v>3470</v>
      </c>
      <c r="G766" s="11" t="s">
        <v>3471</v>
      </c>
      <c r="H766" s="13"/>
      <c r="I766" s="14">
        <v>2.0</v>
      </c>
      <c r="J766" s="14">
        <v>1.0</v>
      </c>
      <c r="K766" s="9" t="str">
        <f>HYPERLINK("http://twitter.com/download/iphone","Twitter for iPhone")</f>
        <v>Twitter for iPhone</v>
      </c>
      <c r="L766" s="15">
        <v>9.0</v>
      </c>
      <c r="M766" s="15">
        <v>24.0</v>
      </c>
      <c r="N766" s="15">
        <v>0.0</v>
      </c>
      <c r="O766" s="16"/>
      <c r="P766" s="17">
        <v>43800.164375</v>
      </c>
      <c r="Q766" s="13"/>
      <c r="R766" s="10" t="s">
        <v>3472</v>
      </c>
      <c r="S766" s="11" t="s">
        <v>3473</v>
      </c>
      <c r="T766" s="13"/>
      <c r="U766" s="18" t="str">
        <f>HYPERLINK("https://pbs.twimg.com/profile_images/1201062805199179776/Rwm910Rz.jpg","View")</f>
        <v>View</v>
      </c>
      <c r="V766" s="13"/>
      <c r="W766" s="13"/>
      <c r="X766" s="13"/>
      <c r="Y766" s="13"/>
      <c r="Z766" s="13"/>
    </row>
    <row r="767">
      <c r="A767" s="8">
        <v>43848.593831018516</v>
      </c>
      <c r="B767" s="9" t="str">
        <f>HYPERLINK("https://twitter.com/YYC_counselling","@YYC_counselling")</f>
        <v>@YYC_counselling</v>
      </c>
      <c r="C767" s="10" t="s">
        <v>3474</v>
      </c>
      <c r="D767" s="10" t="s">
        <v>3475</v>
      </c>
      <c r="E767" s="9" t="str">
        <f>HYPERLINK("https://twitter.com/YYC_counselling/status/1218612803067633664","1218612803067633664")</f>
        <v>1218612803067633664</v>
      </c>
      <c r="F767" s="11" t="s">
        <v>3476</v>
      </c>
      <c r="G767" s="11" t="s">
        <v>3477</v>
      </c>
      <c r="H767" s="13"/>
      <c r="I767" s="14">
        <v>2.0</v>
      </c>
      <c r="J767" s="14">
        <v>1.0</v>
      </c>
      <c r="K767" s="9" t="str">
        <f>HYPERLINK("https://www.hootsuite.com","Hootsuite Inc.")</f>
        <v>Hootsuite Inc.</v>
      </c>
      <c r="L767" s="15">
        <v>3402.0</v>
      </c>
      <c r="M767" s="15">
        <v>936.0</v>
      </c>
      <c r="N767" s="15">
        <v>88.0</v>
      </c>
      <c r="O767" s="16"/>
      <c r="P767" s="17">
        <v>40095.55353009259</v>
      </c>
      <c r="Q767" s="10" t="s">
        <v>2113</v>
      </c>
      <c r="R767" s="10" t="s">
        <v>3478</v>
      </c>
      <c r="S767" s="11" t="s">
        <v>3479</v>
      </c>
      <c r="T767" s="13"/>
      <c r="U767" s="18" t="str">
        <f>HYPERLINK("https://pbs.twimg.com/profile_images/905874723556524035/qzVATSCI.jpg","View")</f>
        <v>View</v>
      </c>
      <c r="V767" s="13"/>
      <c r="W767" s="13"/>
      <c r="X767" s="13"/>
      <c r="Y767" s="13"/>
      <c r="Z767" s="13"/>
    </row>
    <row r="768">
      <c r="A768" s="8">
        <v>43848.593819444446</v>
      </c>
      <c r="B768" s="9" t="str">
        <f>HYPERLINK("https://twitter.com/lindahobbis","@lindahobbis")</f>
        <v>@lindahobbis</v>
      </c>
      <c r="C768" s="10" t="s">
        <v>3309</v>
      </c>
      <c r="D768" s="10" t="s">
        <v>3480</v>
      </c>
      <c r="E768" s="9" t="str">
        <f>HYPERLINK("https://twitter.com/lindahobbis/status/1218612797342408704","1218612797342408704")</f>
        <v>1218612797342408704</v>
      </c>
      <c r="F768" s="11" t="s">
        <v>3481</v>
      </c>
      <c r="G768" s="11" t="s">
        <v>3482</v>
      </c>
      <c r="H768" s="13"/>
      <c r="I768" s="14">
        <v>1.0</v>
      </c>
      <c r="J768" s="14">
        <v>0.0</v>
      </c>
      <c r="K768" s="9" t="str">
        <f>HYPERLINK("https://buffer.com","Buffer")</f>
        <v>Buffer</v>
      </c>
      <c r="L768" s="15">
        <v>14368.0</v>
      </c>
      <c r="M768" s="15">
        <v>3719.0</v>
      </c>
      <c r="N768" s="15">
        <v>889.0</v>
      </c>
      <c r="O768" s="16"/>
      <c r="P768" s="17">
        <v>40418.67385416667</v>
      </c>
      <c r="Q768" s="10" t="s">
        <v>1324</v>
      </c>
      <c r="R768" s="10" t="s">
        <v>3313</v>
      </c>
      <c r="S768" s="11" t="s">
        <v>3314</v>
      </c>
      <c r="T768" s="13"/>
      <c r="U768" s="18" t="str">
        <f>HYPERLINK("https://pbs.twimg.com/profile_images/1063787433928650754/J0a3EKfF.jpg","View")</f>
        <v>View</v>
      </c>
      <c r="V768" s="13"/>
      <c r="W768" s="13"/>
      <c r="X768" s="13"/>
      <c r="Y768" s="13"/>
      <c r="Z768" s="13"/>
    </row>
    <row r="769">
      <c r="A769" s="8">
        <v>43848.59379629629</v>
      </c>
      <c r="B769" s="9" t="str">
        <f>HYPERLINK("https://twitter.com/HealthyPlace","@HealthyPlace")</f>
        <v>@HealthyPlace</v>
      </c>
      <c r="C769" s="10" t="s">
        <v>1457</v>
      </c>
      <c r="D769" s="10" t="s">
        <v>3483</v>
      </c>
      <c r="E769" s="9" t="str">
        <f>HYPERLINK("https://twitter.com/HealthyPlace/status/1218612789629067264","1218612789629067264")</f>
        <v>1218612789629067264</v>
      </c>
      <c r="F769" s="11" t="s">
        <v>3484</v>
      </c>
      <c r="G769" s="11" t="s">
        <v>3485</v>
      </c>
      <c r="H769" s="13"/>
      <c r="I769" s="14">
        <v>1.0</v>
      </c>
      <c r="J769" s="14">
        <v>2.0</v>
      </c>
      <c r="K769" s="9" t="str">
        <f>HYPERLINK("https://sproutsocial.com","Sprout Social")</f>
        <v>Sprout Social</v>
      </c>
      <c r="L769" s="15">
        <v>64943.0</v>
      </c>
      <c r="M769" s="15">
        <v>25049.0</v>
      </c>
      <c r="N769" s="15">
        <v>1710.0</v>
      </c>
      <c r="O769" s="16"/>
      <c r="P769" s="17">
        <v>39681.03928240741</v>
      </c>
      <c r="Q769" s="10" t="s">
        <v>1460</v>
      </c>
      <c r="R769" s="10" t="s">
        <v>1461</v>
      </c>
      <c r="S769" s="11" t="s">
        <v>1462</v>
      </c>
      <c r="T769" s="13"/>
      <c r="U769" s="18" t="str">
        <f>HYPERLINK("https://pbs.twimg.com/profile_images/753613454083252225/i5pr2xny.jpg","View")</f>
        <v>View</v>
      </c>
      <c r="V769" s="13"/>
      <c r="W769" s="13"/>
      <c r="X769" s="13"/>
      <c r="Y769" s="13"/>
      <c r="Z769" s="13"/>
    </row>
    <row r="770">
      <c r="A770" s="8">
        <v>43848.59375</v>
      </c>
      <c r="B770" s="9" t="str">
        <f>HYPERLINK("https://twitter.com/talkspace","@talkspace")</f>
        <v>@talkspace</v>
      </c>
      <c r="C770" s="10" t="s">
        <v>1166</v>
      </c>
      <c r="D770" s="10" t="s">
        <v>3486</v>
      </c>
      <c r="E770" s="9" t="str">
        <f>HYPERLINK("https://twitter.com/talkspace/status/1218612771996065792","1218612771996065792")</f>
        <v>1218612771996065792</v>
      </c>
      <c r="F770" s="11" t="s">
        <v>3487</v>
      </c>
      <c r="G770" s="13"/>
      <c r="H770" s="13"/>
      <c r="I770" s="14">
        <v>1.0</v>
      </c>
      <c r="J770" s="14">
        <v>2.0</v>
      </c>
      <c r="K770" s="9" t="str">
        <f>HYPERLINK("https://about.twitter.com/products/tweetdeck","TweetDeck")</f>
        <v>TweetDeck</v>
      </c>
      <c r="L770" s="15">
        <v>29550.0</v>
      </c>
      <c r="M770" s="15">
        <v>5868.0</v>
      </c>
      <c r="N770" s="15">
        <v>451.0</v>
      </c>
      <c r="O770" s="21" t="s">
        <v>522</v>
      </c>
      <c r="P770" s="17">
        <v>41024.919444444444</v>
      </c>
      <c r="Q770" s="10" t="s">
        <v>1169</v>
      </c>
      <c r="R770" s="10" t="s">
        <v>1170</v>
      </c>
      <c r="S770" s="11" t="s">
        <v>1171</v>
      </c>
      <c r="T770" s="13"/>
      <c r="U770" s="18" t="str">
        <f>HYPERLINK("https://pbs.twimg.com/profile_images/1145692730649120769/01H2MCMP.png","View")</f>
        <v>View</v>
      </c>
      <c r="V770" s="13"/>
      <c r="W770" s="13"/>
      <c r="X770" s="13"/>
      <c r="Y770" s="13"/>
      <c r="Z770" s="13"/>
    </row>
    <row r="771">
      <c r="A771" s="8">
        <v>43848.59373842593</v>
      </c>
      <c r="B771" s="9" t="str">
        <f>HYPERLINK("https://twitter.com/FoothillsForage","@FoothillsForage")</f>
        <v>@FoothillsForage</v>
      </c>
      <c r="C771" s="10" t="s">
        <v>3488</v>
      </c>
      <c r="D771" s="10" t="s">
        <v>3489</v>
      </c>
      <c r="E771" s="9" t="str">
        <f>HYPERLINK("https://twitter.com/FoothillsForage/status/1218612767113932800","1218612767113932800")</f>
        <v>1218612767113932800</v>
      </c>
      <c r="F771" s="13"/>
      <c r="G771" s="11" t="s">
        <v>3490</v>
      </c>
      <c r="H771" s="13"/>
      <c r="I771" s="14">
        <v>2.0</v>
      </c>
      <c r="J771" s="14">
        <v>4.0</v>
      </c>
      <c r="K771" s="9" t="str">
        <f t="shared" ref="K771:K772" si="85">HYPERLINK("http://twitter.com/download/android","Twitter for Android")</f>
        <v>Twitter for Android</v>
      </c>
      <c r="L771" s="15">
        <v>1216.0</v>
      </c>
      <c r="M771" s="15">
        <v>547.0</v>
      </c>
      <c r="N771" s="15">
        <v>29.0</v>
      </c>
      <c r="O771" s="16"/>
      <c r="P771" s="17">
        <v>40674.50640046296</v>
      </c>
      <c r="Q771" s="10" t="s">
        <v>3491</v>
      </c>
      <c r="R771" s="10" t="s">
        <v>3492</v>
      </c>
      <c r="S771" s="11" t="s">
        <v>3493</v>
      </c>
      <c r="T771" s="13"/>
      <c r="U771" s="18" t="str">
        <f>HYPERLINK("https://pbs.twimg.com/profile_images/476093576946806785/SVbEAfj9.jpeg","View")</f>
        <v>View</v>
      </c>
      <c r="V771" s="13"/>
      <c r="W771" s="13"/>
      <c r="X771" s="13"/>
      <c r="Y771" s="13"/>
      <c r="Z771" s="13"/>
    </row>
    <row r="772">
      <c r="A772" s="8">
        <v>43848.59370370371</v>
      </c>
      <c r="B772" s="9" t="str">
        <f>HYPERLINK("https://twitter.com/OkerekeMelody","@OkerekeMelody")</f>
        <v>@OkerekeMelody</v>
      </c>
      <c r="C772" s="10" t="s">
        <v>3494</v>
      </c>
      <c r="D772" s="10" t="s">
        <v>238</v>
      </c>
      <c r="E772" s="9" t="str">
        <f>HYPERLINK("https://twitter.com/OkerekeMelody/status/1218612757785870336","1218612757785870336")</f>
        <v>1218612757785870336</v>
      </c>
      <c r="F772" s="13"/>
      <c r="G772" s="13"/>
      <c r="H772" s="13"/>
      <c r="I772" s="14">
        <v>0.0</v>
      </c>
      <c r="J772" s="14">
        <v>1.0</v>
      </c>
      <c r="K772" s="9" t="str">
        <f t="shared" si="85"/>
        <v>Twitter for Android</v>
      </c>
      <c r="L772" s="15">
        <v>447.0</v>
      </c>
      <c r="M772" s="15">
        <v>183.0</v>
      </c>
      <c r="N772" s="15">
        <v>0.0</v>
      </c>
      <c r="O772" s="16"/>
      <c r="P772" s="17">
        <v>43097.32885416667</v>
      </c>
      <c r="Q772" s="13"/>
      <c r="R772" s="10" t="s">
        <v>3495</v>
      </c>
      <c r="S772" s="11" t="s">
        <v>3496</v>
      </c>
      <c r="T772" s="13"/>
      <c r="U772" s="18" t="str">
        <f>HYPERLINK("https://pbs.twimg.com/profile_images/1180829340004683777/NCFrJ2L8.jpg","View")</f>
        <v>View</v>
      </c>
      <c r="V772" s="13"/>
      <c r="W772" s="13"/>
      <c r="X772" s="13"/>
      <c r="Y772" s="13"/>
      <c r="Z772" s="13"/>
    </row>
    <row r="773">
      <c r="A773" s="8">
        <v>43848.593668981484</v>
      </c>
      <c r="B773" s="9" t="str">
        <f>HYPERLINK("https://twitter.com/AlphalakeAi","@AlphalakeAi")</f>
        <v>@AlphalakeAi</v>
      </c>
      <c r="C773" s="10" t="s">
        <v>3497</v>
      </c>
      <c r="D773" s="10" t="s">
        <v>3498</v>
      </c>
      <c r="E773" s="9" t="str">
        <f>HYPERLINK("https://twitter.com/AlphalakeAi/status/1218612743005265925","1218612743005265925")</f>
        <v>1218612743005265925</v>
      </c>
      <c r="F773" s="11" t="s">
        <v>3499</v>
      </c>
      <c r="G773" s="13"/>
      <c r="H773" s="13"/>
      <c r="I773" s="14">
        <v>0.0</v>
      </c>
      <c r="J773" s="14">
        <v>2.0</v>
      </c>
      <c r="K773" s="9" t="str">
        <f>HYPERLINK("http://twitter.com","Twitter Web Client")</f>
        <v>Twitter Web Client</v>
      </c>
      <c r="L773" s="15">
        <v>842.0</v>
      </c>
      <c r="M773" s="15">
        <v>957.0</v>
      </c>
      <c r="N773" s="15">
        <v>16.0</v>
      </c>
      <c r="O773" s="16"/>
      <c r="P773" s="17">
        <v>43489.117060185185</v>
      </c>
      <c r="Q773" s="10" t="s">
        <v>95</v>
      </c>
      <c r="R773" s="10" t="s">
        <v>3500</v>
      </c>
      <c r="S773" s="11" t="s">
        <v>3501</v>
      </c>
      <c r="T773" s="13"/>
      <c r="U773" s="18" t="str">
        <f>HYPERLINK("https://pbs.twimg.com/profile_images/1155656719000854528/0Rn_8km1.jpg","View")</f>
        <v>View</v>
      </c>
      <c r="V773" s="13"/>
      <c r="W773" s="13"/>
      <c r="X773" s="13"/>
      <c r="Y773" s="13"/>
      <c r="Z773" s="13"/>
    </row>
    <row r="774">
      <c r="A774" s="8">
        <v>43848.5934837963</v>
      </c>
      <c r="B774" s="9" t="str">
        <f>HYPERLINK("https://twitter.com/DrEMcNaught","@DrEMcNaught")</f>
        <v>@DrEMcNaught</v>
      </c>
      <c r="C774" s="10" t="s">
        <v>3502</v>
      </c>
      <c r="D774" s="10" t="s">
        <v>3503</v>
      </c>
      <c r="E774" s="9" t="str">
        <f>HYPERLINK("https://twitter.com/DrEMcNaught/status/1218612675170775040","1218612675170775040")</f>
        <v>1218612675170775040</v>
      </c>
      <c r="F774" s="13"/>
      <c r="G774" s="13"/>
      <c r="H774" s="13"/>
      <c r="I774" s="14">
        <v>4.0</v>
      </c>
      <c r="J774" s="14">
        <v>25.0</v>
      </c>
      <c r="K774" s="9" t="str">
        <f>HYPERLINK("http://twitter.com/download/iphone","Twitter for iPhone")</f>
        <v>Twitter for iPhone</v>
      </c>
      <c r="L774" s="15">
        <v>6968.0</v>
      </c>
      <c r="M774" s="15">
        <v>6505.0</v>
      </c>
      <c r="N774" s="15">
        <v>33.0</v>
      </c>
      <c r="O774" s="16"/>
      <c r="P774" s="17">
        <v>43057.488229166665</v>
      </c>
      <c r="Q774" s="13"/>
      <c r="R774" s="10" t="s">
        <v>3504</v>
      </c>
      <c r="S774" s="11" t="s">
        <v>3505</v>
      </c>
      <c r="T774" s="13"/>
      <c r="U774" s="18" t="str">
        <f>HYPERLINK("https://pbs.twimg.com/profile_images/1144208906803171328/Asmlr3fu.jpg","View")</f>
        <v>View</v>
      </c>
      <c r="V774" s="13"/>
      <c r="W774" s="13"/>
      <c r="X774" s="13"/>
      <c r="Y774" s="13"/>
      <c r="Z774" s="13"/>
    </row>
    <row r="775">
      <c r="A775" s="8">
        <v>43848.59305555555</v>
      </c>
      <c r="B775" s="9" t="str">
        <f>HYPERLINK("https://twitter.com/GreenChimneys","@GreenChimneys")</f>
        <v>@GreenChimneys</v>
      </c>
      <c r="C775" s="10" t="s">
        <v>3506</v>
      </c>
      <c r="D775" s="10" t="s">
        <v>3507</v>
      </c>
      <c r="E775" s="9" t="str">
        <f>HYPERLINK("https://twitter.com/GreenChimneys/status/1218612520253972480","1218612520253972480")</f>
        <v>1218612520253972480</v>
      </c>
      <c r="F775" s="11" t="s">
        <v>3508</v>
      </c>
      <c r="G775" s="11" t="s">
        <v>3509</v>
      </c>
      <c r="H775" s="13"/>
      <c r="I775" s="14">
        <v>0.0</v>
      </c>
      <c r="J775" s="14">
        <v>2.0</v>
      </c>
      <c r="K775" s="9" t="str">
        <f>HYPERLINK("https://about.twitter.com/products/tweetdeck","TweetDeck")</f>
        <v>TweetDeck</v>
      </c>
      <c r="L775" s="15">
        <v>2418.0</v>
      </c>
      <c r="M775" s="15">
        <v>1942.0</v>
      </c>
      <c r="N775" s="15">
        <v>77.0</v>
      </c>
      <c r="O775" s="16"/>
      <c r="P775" s="17">
        <v>39917.97006944445</v>
      </c>
      <c r="Q775" s="10" t="s">
        <v>3510</v>
      </c>
      <c r="R775" s="10" t="s">
        <v>3511</v>
      </c>
      <c r="S775" s="11" t="s">
        <v>3512</v>
      </c>
      <c r="T775" s="13"/>
      <c r="U775" s="18" t="str">
        <f>HYPERLINK("https://pbs.twimg.com/profile_images/378800000661342254/0a832ae433f4e82f098e35892f1626ae.jpeg","View")</f>
        <v>View</v>
      </c>
      <c r="V775" s="13"/>
      <c r="W775" s="13"/>
      <c r="X775" s="13"/>
      <c r="Y775" s="13"/>
      <c r="Z775" s="13"/>
    </row>
    <row r="776">
      <c r="A776" s="8">
        <v>43848.592303240745</v>
      </c>
      <c r="B776" s="9" t="str">
        <f>HYPERLINK("https://twitter.com/AliBT99","@AliBT99")</f>
        <v>@AliBT99</v>
      </c>
      <c r="C776" s="10" t="s">
        <v>3513</v>
      </c>
      <c r="D776" s="10" t="s">
        <v>3514</v>
      </c>
      <c r="E776" s="9" t="str">
        <f>HYPERLINK("https://twitter.com/AliBT99/status/1218612250099011584","1218612250099011584")</f>
        <v>1218612250099011584</v>
      </c>
      <c r="F776" s="13"/>
      <c r="G776" s="13"/>
      <c r="H776" s="13"/>
      <c r="I776" s="14">
        <v>0.0</v>
      </c>
      <c r="J776" s="14">
        <v>0.0</v>
      </c>
      <c r="K776" s="9" t="str">
        <f>HYPERLINK("http://twitter.com/download/iphone","Twitter for iPhone")</f>
        <v>Twitter for iPhone</v>
      </c>
      <c r="L776" s="15">
        <v>15.0</v>
      </c>
      <c r="M776" s="15">
        <v>175.0</v>
      </c>
      <c r="N776" s="15">
        <v>0.0</v>
      </c>
      <c r="O776" s="16"/>
      <c r="P776" s="17">
        <v>43488.3290162037</v>
      </c>
      <c r="Q776" s="10" t="s">
        <v>1442</v>
      </c>
      <c r="R776" s="10" t="s">
        <v>3515</v>
      </c>
      <c r="S776" s="13"/>
      <c r="T776" s="13"/>
      <c r="U776" s="18" t="str">
        <f>HYPERLINK("https://pbs.twimg.com/profile_images/1088059161643048960/aKpVoZf6.jpg","View")</f>
        <v>View</v>
      </c>
      <c r="V776" s="13"/>
      <c r="W776" s="13"/>
      <c r="X776" s="13"/>
      <c r="Y776" s="13"/>
      <c r="Z776" s="13"/>
    </row>
    <row r="777">
      <c r="A777" s="8">
        <v>43848.5922337963</v>
      </c>
      <c r="B777" s="9" t="str">
        <f>HYPERLINK("https://twitter.com/nish_parikh","@nish_parikh")</f>
        <v>@nish_parikh</v>
      </c>
      <c r="C777" s="10" t="s">
        <v>3516</v>
      </c>
      <c r="D777" s="10" t="s">
        <v>3517</v>
      </c>
      <c r="E777" s="9" t="str">
        <f>HYPERLINK("https://twitter.com/nish_parikh/status/1218612224039755777","1218612224039755777")</f>
        <v>1218612224039755777</v>
      </c>
      <c r="F777" s="11" t="s">
        <v>3518</v>
      </c>
      <c r="G777" s="13"/>
      <c r="H777" s="9" t="str">
        <f>HYPERLINK("https://ctrlq.org/maps/address/#40.3583,-74.6605","Map")</f>
        <v>Map</v>
      </c>
      <c r="I777" s="14">
        <v>0.0</v>
      </c>
      <c r="J777" s="14">
        <v>0.0</v>
      </c>
      <c r="K777" s="9" t="str">
        <f>HYPERLINK("http://instagram.com","Instagram")</f>
        <v>Instagram</v>
      </c>
      <c r="L777" s="15">
        <v>165.0</v>
      </c>
      <c r="M777" s="15">
        <v>157.0</v>
      </c>
      <c r="N777" s="15">
        <v>13.0</v>
      </c>
      <c r="O777" s="16"/>
      <c r="P777" s="17">
        <v>41697.42491898148</v>
      </c>
      <c r="Q777" s="10" t="s">
        <v>411</v>
      </c>
      <c r="R777" s="10" t="s">
        <v>3519</v>
      </c>
      <c r="S777" s="11" t="s">
        <v>3520</v>
      </c>
      <c r="T777" s="13"/>
      <c r="U777" s="18" t="str">
        <f>HYPERLINK("https://pbs.twimg.com/profile_images/1118665164667199488/UqqNVPk9.jpg","View")</f>
        <v>View</v>
      </c>
      <c r="V777" s="13"/>
      <c r="W777" s="13"/>
      <c r="X777" s="13"/>
      <c r="Y777" s="13"/>
      <c r="Z777" s="13"/>
    </row>
    <row r="778">
      <c r="A778" s="8">
        <v>43848.5912962963</v>
      </c>
      <c r="B778" s="9" t="str">
        <f>HYPERLINK("https://twitter.com/WeAreKetka","@WeAreKetka")</f>
        <v>@WeAreKetka</v>
      </c>
      <c r="C778" s="10" t="s">
        <v>3521</v>
      </c>
      <c r="D778" s="10" t="s">
        <v>3522</v>
      </c>
      <c r="E778" s="9" t="str">
        <f>HYPERLINK("https://twitter.com/WeAreKetka/status/1218611884125040646","1218611884125040646")</f>
        <v>1218611884125040646</v>
      </c>
      <c r="F778" s="11" t="s">
        <v>3523</v>
      </c>
      <c r="G778" s="13"/>
      <c r="H778" s="13"/>
      <c r="I778" s="14">
        <v>0.0</v>
      </c>
      <c r="J778" s="14">
        <v>0.0</v>
      </c>
      <c r="K778" s="9" t="str">
        <f>HYPERLINK("http://twitter.com","Twitter Web Client")</f>
        <v>Twitter Web Client</v>
      </c>
      <c r="L778" s="15">
        <v>51.0</v>
      </c>
      <c r="M778" s="15">
        <v>90.0</v>
      </c>
      <c r="N778" s="15">
        <v>0.0</v>
      </c>
      <c r="O778" s="16"/>
      <c r="P778" s="17">
        <v>43600.30873842593</v>
      </c>
      <c r="Q778" s="10" t="s">
        <v>2805</v>
      </c>
      <c r="R778" s="10" t="s">
        <v>3524</v>
      </c>
      <c r="S778" s="11" t="s">
        <v>3525</v>
      </c>
      <c r="T778" s="13"/>
      <c r="U778" s="18" t="str">
        <f>HYPERLINK("https://pbs.twimg.com/profile_images/1158701343806251009/rdK8KA7w.png","View")</f>
        <v>View</v>
      </c>
      <c r="V778" s="13"/>
      <c r="W778" s="13"/>
      <c r="X778" s="13"/>
      <c r="Y778" s="13"/>
      <c r="Z778" s="13"/>
    </row>
    <row r="779">
      <c r="A779" s="8">
        <v>43848.59101851852</v>
      </c>
      <c r="B779" s="9" t="str">
        <f>HYPERLINK("https://twitter.com/TheDevinaKaur","@TheDevinaKaur")</f>
        <v>@TheDevinaKaur</v>
      </c>
      <c r="C779" s="10" t="s">
        <v>295</v>
      </c>
      <c r="D779" s="10" t="s">
        <v>1483</v>
      </c>
      <c r="E779" s="9" t="str">
        <f>HYPERLINK("https://twitter.com/TheDevinaKaur/status/1218611781704278018","1218611781704278018")</f>
        <v>1218611781704278018</v>
      </c>
      <c r="F779" s="11" t="s">
        <v>1484</v>
      </c>
      <c r="G779" s="11" t="s">
        <v>3526</v>
      </c>
      <c r="H779" s="13"/>
      <c r="I779" s="14">
        <v>4.0</v>
      </c>
      <c r="J779" s="14">
        <v>0.0</v>
      </c>
      <c r="K779" s="9" t="str">
        <f>HYPERLINK("https://postfity.com","Postfity.com")</f>
        <v>Postfity.com</v>
      </c>
      <c r="L779" s="15">
        <v>7406.0</v>
      </c>
      <c r="M779" s="15">
        <v>3869.0</v>
      </c>
      <c r="N779" s="15">
        <v>36.0</v>
      </c>
      <c r="O779" s="16"/>
      <c r="P779" s="17">
        <v>42815.69490740741</v>
      </c>
      <c r="Q779" s="10" t="s">
        <v>177</v>
      </c>
      <c r="R779" s="10" t="s">
        <v>299</v>
      </c>
      <c r="S779" s="11" t="s">
        <v>297</v>
      </c>
      <c r="T779" s="13"/>
      <c r="U779" s="18" t="str">
        <f>HYPERLINK("https://pbs.twimg.com/profile_images/1147663141389656064/dg9XFyFN.jpg","View")</f>
        <v>View</v>
      </c>
      <c r="V779" s="13"/>
      <c r="W779" s="13"/>
      <c r="X779" s="13"/>
      <c r="Y779" s="13"/>
      <c r="Z779" s="13"/>
    </row>
    <row r="780">
      <c r="A780" s="8">
        <v>43848.590625</v>
      </c>
      <c r="B780" s="9" t="str">
        <f>HYPERLINK("https://twitter.com/ArleneHache","@ArleneHache")</f>
        <v>@ArleneHache</v>
      </c>
      <c r="C780" s="10" t="s">
        <v>3527</v>
      </c>
      <c r="D780" s="10" t="s">
        <v>3528</v>
      </c>
      <c r="E780" s="9" t="str">
        <f>HYPERLINK("https://twitter.com/ArleneHache/status/1218611641048354817","1218611641048354817")</f>
        <v>1218611641048354817</v>
      </c>
      <c r="F780" s="10" t="s">
        <v>3529</v>
      </c>
      <c r="G780" s="13"/>
      <c r="H780" s="13"/>
      <c r="I780" s="14">
        <v>0.0</v>
      </c>
      <c r="J780" s="14">
        <v>0.0</v>
      </c>
      <c r="K780" s="9" t="str">
        <f>HYPERLINK("https://mobile.twitter.com","Twitter Web App")</f>
        <v>Twitter Web App</v>
      </c>
      <c r="L780" s="15">
        <v>4109.0</v>
      </c>
      <c r="M780" s="15">
        <v>4992.0</v>
      </c>
      <c r="N780" s="15">
        <v>188.0</v>
      </c>
      <c r="O780" s="16"/>
      <c r="P780" s="17">
        <v>39892.25461805556</v>
      </c>
      <c r="Q780" s="10" t="s">
        <v>3530</v>
      </c>
      <c r="R780" s="10" t="s">
        <v>3531</v>
      </c>
      <c r="S780" s="13"/>
      <c r="T780" s="13"/>
      <c r="U780" s="18" t="str">
        <f>HYPERLINK("https://pbs.twimg.com/profile_images/1045866420590931968/4i4UdpbC.jpg","View")</f>
        <v>View</v>
      </c>
      <c r="V780" s="13"/>
      <c r="W780" s="13"/>
      <c r="X780" s="13"/>
      <c r="Y780" s="13"/>
      <c r="Z780" s="13"/>
    </row>
    <row r="781">
      <c r="A781" s="8">
        <v>43848.590416666666</v>
      </c>
      <c r="B781" s="9" t="str">
        <f>HYPERLINK("https://twitter.com/Evgeniya_NP","@Evgeniya_NP")</f>
        <v>@Evgeniya_NP</v>
      </c>
      <c r="C781" s="10" t="s">
        <v>3532</v>
      </c>
      <c r="D781" s="10" t="s">
        <v>3533</v>
      </c>
      <c r="E781" s="9" t="str">
        <f>HYPERLINK("https://twitter.com/Evgeniya_NP/status/1218611565169205249","1218611565169205249")</f>
        <v>1218611565169205249</v>
      </c>
      <c r="F781" s="10" t="s">
        <v>3534</v>
      </c>
      <c r="G781" s="11" t="s">
        <v>3535</v>
      </c>
      <c r="H781" s="13"/>
      <c r="I781" s="14">
        <v>0.0</v>
      </c>
      <c r="J781" s="14">
        <v>2.0</v>
      </c>
      <c r="K781" s="9" t="str">
        <f>HYPERLINK("http://twitter.com/download/iphone","Twitter for iPhone")</f>
        <v>Twitter for iPhone</v>
      </c>
      <c r="L781" s="15">
        <v>462.0</v>
      </c>
      <c r="M781" s="15">
        <v>599.0</v>
      </c>
      <c r="N781" s="15">
        <v>8.0</v>
      </c>
      <c r="O781" s="16"/>
      <c r="P781" s="17">
        <v>40281.31201388889</v>
      </c>
      <c r="Q781" s="10" t="s">
        <v>3536</v>
      </c>
      <c r="R781" s="10" t="s">
        <v>3537</v>
      </c>
      <c r="S781" s="11" t="s">
        <v>3538</v>
      </c>
      <c r="T781" s="13"/>
      <c r="U781" s="18" t="str">
        <f>HYPERLINK("https://pbs.twimg.com/profile_images/1203375911699189761/E3Fy64-0.jpg","View")</f>
        <v>View</v>
      </c>
      <c r="V781" s="13"/>
      <c r="W781" s="13"/>
      <c r="X781" s="13"/>
      <c r="Y781" s="13"/>
      <c r="Z781" s="13"/>
    </row>
    <row r="782">
      <c r="A782" s="8">
        <v>43848.59027777778</v>
      </c>
      <c r="B782" s="9" t="str">
        <f>HYPERLINK("https://twitter.com/MuskokaRegion","@MuskokaRegion")</f>
        <v>@MuskokaRegion</v>
      </c>
      <c r="C782" s="11" t="s">
        <v>3539</v>
      </c>
      <c r="D782" s="10" t="s">
        <v>3540</v>
      </c>
      <c r="E782" s="9" t="str">
        <f>HYPERLINK("https://twitter.com/MuskokaRegion/status/1218611513646170112","1218611513646170112")</f>
        <v>1218611513646170112</v>
      </c>
      <c r="F782" s="11" t="s">
        <v>3541</v>
      </c>
      <c r="G782" s="13"/>
      <c r="H782" s="13"/>
      <c r="I782" s="14">
        <v>0.0</v>
      </c>
      <c r="J782" s="14">
        <v>1.0</v>
      </c>
      <c r="K782" s="9" t="str">
        <f>HYPERLINK("https://about.twitter.com/products/tweetdeck","TweetDeck")</f>
        <v>TweetDeck</v>
      </c>
      <c r="L782" s="15">
        <v>5890.0</v>
      </c>
      <c r="M782" s="15">
        <v>346.0</v>
      </c>
      <c r="N782" s="15">
        <v>111.0</v>
      </c>
      <c r="O782" s="16"/>
      <c r="P782" s="17">
        <v>40304.57539351852</v>
      </c>
      <c r="Q782" s="10" t="s">
        <v>3542</v>
      </c>
      <c r="R782" s="10" t="s">
        <v>3543</v>
      </c>
      <c r="S782" s="11" t="s">
        <v>3544</v>
      </c>
      <c r="T782" s="13"/>
      <c r="U782" s="18" t="str">
        <f>HYPERLINK("https://pbs.twimg.com/profile_images/926102375147999233/qekbVG8b.jpg","View")</f>
        <v>View</v>
      </c>
      <c r="V782" s="13"/>
      <c r="W782" s="13"/>
      <c r="X782" s="13"/>
      <c r="Y782" s="13"/>
      <c r="Z782" s="13"/>
    </row>
    <row r="783">
      <c r="A783" s="8">
        <v>43848.590208333335</v>
      </c>
      <c r="B783" s="9" t="str">
        <f>HYPERLINK("https://twitter.com/kmhawthorne","@kmhawthorne")</f>
        <v>@kmhawthorne</v>
      </c>
      <c r="C783" s="10" t="s">
        <v>3545</v>
      </c>
      <c r="D783" s="10" t="s">
        <v>3546</v>
      </c>
      <c r="E783" s="9" t="str">
        <f>HYPERLINK("https://twitter.com/kmhawthorne/status/1218611490695061504","1218611490695061504")</f>
        <v>1218611490695061504</v>
      </c>
      <c r="F783" s="11" t="s">
        <v>3547</v>
      </c>
      <c r="G783" s="11" t="s">
        <v>3548</v>
      </c>
      <c r="H783" s="13"/>
      <c r="I783" s="14">
        <v>0.0</v>
      </c>
      <c r="J783" s="14">
        <v>2.0</v>
      </c>
      <c r="K783" s="9" t="str">
        <f>HYPERLINK("https://mobile.twitter.com","Twitter Web App")</f>
        <v>Twitter Web App</v>
      </c>
      <c r="L783" s="15">
        <v>60.0</v>
      </c>
      <c r="M783" s="15">
        <v>57.0</v>
      </c>
      <c r="N783" s="15">
        <v>1.0</v>
      </c>
      <c r="O783" s="16"/>
      <c r="P783" s="17">
        <v>43706.87361111111</v>
      </c>
      <c r="Q783" s="10" t="s">
        <v>3549</v>
      </c>
      <c r="R783" s="10" t="s">
        <v>3550</v>
      </c>
      <c r="S783" s="11" t="s">
        <v>3551</v>
      </c>
      <c r="T783" s="13"/>
      <c r="U783" s="18" t="str">
        <f>HYPERLINK("https://pbs.twimg.com/profile_images/1204237883349118976/z5ToH5Ug.jpg","View")</f>
        <v>View</v>
      </c>
      <c r="V783" s="13"/>
      <c r="W783" s="13"/>
      <c r="X783" s="13"/>
      <c r="Y783" s="13"/>
      <c r="Z783" s="13"/>
    </row>
    <row r="784">
      <c r="A784" s="8">
        <v>43848.58997685185</v>
      </c>
      <c r="B784" s="9" t="str">
        <f>HYPERLINK("https://twitter.com/BrandonMH86","@BrandonMH86")</f>
        <v>@BrandonMH86</v>
      </c>
      <c r="C784" s="10" t="s">
        <v>3552</v>
      </c>
      <c r="D784" s="10" t="s">
        <v>3553</v>
      </c>
      <c r="E784" s="9" t="str">
        <f>HYPERLINK("https://twitter.com/BrandonMH86/status/1218611406599262209","1218611406599262209")</f>
        <v>1218611406599262209</v>
      </c>
      <c r="F784" s="11" t="s">
        <v>3554</v>
      </c>
      <c r="G784" s="13"/>
      <c r="H784" s="13"/>
      <c r="I784" s="14">
        <v>1.0</v>
      </c>
      <c r="J784" s="14">
        <v>1.0</v>
      </c>
      <c r="K784" s="9" t="str">
        <f>HYPERLINK("http://twitter.com","Twitter Web Client")</f>
        <v>Twitter Web Client</v>
      </c>
      <c r="L784" s="15">
        <v>36.0</v>
      </c>
      <c r="M784" s="15">
        <v>64.0</v>
      </c>
      <c r="N784" s="15">
        <v>0.0</v>
      </c>
      <c r="O784" s="16"/>
      <c r="P784" s="17">
        <v>43468.89655092593</v>
      </c>
      <c r="Q784" s="10" t="s">
        <v>3555</v>
      </c>
      <c r="R784" s="10" t="s">
        <v>3556</v>
      </c>
      <c r="S784" s="11" t="s">
        <v>3557</v>
      </c>
      <c r="T784" s="13"/>
      <c r="U784" s="18" t="str">
        <f>HYPERLINK("https://pbs.twimg.com/profile_images/1209309398461493248/LTT9bCls.jpg","View")</f>
        <v>View</v>
      </c>
      <c r="V784" s="13"/>
      <c r="W784" s="13"/>
      <c r="X784" s="13"/>
      <c r="Y784" s="13"/>
      <c r="Z784" s="13"/>
    </row>
    <row r="785">
      <c r="A785" s="8">
        <v>43848.58993055555</v>
      </c>
      <c r="B785" s="9" t="str">
        <f>HYPERLINK("https://twitter.com/DrShawnPark1","@DrShawnPark1")</f>
        <v>@DrShawnPark1</v>
      </c>
      <c r="C785" s="10" t="s">
        <v>3558</v>
      </c>
      <c r="D785" s="10" t="s">
        <v>3559</v>
      </c>
      <c r="E785" s="9" t="str">
        <f>HYPERLINK("https://twitter.com/DrShawnPark1/status/1218611389436026880","1218611389436026880")</f>
        <v>1218611389436026880</v>
      </c>
      <c r="F785" s="11" t="s">
        <v>920</v>
      </c>
      <c r="G785" s="13"/>
      <c r="H785" s="13"/>
      <c r="I785" s="14">
        <v>0.0</v>
      </c>
      <c r="J785" s="14">
        <v>0.0</v>
      </c>
      <c r="K785" s="9" t="str">
        <f>HYPERLINK("https://apps.twitter.com","Twit4ShawnPark")</f>
        <v>Twit4ShawnPark</v>
      </c>
      <c r="L785" s="15">
        <v>9208.0</v>
      </c>
      <c r="M785" s="15">
        <v>3793.0</v>
      </c>
      <c r="N785" s="15">
        <v>374.0</v>
      </c>
      <c r="O785" s="16"/>
      <c r="P785" s="17">
        <v>41980.460752314815</v>
      </c>
      <c r="Q785" s="10" t="s">
        <v>266</v>
      </c>
      <c r="R785" s="10" t="s">
        <v>3560</v>
      </c>
      <c r="S785" s="11" t="s">
        <v>3561</v>
      </c>
      <c r="T785" s="13"/>
      <c r="U785" s="18" t="str">
        <f>HYPERLINK("https://pbs.twimg.com/profile_images/541624210569719809/bdEmUear.jpeg","View")</f>
        <v>View</v>
      </c>
      <c r="V785" s="13"/>
      <c r="W785" s="13"/>
      <c r="X785" s="13"/>
      <c r="Y785" s="13"/>
      <c r="Z785" s="13"/>
    </row>
    <row r="786">
      <c r="A786" s="8">
        <v>43848.58936342593</v>
      </c>
      <c r="B786" s="9" t="str">
        <f>HYPERLINK("https://twitter.com/crisisontario","@crisisontario")</f>
        <v>@crisisontario</v>
      </c>
      <c r="C786" s="10" t="s">
        <v>3562</v>
      </c>
      <c r="D786" s="10" t="s">
        <v>3563</v>
      </c>
      <c r="E786" s="9" t="str">
        <f>HYPERLINK("https://twitter.com/crisisontario/status/1218611184573784065","1218611184573784065")</f>
        <v>1218611184573784065</v>
      </c>
      <c r="F786" s="11" t="s">
        <v>3564</v>
      </c>
      <c r="G786" s="11" t="s">
        <v>3565</v>
      </c>
      <c r="H786" s="13"/>
      <c r="I786" s="14">
        <v>0.0</v>
      </c>
      <c r="J786" s="14">
        <v>0.0</v>
      </c>
      <c r="K786" s="9" t="str">
        <f>HYPERLINK("http://twitter.com/#!/download/ipad","Twitter for iPad")</f>
        <v>Twitter for iPad</v>
      </c>
      <c r="L786" s="15">
        <v>45.0</v>
      </c>
      <c r="M786" s="15">
        <v>76.0</v>
      </c>
      <c r="N786" s="15">
        <v>0.0</v>
      </c>
      <c r="O786" s="16"/>
      <c r="P786" s="17">
        <v>43649.69752314815</v>
      </c>
      <c r="Q786" s="13"/>
      <c r="R786" s="13"/>
      <c r="S786" s="11" t="s">
        <v>3564</v>
      </c>
      <c r="T786" s="13"/>
      <c r="U786" s="18" t="str">
        <f>HYPERLINK("https://pbs.twimg.com/profile_images/1146522317926871040/mvNWrGeO.png","View")</f>
        <v>View</v>
      </c>
      <c r="V786" s="13"/>
      <c r="W786" s="13"/>
      <c r="X786" s="13"/>
      <c r="Y786" s="13"/>
      <c r="Z786" s="13"/>
    </row>
    <row r="787">
      <c r="A787" s="8">
        <v>43848.5890625</v>
      </c>
      <c r="B787" s="9" t="str">
        <f>HYPERLINK("https://twitter.com/DowlingRenee","@DowlingRenee")</f>
        <v>@DowlingRenee</v>
      </c>
      <c r="C787" s="10" t="s">
        <v>3566</v>
      </c>
      <c r="D787" s="10" t="s">
        <v>3567</v>
      </c>
      <c r="E787" s="9" t="str">
        <f>HYPERLINK("https://twitter.com/DowlingRenee/status/1218611075895062528","1218611075895062528")</f>
        <v>1218611075895062528</v>
      </c>
      <c r="F787" s="13"/>
      <c r="G787" s="11" t="s">
        <v>3568</v>
      </c>
      <c r="H787" s="13"/>
      <c r="I787" s="14">
        <v>0.0</v>
      </c>
      <c r="J787" s="14">
        <v>0.0</v>
      </c>
      <c r="K787" s="9" t="str">
        <f>HYPERLINK("http://twitter.com/download/iphone","Twitter for iPhone")</f>
        <v>Twitter for iPhone</v>
      </c>
      <c r="L787" s="15">
        <v>51.0</v>
      </c>
      <c r="M787" s="15">
        <v>91.0</v>
      </c>
      <c r="N787" s="15">
        <v>0.0</v>
      </c>
      <c r="O787" s="16"/>
      <c r="P787" s="17">
        <v>40930.51372685185</v>
      </c>
      <c r="Q787" s="10" t="s">
        <v>3569</v>
      </c>
      <c r="R787" s="10" t="s">
        <v>3570</v>
      </c>
      <c r="S787" s="11" t="s">
        <v>3571</v>
      </c>
      <c r="T787" s="13"/>
      <c r="U787" s="18" t="str">
        <f>HYPERLINK("https://pbs.twimg.com/profile_images/1059110033059762178/vT2lB3PA.jpg","View")</f>
        <v>View</v>
      </c>
      <c r="V787" s="13"/>
      <c r="W787" s="13"/>
      <c r="X787" s="13"/>
      <c r="Y787" s="13"/>
      <c r="Z787" s="13"/>
    </row>
    <row r="788">
      <c r="A788" s="8">
        <v>43848.588958333334</v>
      </c>
      <c r="B788" s="9" t="str">
        <f>HYPERLINK("https://twitter.com/magic59051","@magic59051")</f>
        <v>@magic59051</v>
      </c>
      <c r="C788" s="10" t="s">
        <v>3572</v>
      </c>
      <c r="D788" s="10" t="s">
        <v>936</v>
      </c>
      <c r="E788" s="9" t="str">
        <f>HYPERLINK("https://twitter.com/magic59051/status/1218611035940315137","1218611035940315137")</f>
        <v>1218611035940315137</v>
      </c>
      <c r="F788" s="11" t="s">
        <v>3573</v>
      </c>
      <c r="G788" s="13"/>
      <c r="H788" s="13"/>
      <c r="I788" s="14">
        <v>0.0</v>
      </c>
      <c r="J788" s="14">
        <v>0.0</v>
      </c>
      <c r="K788" s="9" t="str">
        <f>HYPERLINK("http://twitter.com","Twitter Web Client")</f>
        <v>Twitter Web Client</v>
      </c>
      <c r="L788" s="15">
        <v>79.0</v>
      </c>
      <c r="M788" s="15">
        <v>320.0</v>
      </c>
      <c r="N788" s="15">
        <v>0.0</v>
      </c>
      <c r="O788" s="16"/>
      <c r="P788" s="17">
        <v>43531.3218287037</v>
      </c>
      <c r="Q788" s="13"/>
      <c r="R788" s="10" t="s">
        <v>3574</v>
      </c>
      <c r="S788" s="13"/>
      <c r="T788" s="13"/>
      <c r="U788" s="18" t="str">
        <f>HYPERLINK("https://pbs.twimg.com/profile_images/1103638387037298688/whi_p0f_.jpg","View")</f>
        <v>View</v>
      </c>
      <c r="V788" s="13"/>
      <c r="W788" s="13"/>
      <c r="X788" s="13"/>
      <c r="Y788" s="13"/>
      <c r="Z788" s="13"/>
    </row>
    <row r="789">
      <c r="A789" s="8">
        <v>43848.58849537037</v>
      </c>
      <c r="B789" s="9" t="str">
        <f>HYPERLINK("https://twitter.com/kimadele10","@kimadele10")</f>
        <v>@kimadele10</v>
      </c>
      <c r="C789" s="10" t="s">
        <v>3575</v>
      </c>
      <c r="D789" s="10" t="s">
        <v>238</v>
      </c>
      <c r="E789" s="9" t="str">
        <f>HYPERLINK("https://twitter.com/kimadele10/status/1218610870130966534","1218610870130966534")</f>
        <v>1218610870130966534</v>
      </c>
      <c r="F789" s="13"/>
      <c r="G789" s="13"/>
      <c r="H789" s="13"/>
      <c r="I789" s="14">
        <v>0.0</v>
      </c>
      <c r="J789" s="14">
        <v>1.0</v>
      </c>
      <c r="K789" s="9" t="str">
        <f t="shared" ref="K789:K790" si="86">HYPERLINK("http://twitter.com/download/iphone","Twitter for iPhone")</f>
        <v>Twitter for iPhone</v>
      </c>
      <c r="L789" s="15">
        <v>1434.0</v>
      </c>
      <c r="M789" s="15">
        <v>2865.0</v>
      </c>
      <c r="N789" s="15">
        <v>36.0</v>
      </c>
      <c r="O789" s="16"/>
      <c r="P789" s="17">
        <v>42996.664814814816</v>
      </c>
      <c r="Q789" s="10" t="s">
        <v>3576</v>
      </c>
      <c r="R789" s="10" t="s">
        <v>3577</v>
      </c>
      <c r="S789" s="11" t="s">
        <v>3578</v>
      </c>
      <c r="T789" s="13"/>
      <c r="U789" s="18" t="str">
        <f>HYPERLINK("https://pbs.twimg.com/profile_images/1095757028423860224/fnJBvehi.jpg","View")</f>
        <v>View</v>
      </c>
      <c r="V789" s="13"/>
      <c r="W789" s="13"/>
      <c r="X789" s="13"/>
      <c r="Y789" s="13"/>
      <c r="Z789" s="13"/>
    </row>
    <row r="790">
      <c r="A790" s="8">
        <v>43848.58840277778</v>
      </c>
      <c r="B790" s="9" t="str">
        <f>HYPERLINK("https://twitter.com/ruisliprc","@ruisliprc")</f>
        <v>@ruisliprc</v>
      </c>
      <c r="C790" s="10" t="s">
        <v>3579</v>
      </c>
      <c r="D790" s="10" t="s">
        <v>3580</v>
      </c>
      <c r="E790" s="9" t="str">
        <f>HYPERLINK("https://twitter.com/ruisliprc/status/1218610834672422913","1218610834672422913")</f>
        <v>1218610834672422913</v>
      </c>
      <c r="F790" s="13"/>
      <c r="G790" s="11" t="s">
        <v>3581</v>
      </c>
      <c r="H790" s="13"/>
      <c r="I790" s="14">
        <v>0.0</v>
      </c>
      <c r="J790" s="14">
        <v>0.0</v>
      </c>
      <c r="K790" s="9" t="str">
        <f t="shared" si="86"/>
        <v>Twitter for iPhone</v>
      </c>
      <c r="L790" s="15">
        <v>118.0</v>
      </c>
      <c r="M790" s="15">
        <v>150.0</v>
      </c>
      <c r="N790" s="15">
        <v>4.0</v>
      </c>
      <c r="O790" s="16"/>
      <c r="P790" s="17">
        <v>43467.74195601852</v>
      </c>
      <c r="Q790" s="10" t="s">
        <v>3582</v>
      </c>
      <c r="R790" s="13"/>
      <c r="S790" s="11" t="s">
        <v>3583</v>
      </c>
      <c r="T790" s="13"/>
      <c r="U790" s="18" t="str">
        <f>HYPERLINK("https://pbs.twimg.com/profile_images/1080596874686578688/EsTaq03g.jpg","View")</f>
        <v>View</v>
      </c>
      <c r="V790" s="13"/>
      <c r="W790" s="13"/>
      <c r="X790" s="13"/>
      <c r="Y790" s="13"/>
      <c r="Z790" s="13"/>
    </row>
    <row r="791">
      <c r="A791" s="8">
        <v>43848.58829861111</v>
      </c>
      <c r="B791" s="9" t="str">
        <f>HYPERLINK("https://twitter.com/health_monitor7","@health_monitor7")</f>
        <v>@health_monitor7</v>
      </c>
      <c r="C791" s="10" t="s">
        <v>218</v>
      </c>
      <c r="D791" s="10" t="s">
        <v>3584</v>
      </c>
      <c r="E791" s="9" t="str">
        <f>HYPERLINK("https://twitter.com/health_monitor7/status/1218610796709715970","1218610796709715970")</f>
        <v>1218610796709715970</v>
      </c>
      <c r="F791" s="13"/>
      <c r="G791" s="13"/>
      <c r="H791" s="13"/>
      <c r="I791" s="14">
        <v>0.0</v>
      </c>
      <c r="J791" s="14">
        <v>1.0</v>
      </c>
      <c r="K791" s="9" t="str">
        <f>HYPERLINK("http://twitter.com/download/android","Twitter for Android")</f>
        <v>Twitter for Android</v>
      </c>
      <c r="L791" s="15">
        <v>21.0</v>
      </c>
      <c r="M791" s="15">
        <v>37.0</v>
      </c>
      <c r="N791" s="15">
        <v>0.0</v>
      </c>
      <c r="O791" s="16"/>
      <c r="P791" s="17">
        <v>43767.47483796296</v>
      </c>
      <c r="Q791" s="13"/>
      <c r="R791" s="10" t="s">
        <v>221</v>
      </c>
      <c r="S791" s="11" t="s">
        <v>222</v>
      </c>
      <c r="T791" s="13"/>
      <c r="U791" s="18" t="str">
        <f>HYPERLINK("https://pbs.twimg.com/profile_images/1218000466430156800/PMxt5qkT.png","View")</f>
        <v>View</v>
      </c>
      <c r="V791" s="13"/>
      <c r="W791" s="13"/>
      <c r="X791" s="13"/>
      <c r="Y791" s="13"/>
      <c r="Z791" s="13"/>
    </row>
    <row r="792">
      <c r="A792" s="8">
        <v>43848.587800925925</v>
      </c>
      <c r="B792" s="9" t="str">
        <f>HYPERLINK("https://twitter.com/BlackpoolCarers","@BlackpoolCarers")</f>
        <v>@BlackpoolCarers</v>
      </c>
      <c r="C792" s="10" t="s">
        <v>3585</v>
      </c>
      <c r="D792" s="10" t="s">
        <v>3586</v>
      </c>
      <c r="E792" s="9" t="str">
        <f>HYPERLINK("https://twitter.com/BlackpoolCarers/status/1218610618095341568","1218610618095341568")</f>
        <v>1218610618095341568</v>
      </c>
      <c r="F792" s="11" t="s">
        <v>3587</v>
      </c>
      <c r="G792" s="11" t="s">
        <v>3588</v>
      </c>
      <c r="H792" s="13"/>
      <c r="I792" s="14">
        <v>1.0</v>
      </c>
      <c r="J792" s="14">
        <v>1.0</v>
      </c>
      <c r="K792" s="9" t="str">
        <f t="shared" ref="K792:K793" si="87">HYPERLINK("https://mobile.twitter.com","Twitter Web App")</f>
        <v>Twitter Web App</v>
      </c>
      <c r="L792" s="15">
        <v>3428.0</v>
      </c>
      <c r="M792" s="15">
        <v>1024.0</v>
      </c>
      <c r="N792" s="15">
        <v>69.0</v>
      </c>
      <c r="O792" s="16"/>
      <c r="P792" s="17">
        <v>40129.36376157407</v>
      </c>
      <c r="Q792" s="10" t="s">
        <v>3589</v>
      </c>
      <c r="R792" s="10" t="s">
        <v>3590</v>
      </c>
      <c r="S792" s="11" t="s">
        <v>3591</v>
      </c>
      <c r="T792" s="13"/>
      <c r="U792" s="18" t="str">
        <f>HYPERLINK("https://pbs.twimg.com/profile_images/886971225909727232/2HW0oCJk.jpg","View")</f>
        <v>View</v>
      </c>
      <c r="V792" s="13"/>
      <c r="W792" s="13"/>
      <c r="X792" s="13"/>
      <c r="Y792" s="13"/>
      <c r="Z792" s="13"/>
    </row>
    <row r="793">
      <c r="A793" s="8">
        <v>43848.58766203704</v>
      </c>
      <c r="B793" s="9" t="str">
        <f>HYPERLINK("https://twitter.com/sbb_talks","@sbb_talks")</f>
        <v>@sbb_talks</v>
      </c>
      <c r="C793" s="10" t="s">
        <v>3592</v>
      </c>
      <c r="D793" s="10" t="s">
        <v>238</v>
      </c>
      <c r="E793" s="9" t="str">
        <f>HYPERLINK("https://twitter.com/sbb_talks/status/1218610567038087169","1218610567038087169")</f>
        <v>1218610567038087169</v>
      </c>
      <c r="F793" s="13"/>
      <c r="G793" s="13"/>
      <c r="H793" s="13"/>
      <c r="I793" s="14">
        <v>0.0</v>
      </c>
      <c r="J793" s="14">
        <v>0.0</v>
      </c>
      <c r="K793" s="9" t="str">
        <f t="shared" si="87"/>
        <v>Twitter Web App</v>
      </c>
      <c r="L793" s="15">
        <v>483.0</v>
      </c>
      <c r="M793" s="15">
        <v>641.0</v>
      </c>
      <c r="N793" s="15">
        <v>0.0</v>
      </c>
      <c r="O793" s="16"/>
      <c r="P793" s="17">
        <v>41997.32318287037</v>
      </c>
      <c r="Q793" s="10" t="s">
        <v>3593</v>
      </c>
      <c r="R793" s="10" t="s">
        <v>3594</v>
      </c>
      <c r="S793" s="13"/>
      <c r="T793" s="13"/>
      <c r="U793" s="18" t="str">
        <f>HYPERLINK("https://pbs.twimg.com/profile_images/1151084319659692032/VFRt6p_t.jpg","View")</f>
        <v>View</v>
      </c>
      <c r="V793" s="13"/>
      <c r="W793" s="13"/>
      <c r="X793" s="13"/>
      <c r="Y793" s="13"/>
      <c r="Z793" s="13"/>
    </row>
    <row r="794">
      <c r="A794" s="8">
        <v>43848.58694444444</v>
      </c>
      <c r="B794" s="9" t="str">
        <f>HYPERLINK("https://twitter.com/AldridgeMalone","@AldridgeMalone")</f>
        <v>@AldridgeMalone</v>
      </c>
      <c r="C794" s="10" t="s">
        <v>2007</v>
      </c>
      <c r="D794" s="10" t="s">
        <v>3595</v>
      </c>
      <c r="E794" s="9" t="str">
        <f>HYPERLINK("https://twitter.com/AldridgeMalone/status/1218610308358582272","1218610308358582272")</f>
        <v>1218610308358582272</v>
      </c>
      <c r="F794" s="11" t="s">
        <v>3596</v>
      </c>
      <c r="G794" s="13"/>
      <c r="H794" s="13"/>
      <c r="I794" s="14">
        <v>0.0</v>
      </c>
      <c r="J794" s="14">
        <v>0.0</v>
      </c>
      <c r="K794" s="9" t="str">
        <f>HYPERLINK("https://crowdfireapp.com","Crowdfire App")</f>
        <v>Crowdfire App</v>
      </c>
      <c r="L794" s="15">
        <v>511.0</v>
      </c>
      <c r="M794" s="15">
        <v>1053.0</v>
      </c>
      <c r="N794" s="15">
        <v>3.0</v>
      </c>
      <c r="O794" s="16"/>
      <c r="P794" s="17">
        <v>43797.42387731481</v>
      </c>
      <c r="Q794" s="10" t="s">
        <v>2010</v>
      </c>
      <c r="R794" s="10" t="s">
        <v>2011</v>
      </c>
      <c r="S794" s="11" t="s">
        <v>2012</v>
      </c>
      <c r="T794" s="13"/>
      <c r="U794" s="18" t="str">
        <f>HYPERLINK("https://pbs.twimg.com/profile_images/1211081028128952320/tuXizEt6.jpg","View")</f>
        <v>View</v>
      </c>
      <c r="V794" s="13"/>
      <c r="W794" s="13"/>
      <c r="X794" s="13"/>
      <c r="Y794" s="13"/>
      <c r="Z794" s="13"/>
    </row>
    <row r="795">
      <c r="A795" s="8">
        <v>43848.586875</v>
      </c>
      <c r="B795" s="9" t="str">
        <f>HYPERLINK("https://twitter.com/djemal_ua","@djemal_ua")</f>
        <v>@djemal_ua</v>
      </c>
      <c r="C795" s="10" t="s">
        <v>1161</v>
      </c>
      <c r="D795" s="10" t="s">
        <v>3597</v>
      </c>
      <c r="E795" s="9" t="str">
        <f>HYPERLINK("https://twitter.com/djemal_ua/status/1218610280197914624","1218610280197914624")</f>
        <v>1218610280197914624</v>
      </c>
      <c r="F795" s="11" t="s">
        <v>3598</v>
      </c>
      <c r="G795" s="13"/>
      <c r="H795" s="13"/>
      <c r="I795" s="14">
        <v>0.0</v>
      </c>
      <c r="J795" s="14">
        <v>0.0</v>
      </c>
      <c r="K795" s="9" t="str">
        <f>HYPERLINK("https://www.hootsuite.com","Hootsuite Inc.")</f>
        <v>Hootsuite Inc.</v>
      </c>
      <c r="L795" s="15">
        <v>5127.0</v>
      </c>
      <c r="M795" s="15">
        <v>4724.0</v>
      </c>
      <c r="N795" s="15">
        <v>60.0</v>
      </c>
      <c r="O795" s="16"/>
      <c r="P795" s="17">
        <v>43530.25729166667</v>
      </c>
      <c r="Q795" s="10" t="s">
        <v>95</v>
      </c>
      <c r="R795" s="10" t="s">
        <v>1164</v>
      </c>
      <c r="S795" s="11" t="s">
        <v>1165</v>
      </c>
      <c r="T795" s="13"/>
      <c r="U795" s="18" t="str">
        <f>HYPERLINK("https://pbs.twimg.com/profile_images/1202978381106761728/aqUhVSTO.jpg","View")</f>
        <v>View</v>
      </c>
      <c r="V795" s="13"/>
      <c r="W795" s="13"/>
      <c r="X795" s="13"/>
      <c r="Y795" s="13"/>
      <c r="Z795" s="13"/>
    </row>
    <row r="796">
      <c r="A796" s="8">
        <v>43848.58678240741</v>
      </c>
      <c r="B796" s="9" t="str">
        <f>HYPERLINK("https://twitter.com/RaderWardFound","@RaderWardFound")</f>
        <v>@RaderWardFound</v>
      </c>
      <c r="C796" s="10" t="s">
        <v>3599</v>
      </c>
      <c r="D796" s="10" t="s">
        <v>3600</v>
      </c>
      <c r="E796" s="9" t="str">
        <f>HYPERLINK("https://twitter.com/RaderWardFound/status/1218610249411764224","1218610249411764224")</f>
        <v>1218610249411764224</v>
      </c>
      <c r="F796" s="13"/>
      <c r="G796" s="11" t="s">
        <v>3601</v>
      </c>
      <c r="H796" s="13"/>
      <c r="I796" s="14">
        <v>0.0</v>
      </c>
      <c r="J796" s="14">
        <v>1.0</v>
      </c>
      <c r="K796" s="9" t="str">
        <f>HYPERLINK("http://twitter.com/download/iphone","Twitter for iPhone")</f>
        <v>Twitter for iPhone</v>
      </c>
      <c r="L796" s="15">
        <v>77.0</v>
      </c>
      <c r="M796" s="15">
        <v>223.0</v>
      </c>
      <c r="N796" s="15">
        <v>3.0</v>
      </c>
      <c r="O796" s="16"/>
      <c r="P796" s="17">
        <v>41079.64251157407</v>
      </c>
      <c r="Q796" s="10" t="s">
        <v>3602</v>
      </c>
      <c r="R796" s="10" t="s">
        <v>3603</v>
      </c>
      <c r="S796" s="11" t="s">
        <v>3604</v>
      </c>
      <c r="T796" s="13"/>
      <c r="U796" s="18" t="str">
        <f>HYPERLINK("https://pbs.twimg.com/profile_images/1003791522381234176/06khu-f0.jpg","View")</f>
        <v>View</v>
      </c>
      <c r="V796" s="13"/>
      <c r="W796" s="13"/>
      <c r="X796" s="13"/>
      <c r="Y796" s="13"/>
      <c r="Z796" s="13"/>
    </row>
    <row r="797">
      <c r="A797" s="8">
        <v>43848.58653935185</v>
      </c>
      <c r="B797" s="9" t="str">
        <f>HYPERLINK("https://twitter.com/Nair_is_fair","@Nair_is_fair")</f>
        <v>@Nair_is_fair</v>
      </c>
      <c r="C797" s="10" t="s">
        <v>3605</v>
      </c>
      <c r="D797" s="10" t="s">
        <v>3606</v>
      </c>
      <c r="E797" s="9" t="str">
        <f>HYPERLINK("https://twitter.com/Nair_is_fair/status/1218610160232321025","1218610160232321025")</f>
        <v>1218610160232321025</v>
      </c>
      <c r="F797" s="11" t="s">
        <v>334</v>
      </c>
      <c r="G797" s="13"/>
      <c r="H797" s="13"/>
      <c r="I797" s="14">
        <v>0.0</v>
      </c>
      <c r="J797" s="14">
        <v>1.0</v>
      </c>
      <c r="K797" s="9" t="str">
        <f>HYPERLINK("https://mobile.twitter.com","Twitter Web App")</f>
        <v>Twitter Web App</v>
      </c>
      <c r="L797" s="15">
        <v>312.0</v>
      </c>
      <c r="M797" s="15">
        <v>702.0</v>
      </c>
      <c r="N797" s="15">
        <v>9.0</v>
      </c>
      <c r="O797" s="16"/>
      <c r="P797" s="17">
        <v>41468.79027777778</v>
      </c>
      <c r="Q797" s="10" t="s">
        <v>3607</v>
      </c>
      <c r="R797" s="10" t="s">
        <v>3608</v>
      </c>
      <c r="S797" s="13"/>
      <c r="T797" s="13"/>
      <c r="U797" s="18" t="str">
        <f>HYPERLINK("https://pbs.twimg.com/profile_images/1056615948055183360/Gks4m8BP.jpg","View")</f>
        <v>View</v>
      </c>
      <c r="V797" s="13"/>
      <c r="W797" s="13"/>
      <c r="X797" s="13"/>
      <c r="Y797" s="13"/>
      <c r="Z797" s="13"/>
    </row>
    <row r="798">
      <c r="A798" s="8">
        <v>43848.58541666667</v>
      </c>
      <c r="B798" s="9" t="str">
        <f>HYPERLINK("https://twitter.com/LEAD_Coalition","@LEAD_Coalition")</f>
        <v>@LEAD_Coalition</v>
      </c>
      <c r="C798" s="10" t="s">
        <v>3609</v>
      </c>
      <c r="D798" s="10" t="s">
        <v>3610</v>
      </c>
      <c r="E798" s="9" t="str">
        <f>HYPERLINK("https://twitter.com/LEAD_Coalition/status/1218609752420290561","1218609752420290561")</f>
        <v>1218609752420290561</v>
      </c>
      <c r="F798" s="13"/>
      <c r="G798" s="11" t="s">
        <v>3611</v>
      </c>
      <c r="H798" s="13"/>
      <c r="I798" s="14">
        <v>16.0</v>
      </c>
      <c r="J798" s="14">
        <v>10.0</v>
      </c>
      <c r="K798" s="9" t="str">
        <f>HYPERLINK("https://about.twitter.com/products/tweetdeck","TweetDeck")</f>
        <v>TweetDeck</v>
      </c>
      <c r="L798" s="15">
        <v>31755.0</v>
      </c>
      <c r="M798" s="15">
        <v>22435.0</v>
      </c>
      <c r="N798" s="15">
        <v>904.0</v>
      </c>
      <c r="O798" s="16"/>
      <c r="P798" s="17">
        <v>40036.36571759259</v>
      </c>
      <c r="Q798" s="10" t="s">
        <v>905</v>
      </c>
      <c r="R798" s="10" t="s">
        <v>3612</v>
      </c>
      <c r="S798" s="11" t="s">
        <v>3613</v>
      </c>
      <c r="T798" s="13"/>
      <c r="U798" s="18" t="str">
        <f>HYPERLINK("https://pbs.twimg.com/profile_images/378800000543724265/5d4f0faa1af2a5d0ea796c0041484706.jpeg","View")</f>
        <v>View</v>
      </c>
      <c r="V798" s="13"/>
      <c r="W798" s="13"/>
      <c r="X798" s="13"/>
      <c r="Y798" s="13"/>
      <c r="Z798" s="13"/>
    </row>
    <row r="799">
      <c r="A799" s="8">
        <v>43848.585023148145</v>
      </c>
      <c r="B799" s="9" t="str">
        <f>HYPERLINK("https://twitter.com/balance_1st","@balance_1st")</f>
        <v>@balance_1st</v>
      </c>
      <c r="C799" s="10" t="s">
        <v>3614</v>
      </c>
      <c r="D799" s="10" t="s">
        <v>3615</v>
      </c>
      <c r="E799" s="9" t="str">
        <f>HYPERLINK("https://twitter.com/balance_1st/status/1218609612640997377","1218609612640997377")</f>
        <v>1218609612640997377</v>
      </c>
      <c r="F799" s="11" t="s">
        <v>3616</v>
      </c>
      <c r="G799" s="11" t="s">
        <v>3617</v>
      </c>
      <c r="H799" s="13"/>
      <c r="I799" s="14">
        <v>0.0</v>
      </c>
      <c r="J799" s="14">
        <v>0.0</v>
      </c>
      <c r="K799" s="9" t="str">
        <f>HYPERLINK("https://www.corelistingmachine.com/","CORE ListingMachine")</f>
        <v>CORE ListingMachine</v>
      </c>
      <c r="L799" s="15">
        <v>21.0</v>
      </c>
      <c r="M799" s="15">
        <v>15.0</v>
      </c>
      <c r="N799" s="15">
        <v>0.0</v>
      </c>
      <c r="O799" s="16"/>
      <c r="P799" s="17">
        <v>39297.4705787037</v>
      </c>
      <c r="Q799" s="10" t="s">
        <v>3618</v>
      </c>
      <c r="R799" s="10" t="s">
        <v>3619</v>
      </c>
      <c r="S799" s="13"/>
      <c r="T799" s="13"/>
      <c r="U799" s="18" t="str">
        <f>HYPERLINK("https://pbs.twimg.com/profile_images/3536862007/1feb742b1ac1e86ef9c9f90eb1750ced.jpeg","View")</f>
        <v>View</v>
      </c>
      <c r="V799" s="13"/>
      <c r="W799" s="13"/>
      <c r="X799" s="13"/>
      <c r="Y799" s="13"/>
      <c r="Z799" s="13"/>
    </row>
    <row r="800">
      <c r="A800" s="8">
        <v>43848.58405092593</v>
      </c>
      <c r="B800" s="9" t="str">
        <f>HYPERLINK("https://twitter.com/KarenGoslinRSW","@KarenGoslinRSW")</f>
        <v>@KarenGoslinRSW</v>
      </c>
      <c r="C800" s="10" t="s">
        <v>241</v>
      </c>
      <c r="D800" s="10" t="s">
        <v>3620</v>
      </c>
      <c r="E800" s="9" t="str">
        <f>HYPERLINK("https://twitter.com/KarenGoslinRSW/status/1218609260063576065","1218609260063576065")</f>
        <v>1218609260063576065</v>
      </c>
      <c r="F800" s="11" t="s">
        <v>3621</v>
      </c>
      <c r="G800" s="11" t="s">
        <v>3622</v>
      </c>
      <c r="H800" s="13"/>
      <c r="I800" s="14">
        <v>0.0</v>
      </c>
      <c r="J800" s="14">
        <v>1.0</v>
      </c>
      <c r="K800" s="9" t="str">
        <f>HYPERLINK("https://buffer.com","Buffer")</f>
        <v>Buffer</v>
      </c>
      <c r="L800" s="15">
        <v>264.0</v>
      </c>
      <c r="M800" s="15">
        <v>67.0</v>
      </c>
      <c r="N800" s="15">
        <v>1.0</v>
      </c>
      <c r="O800" s="16"/>
      <c r="P800" s="17">
        <v>43598.565034722225</v>
      </c>
      <c r="Q800" s="10" t="s">
        <v>245</v>
      </c>
      <c r="R800" s="10" t="s">
        <v>246</v>
      </c>
      <c r="S800" s="11" t="s">
        <v>247</v>
      </c>
      <c r="T800" s="13"/>
      <c r="U800" s="18" t="str">
        <f>HYPERLINK("https://pbs.twimg.com/profile_images/1214259547994497026/3Cq4fR3a.jpg","View")</f>
        <v>View</v>
      </c>
      <c r="V800" s="13"/>
      <c r="W800" s="13"/>
      <c r="X800" s="13"/>
      <c r="Y800" s="13"/>
      <c r="Z800" s="13"/>
    </row>
    <row r="801">
      <c r="A801" s="8">
        <v>43848.58399305555</v>
      </c>
      <c r="B801" s="9" t="str">
        <f>HYPERLINK("https://twitter.com/KTL_LTD","@KTL_LTD")</f>
        <v>@KTL_LTD</v>
      </c>
      <c r="C801" s="10" t="s">
        <v>3623</v>
      </c>
      <c r="D801" s="10" t="s">
        <v>3624</v>
      </c>
      <c r="E801" s="9" t="str">
        <f>HYPERLINK("https://twitter.com/KTL_LTD/status/1218609237863038977","1218609237863038977")</f>
        <v>1218609237863038977</v>
      </c>
      <c r="F801" s="11" t="s">
        <v>3625</v>
      </c>
      <c r="G801" s="11" t="s">
        <v>3626</v>
      </c>
      <c r="H801" s="13"/>
      <c r="I801" s="14">
        <v>1.0</v>
      </c>
      <c r="J801" s="14">
        <v>1.0</v>
      </c>
      <c r="K801" s="9" t="str">
        <f>HYPERLINK("https://www.hootsuite.com","Hootsuite Inc.")</f>
        <v>Hootsuite Inc.</v>
      </c>
      <c r="L801" s="15">
        <v>592.0</v>
      </c>
      <c r="M801" s="15">
        <v>677.0</v>
      </c>
      <c r="N801" s="15">
        <v>23.0</v>
      </c>
      <c r="O801" s="16"/>
      <c r="P801" s="17">
        <v>40758.15944444444</v>
      </c>
      <c r="Q801" s="10" t="s">
        <v>3627</v>
      </c>
      <c r="R801" s="10" t="s">
        <v>3628</v>
      </c>
      <c r="S801" s="11" t="s">
        <v>3629</v>
      </c>
      <c r="T801" s="13"/>
      <c r="U801" s="18" t="str">
        <f>HYPERLINK("https://pbs.twimg.com/profile_images/1140974524709691392/R0mkJK3f.png","View")</f>
        <v>View</v>
      </c>
      <c r="V801" s="13"/>
      <c r="W801" s="13"/>
      <c r="X801" s="13"/>
      <c r="Y801" s="13"/>
      <c r="Z801" s="13"/>
    </row>
    <row r="802">
      <c r="A802" s="8">
        <v>43848.58399305555</v>
      </c>
      <c r="B802" s="9" t="str">
        <f>HYPERLINK("https://twitter.com/livelove_betrue","@livelove_betrue")</f>
        <v>@livelove_betrue</v>
      </c>
      <c r="C802" s="10" t="s">
        <v>3630</v>
      </c>
      <c r="D802" s="10" t="s">
        <v>3631</v>
      </c>
      <c r="E802" s="9" t="str">
        <f>HYPERLINK("https://twitter.com/livelove_betrue/status/1218609237720543234","1218609237720543234")</f>
        <v>1218609237720543234</v>
      </c>
      <c r="F802" s="13"/>
      <c r="G802" s="13"/>
      <c r="H802" s="13"/>
      <c r="I802" s="14">
        <v>0.0</v>
      </c>
      <c r="J802" s="14">
        <v>0.0</v>
      </c>
      <c r="K802" s="9" t="str">
        <f>HYPERLINK("http://twitter.com/download/iphone","Twitter for iPhone")</f>
        <v>Twitter for iPhone</v>
      </c>
      <c r="L802" s="15">
        <v>47.0</v>
      </c>
      <c r="M802" s="15">
        <v>117.0</v>
      </c>
      <c r="N802" s="15">
        <v>3.0</v>
      </c>
      <c r="O802" s="16"/>
      <c r="P802" s="17">
        <v>42952.81892361111</v>
      </c>
      <c r="Q802" s="10" t="s">
        <v>95</v>
      </c>
      <c r="R802" s="10" t="s">
        <v>3632</v>
      </c>
      <c r="S802" s="11" t="s">
        <v>3633</v>
      </c>
      <c r="T802" s="13"/>
      <c r="U802" s="18" t="str">
        <f>HYPERLINK("https://pbs.twimg.com/profile_images/1003063407061491712/WsJ2_DTV.jpg","View")</f>
        <v>View</v>
      </c>
      <c r="V802" s="13"/>
      <c r="W802" s="13"/>
      <c r="X802" s="13"/>
      <c r="Y802" s="13"/>
      <c r="Z802" s="13"/>
    </row>
    <row r="803">
      <c r="A803" s="8">
        <v>43848.583703703705</v>
      </c>
      <c r="B803" s="9" t="str">
        <f>HYPERLINK("https://twitter.com/henpickednet","@henpickednet")</f>
        <v>@henpickednet</v>
      </c>
      <c r="C803" s="10" t="s">
        <v>3634</v>
      </c>
      <c r="D803" s="10" t="s">
        <v>3635</v>
      </c>
      <c r="E803" s="9" t="str">
        <f>HYPERLINK("https://twitter.com/henpickednet/status/1218609133773099011","1218609133773099011")</f>
        <v>1218609133773099011</v>
      </c>
      <c r="F803" s="11" t="s">
        <v>3636</v>
      </c>
      <c r="G803" s="11" t="s">
        <v>3637</v>
      </c>
      <c r="H803" s="13"/>
      <c r="I803" s="14">
        <v>0.0</v>
      </c>
      <c r="J803" s="14">
        <v>1.0</v>
      </c>
      <c r="K803" s="9" t="str">
        <f>HYPERLINK("https://buffer.com","Buffer")</f>
        <v>Buffer</v>
      </c>
      <c r="L803" s="15">
        <v>18796.0</v>
      </c>
      <c r="M803" s="15">
        <v>14944.0</v>
      </c>
      <c r="N803" s="15">
        <v>801.0</v>
      </c>
      <c r="O803" s="16"/>
      <c r="P803" s="17">
        <v>40434.232928240745</v>
      </c>
      <c r="Q803" s="10" t="s">
        <v>1667</v>
      </c>
      <c r="R803" s="10" t="s">
        <v>3638</v>
      </c>
      <c r="S803" s="11" t="s">
        <v>3639</v>
      </c>
      <c r="T803" s="13"/>
      <c r="U803" s="18" t="str">
        <f>HYPERLINK("https://pbs.twimg.com/profile_images/378800000713476538/cc08c0eb0c66ea84cf24f3b410884962.jpeg","View")</f>
        <v>View</v>
      </c>
      <c r="V803" s="13"/>
      <c r="W803" s="13"/>
      <c r="X803" s="13"/>
      <c r="Y803" s="13"/>
      <c r="Z803" s="13"/>
    </row>
    <row r="804">
      <c r="A804" s="8">
        <v>43848.58363425926</v>
      </c>
      <c r="B804" s="9" t="str">
        <f>HYPERLINK("https://twitter.com/HealingSoundsTx","@HealingSoundsTx")</f>
        <v>@HealingSoundsTx</v>
      </c>
      <c r="C804" s="10" t="s">
        <v>3640</v>
      </c>
      <c r="D804" s="10" t="s">
        <v>3641</v>
      </c>
      <c r="E804" s="9" t="str">
        <f>HYPERLINK("https://twitter.com/HealingSoundsTx/status/1218609105562107909","1218609105562107909")</f>
        <v>1218609105562107909</v>
      </c>
      <c r="F804" s="11" t="s">
        <v>3642</v>
      </c>
      <c r="G804" s="13"/>
      <c r="H804" s="13"/>
      <c r="I804" s="14">
        <v>0.0</v>
      </c>
      <c r="J804" s="14">
        <v>0.0</v>
      </c>
      <c r="K804" s="9" t="str">
        <f>HYPERLINK("https://smarterqueue.com","SmarterQueue")</f>
        <v>SmarterQueue</v>
      </c>
      <c r="L804" s="15">
        <v>1071.0</v>
      </c>
      <c r="M804" s="15">
        <v>791.0</v>
      </c>
      <c r="N804" s="15">
        <v>170.0</v>
      </c>
      <c r="O804" s="16"/>
      <c r="P804" s="17">
        <v>40752.95190972222</v>
      </c>
      <c r="Q804" s="10" t="s">
        <v>3643</v>
      </c>
      <c r="R804" s="10" t="s">
        <v>3644</v>
      </c>
      <c r="S804" s="11" t="s">
        <v>3645</v>
      </c>
      <c r="T804" s="13"/>
      <c r="U804" s="18" t="str">
        <f>HYPERLINK("https://pbs.twimg.com/profile_images/1039513853443227648/UEQFTVre.jpg","View")</f>
        <v>View</v>
      </c>
      <c r="V804" s="13"/>
      <c r="W804" s="13"/>
      <c r="X804" s="13"/>
      <c r="Y804" s="13"/>
      <c r="Z804" s="13"/>
    </row>
    <row r="805">
      <c r="A805" s="8">
        <v>43848.58362268518</v>
      </c>
      <c r="B805" s="9" t="str">
        <f>HYPERLINK("https://twitter.com/time_therapy","@time_therapy")</f>
        <v>@time_therapy</v>
      </c>
      <c r="C805" s="10" t="s">
        <v>3646</v>
      </c>
      <c r="D805" s="10" t="s">
        <v>3647</v>
      </c>
      <c r="E805" s="9" t="str">
        <f>HYPERLINK("https://twitter.com/time_therapy/status/1218609103704072194","1218609103704072194")</f>
        <v>1218609103704072194</v>
      </c>
      <c r="F805" s="13"/>
      <c r="G805" s="11" t="s">
        <v>3648</v>
      </c>
      <c r="H805" s="13"/>
      <c r="I805" s="14">
        <v>0.0</v>
      </c>
      <c r="J805" s="14">
        <v>0.0</v>
      </c>
      <c r="K805" s="9" t="str">
        <f>HYPERLINK("https://buffer.com","Buffer")</f>
        <v>Buffer</v>
      </c>
      <c r="L805" s="15">
        <v>96.0</v>
      </c>
      <c r="M805" s="15">
        <v>119.0</v>
      </c>
      <c r="N805" s="15">
        <v>0.0</v>
      </c>
      <c r="O805" s="16"/>
      <c r="P805" s="17">
        <v>43316.497986111106</v>
      </c>
      <c r="Q805" s="10" t="s">
        <v>3649</v>
      </c>
      <c r="R805" s="10" t="s">
        <v>3650</v>
      </c>
      <c r="S805" s="11" t="s">
        <v>3651</v>
      </c>
      <c r="T805" s="13"/>
      <c r="U805" s="18" t="str">
        <f>HYPERLINK("https://pbs.twimg.com/profile_images/1025774207404318720/vLM9Pzfd.jpg","View")</f>
        <v>View</v>
      </c>
      <c r="V805" s="13"/>
      <c r="W805" s="13"/>
      <c r="X805" s="13"/>
      <c r="Y805" s="13"/>
      <c r="Z805" s="13"/>
    </row>
    <row r="806">
      <c r="A806" s="8">
        <v>43848.5835300926</v>
      </c>
      <c r="B806" s="9" t="str">
        <f>HYPERLINK("https://twitter.com/UKMercer","@UKMercer")</f>
        <v>@UKMercer</v>
      </c>
      <c r="C806" s="10" t="s">
        <v>3652</v>
      </c>
      <c r="D806" s="10" t="s">
        <v>3653</v>
      </c>
      <c r="E806" s="9" t="str">
        <f>HYPERLINK("https://twitter.com/UKMercer/status/1218609067528278016","1218609067528278016")</f>
        <v>1218609067528278016</v>
      </c>
      <c r="F806" s="11" t="s">
        <v>3654</v>
      </c>
      <c r="G806" s="11" t="s">
        <v>3655</v>
      </c>
      <c r="H806" s="13"/>
      <c r="I806" s="14">
        <v>1.0</v>
      </c>
      <c r="J806" s="14">
        <v>1.0</v>
      </c>
      <c r="K806" s="9" t="str">
        <f>HYPERLINK("https://www.spredfast.com/","Spredfast app")</f>
        <v>Spredfast app</v>
      </c>
      <c r="L806" s="15">
        <v>5395.0</v>
      </c>
      <c r="M806" s="15">
        <v>4028.0</v>
      </c>
      <c r="N806" s="15">
        <v>155.0</v>
      </c>
      <c r="O806" s="16"/>
      <c r="P806" s="17">
        <v>40875.288611111115</v>
      </c>
      <c r="Q806" s="10" t="s">
        <v>2323</v>
      </c>
      <c r="R806" s="10" t="s">
        <v>3656</v>
      </c>
      <c r="S806" s="11" t="s">
        <v>3657</v>
      </c>
      <c r="T806" s="13"/>
      <c r="U806" s="18" t="str">
        <f>HYPERLINK("https://pbs.twimg.com/profile_images/877174520620220416/BAbB7Rqs.jpg","View")</f>
        <v>View</v>
      </c>
      <c r="V806" s="13"/>
      <c r="W806" s="13"/>
      <c r="X806" s="13"/>
      <c r="Y806" s="13"/>
      <c r="Z806" s="13"/>
    </row>
    <row r="807">
      <c r="A807" s="8">
        <v>43848.58351851851</v>
      </c>
      <c r="B807" s="9" t="str">
        <f>HYPERLINK("https://twitter.com/HealthyPlace","@HealthyPlace")</f>
        <v>@HealthyPlace</v>
      </c>
      <c r="C807" s="10" t="s">
        <v>1457</v>
      </c>
      <c r="D807" s="10" t="s">
        <v>3658</v>
      </c>
      <c r="E807" s="9" t="str">
        <f>HYPERLINK("https://twitter.com/HealthyPlace/status/1218609065502351360","1218609065502351360")</f>
        <v>1218609065502351360</v>
      </c>
      <c r="F807" s="11" t="s">
        <v>3659</v>
      </c>
      <c r="G807" s="11" t="s">
        <v>3660</v>
      </c>
      <c r="H807" s="13"/>
      <c r="I807" s="14">
        <v>0.0</v>
      </c>
      <c r="J807" s="14">
        <v>1.0</v>
      </c>
      <c r="K807" s="9" t="str">
        <f>HYPERLINK("https://sproutsocial.com","Sprout Social")</f>
        <v>Sprout Social</v>
      </c>
      <c r="L807" s="15">
        <v>64943.0</v>
      </c>
      <c r="M807" s="15">
        <v>25049.0</v>
      </c>
      <c r="N807" s="15">
        <v>1710.0</v>
      </c>
      <c r="O807" s="16"/>
      <c r="P807" s="17">
        <v>39681.03928240741</v>
      </c>
      <c r="Q807" s="10" t="s">
        <v>1460</v>
      </c>
      <c r="R807" s="10" t="s">
        <v>1461</v>
      </c>
      <c r="S807" s="11" t="s">
        <v>1462</v>
      </c>
      <c r="T807" s="13"/>
      <c r="U807" s="18" t="str">
        <f>HYPERLINK("https://pbs.twimg.com/profile_images/753613454083252225/i5pr2xny.jpg","View")</f>
        <v>View</v>
      </c>
      <c r="V807" s="13"/>
      <c r="W807" s="13"/>
      <c r="X807" s="13"/>
      <c r="Y807" s="13"/>
      <c r="Z807" s="13"/>
    </row>
    <row r="808">
      <c r="A808" s="8">
        <v>43848.58341435185</v>
      </c>
      <c r="B808" s="9" t="str">
        <f>HYPERLINK("https://twitter.com/Shoppingforgift","@Shoppingforgift")</f>
        <v>@Shoppingforgift</v>
      </c>
      <c r="C808" s="10" t="s">
        <v>3661</v>
      </c>
      <c r="D808" s="10" t="s">
        <v>3662</v>
      </c>
      <c r="E808" s="9" t="str">
        <f>HYPERLINK("https://twitter.com/Shoppingforgift/status/1218609027329990656","1218609027329990656")</f>
        <v>1218609027329990656</v>
      </c>
      <c r="F808" s="11" t="s">
        <v>3663</v>
      </c>
      <c r="G808" s="11" t="s">
        <v>3664</v>
      </c>
      <c r="H808" s="13"/>
      <c r="I808" s="14">
        <v>8.0</v>
      </c>
      <c r="J808" s="14">
        <v>0.0</v>
      </c>
      <c r="K808" s="9" t="str">
        <f>HYPERLINK("http://app.sendblur.com","Social Media Publisher App ")</f>
        <v>Social Media Publisher App </v>
      </c>
      <c r="L808" s="15">
        <v>11382.0</v>
      </c>
      <c r="M808" s="15">
        <v>11764.0</v>
      </c>
      <c r="N808" s="15">
        <v>545.0</v>
      </c>
      <c r="O808" s="16"/>
      <c r="P808" s="17">
        <v>41997.496458333335</v>
      </c>
      <c r="Q808" s="10" t="s">
        <v>3665</v>
      </c>
      <c r="R808" s="10" t="s">
        <v>3666</v>
      </c>
      <c r="S808" s="11" t="s">
        <v>3667</v>
      </c>
      <c r="T808" s="13"/>
      <c r="U808" s="18" t="str">
        <f>HYPERLINK("https://pbs.twimg.com/profile_images/560585646545186816/NIRkR1Hv.png","View")</f>
        <v>View</v>
      </c>
      <c r="V808" s="13"/>
      <c r="W808" s="13"/>
      <c r="X808" s="13"/>
      <c r="Y808" s="13"/>
      <c r="Z808" s="13"/>
    </row>
    <row r="809">
      <c r="A809" s="8">
        <v>43848.58333333333</v>
      </c>
      <c r="B809" s="9" t="str">
        <f>HYPERLINK("https://twitter.com/rickross10","@rickross10")</f>
        <v>@rickross10</v>
      </c>
      <c r="C809" s="10" t="s">
        <v>3668</v>
      </c>
      <c r="D809" s="10" t="s">
        <v>3669</v>
      </c>
      <c r="E809" s="9" t="str">
        <f>HYPERLINK("https://twitter.com/rickross10/status/1218609000218087426","1218609000218087426")</f>
        <v>1218609000218087426</v>
      </c>
      <c r="F809" s="11" t="s">
        <v>3670</v>
      </c>
      <c r="G809" s="13"/>
      <c r="H809" s="13"/>
      <c r="I809" s="14">
        <v>0.0</v>
      </c>
      <c r="J809" s="14">
        <v>0.0</v>
      </c>
      <c r="K809" s="9" t="str">
        <f>HYPERLINK("https://ads-api.twitter.com","Twitter for Advertisers")</f>
        <v>Twitter for Advertisers</v>
      </c>
      <c r="L809" s="15">
        <v>64286.0</v>
      </c>
      <c r="M809" s="15">
        <v>56280.0</v>
      </c>
      <c r="N809" s="15">
        <v>2606.0</v>
      </c>
      <c r="O809" s="16"/>
      <c r="P809" s="17">
        <v>39828.809895833336</v>
      </c>
      <c r="Q809" s="10" t="s">
        <v>3671</v>
      </c>
      <c r="R809" s="10" t="s">
        <v>3672</v>
      </c>
      <c r="S809" s="11" t="s">
        <v>3673</v>
      </c>
      <c r="T809" s="13"/>
      <c r="U809" s="18" t="str">
        <f>HYPERLINK("https://pbs.twimg.com/profile_images/1079279578722508800/pXgt1gf_.jpg","View")</f>
        <v>View</v>
      </c>
      <c r="V809" s="13"/>
      <c r="W809" s="13"/>
      <c r="X809" s="13"/>
      <c r="Y809" s="13"/>
      <c r="Z809" s="13"/>
    </row>
    <row r="810">
      <c r="A810" s="8">
        <v>43848.582928240736</v>
      </c>
      <c r="B810" s="9" t="str">
        <f>HYPERLINK("https://twitter.com/SNAP4ADHD","@SNAP4ADHD")</f>
        <v>@SNAP4ADHD</v>
      </c>
      <c r="C810" s="10" t="s">
        <v>168</v>
      </c>
      <c r="D810" s="10" t="s">
        <v>3674</v>
      </c>
      <c r="E810" s="9" t="str">
        <f>HYPERLINK("https://twitter.com/SNAP4ADHD/status/1218608852301684737","1218608852301684737")</f>
        <v>1218608852301684737</v>
      </c>
      <c r="F810" s="11" t="s">
        <v>2527</v>
      </c>
      <c r="G810" s="11" t="s">
        <v>3675</v>
      </c>
      <c r="H810" s="13"/>
      <c r="I810" s="14">
        <v>0.0</v>
      </c>
      <c r="J810" s="14">
        <v>0.0</v>
      </c>
      <c r="K810" s="9" t="str">
        <f>HYPERLINK("https://www.socialjukebox.com","The Social Jukebox")</f>
        <v>The Social Jukebox</v>
      </c>
      <c r="L810" s="15">
        <v>67.0</v>
      </c>
      <c r="M810" s="15">
        <v>245.0</v>
      </c>
      <c r="N810" s="15">
        <v>2.0</v>
      </c>
      <c r="O810" s="16"/>
      <c r="P810" s="17">
        <v>42926.87278935185</v>
      </c>
      <c r="Q810" s="10" t="s">
        <v>171</v>
      </c>
      <c r="R810" s="10" t="s">
        <v>172</v>
      </c>
      <c r="S810" s="11" t="s">
        <v>173</v>
      </c>
      <c r="T810" s="13"/>
      <c r="U810" s="18" t="str">
        <f>HYPERLINK("https://pbs.twimg.com/profile_images/1177022434311983105/_D2VVVDL.jpg","View")</f>
        <v>View</v>
      </c>
      <c r="V810" s="13"/>
      <c r="W810" s="13"/>
      <c r="X810" s="13"/>
      <c r="Y810" s="13"/>
      <c r="Z810" s="13"/>
    </row>
    <row r="811">
      <c r="A811" s="8">
        <v>43848.5829050926</v>
      </c>
      <c r="B811" s="9" t="str">
        <f>HYPERLINK("https://twitter.com/iamdimkpauche1","@iamdimkpauche1")</f>
        <v>@iamdimkpauche1</v>
      </c>
      <c r="C811" s="10" t="s">
        <v>3676</v>
      </c>
      <c r="D811" s="10" t="s">
        <v>238</v>
      </c>
      <c r="E811" s="9" t="str">
        <f>HYPERLINK("https://twitter.com/iamdimkpauche1/status/1218608844592635905","1218608844592635905")</f>
        <v>1218608844592635905</v>
      </c>
      <c r="F811" s="13"/>
      <c r="G811" s="13"/>
      <c r="H811" s="13"/>
      <c r="I811" s="14">
        <v>0.0</v>
      </c>
      <c r="J811" s="14">
        <v>0.0</v>
      </c>
      <c r="K811" s="9" t="str">
        <f>HYPERLINK("http://twitter.com/download/android","Twitter for Android")</f>
        <v>Twitter for Android</v>
      </c>
      <c r="L811" s="15">
        <v>312.0</v>
      </c>
      <c r="M811" s="15">
        <v>2578.0</v>
      </c>
      <c r="N811" s="15">
        <v>4.0</v>
      </c>
      <c r="O811" s="16"/>
      <c r="P811" s="17">
        <v>42529.23269675926</v>
      </c>
      <c r="Q811" s="10" t="s">
        <v>2557</v>
      </c>
      <c r="R811" s="10" t="s">
        <v>3677</v>
      </c>
      <c r="S811" s="13"/>
      <c r="T811" s="13"/>
      <c r="U811" s="18" t="str">
        <f>HYPERLINK("https://pbs.twimg.com/profile_images/1147504455665033216/bRLThGWe.jpg","View")</f>
        <v>View</v>
      </c>
      <c r="V811" s="13"/>
      <c r="W811" s="13"/>
      <c r="X811" s="13"/>
      <c r="Y811" s="13"/>
      <c r="Z811" s="13"/>
    </row>
    <row r="812">
      <c r="A812" s="8">
        <v>43848.5828587963</v>
      </c>
      <c r="B812" s="9" t="str">
        <f>HYPERLINK("https://twitter.com/mentalbravery","@mentalbravery")</f>
        <v>@mentalbravery</v>
      </c>
      <c r="C812" s="10" t="s">
        <v>3678</v>
      </c>
      <c r="D812" s="10" t="s">
        <v>3679</v>
      </c>
      <c r="E812" s="9" t="str">
        <f>HYPERLINK("https://twitter.com/mentalbravery/status/1218608827651719169","1218608827651719169")</f>
        <v>1218608827651719169</v>
      </c>
      <c r="F812" s="13"/>
      <c r="G812" s="13"/>
      <c r="H812" s="13"/>
      <c r="I812" s="14">
        <v>0.0</v>
      </c>
      <c r="J812" s="14">
        <v>0.0</v>
      </c>
      <c r="K812" s="9" t="str">
        <f>HYPERLINK("https://cheapbotsdonequick.com","Cheap Bots, Done Quick!")</f>
        <v>Cheap Bots, Done Quick!</v>
      </c>
      <c r="L812" s="15">
        <v>42.0</v>
      </c>
      <c r="M812" s="15">
        <v>0.0</v>
      </c>
      <c r="N812" s="15">
        <v>3.0</v>
      </c>
      <c r="O812" s="16"/>
      <c r="P812" s="17">
        <v>42867.642060185186</v>
      </c>
      <c r="Q812" s="13"/>
      <c r="R812" s="10" t="s">
        <v>3680</v>
      </c>
      <c r="S812" s="13"/>
      <c r="T812" s="13"/>
      <c r="U812" s="18" t="str">
        <f>HYPERLINK("https://pbs.twimg.com/profile_images/863120567423168514/RHSP20S3.jpg","View")</f>
        <v>View</v>
      </c>
      <c r="V812" s="13"/>
      <c r="W812" s="13"/>
      <c r="X812" s="13"/>
      <c r="Y812" s="13"/>
      <c r="Z812" s="13"/>
    </row>
    <row r="813">
      <c r="A813" s="8">
        <v>43848.5828125</v>
      </c>
      <c r="B813" s="9" t="str">
        <f>HYPERLINK("https://twitter.com/meganelliott_OT","@meganelliott_OT")</f>
        <v>@meganelliott_OT</v>
      </c>
      <c r="C813" s="10" t="s">
        <v>3681</v>
      </c>
      <c r="D813" s="10" t="s">
        <v>3682</v>
      </c>
      <c r="E813" s="9" t="str">
        <f>HYPERLINK("https://twitter.com/meganelliott_OT/status/1218608807657558017","1218608807657558017")</f>
        <v>1218608807657558017</v>
      </c>
      <c r="F813" s="13"/>
      <c r="G813" s="13"/>
      <c r="H813" s="13"/>
      <c r="I813" s="14">
        <v>0.0</v>
      </c>
      <c r="J813" s="14">
        <v>0.0</v>
      </c>
      <c r="K813" s="9" t="str">
        <f>HYPERLINK("http://twitter.com/download/android","Twitter for Android")</f>
        <v>Twitter for Android</v>
      </c>
      <c r="L813" s="15">
        <v>123.0</v>
      </c>
      <c r="M813" s="15">
        <v>114.0</v>
      </c>
      <c r="N813" s="15">
        <v>1.0</v>
      </c>
      <c r="O813" s="16"/>
      <c r="P813" s="17">
        <v>43506.23082175926</v>
      </c>
      <c r="Q813" s="13"/>
      <c r="R813" s="10" t="s">
        <v>3683</v>
      </c>
      <c r="S813" s="13"/>
      <c r="T813" s="13"/>
      <c r="U813" s="18" t="str">
        <f>HYPERLINK("https://pbs.twimg.com/profile_images/1094567951016050689/CVj-3D5t.jpg","View")</f>
        <v>View</v>
      </c>
      <c r="V813" s="13"/>
      <c r="W813" s="13"/>
      <c r="X813" s="13"/>
      <c r="Y813" s="13"/>
      <c r="Z813" s="13"/>
    </row>
    <row r="814">
      <c r="A814" s="8">
        <v>43848.58231481482</v>
      </c>
      <c r="B814" s="9" t="str">
        <f>HYPERLINK("https://twitter.com/Goatys_News","@Goatys_News")</f>
        <v>@Goatys_News</v>
      </c>
      <c r="C814" s="10" t="s">
        <v>3684</v>
      </c>
      <c r="D814" s="10" t="s">
        <v>3685</v>
      </c>
      <c r="E814" s="9" t="str">
        <f>HYPERLINK("https://twitter.com/Goatys_News/status/1218608630574002177","1218608630574002177")</f>
        <v>1218608630574002177</v>
      </c>
      <c r="F814" s="11" t="s">
        <v>3686</v>
      </c>
      <c r="G814" s="13"/>
      <c r="H814" s="13"/>
      <c r="I814" s="14">
        <v>0.0</v>
      </c>
      <c r="J814" s="14">
        <v>0.0</v>
      </c>
      <c r="K814" s="9" t="str">
        <f t="shared" ref="K814:K815" si="88">HYPERLINK("http://twitter.com","Twitter Web Client")</f>
        <v>Twitter Web Client</v>
      </c>
      <c r="L814" s="15">
        <v>1561.0</v>
      </c>
      <c r="M814" s="15">
        <v>2743.0</v>
      </c>
      <c r="N814" s="15">
        <v>382.0</v>
      </c>
      <c r="O814" s="16"/>
      <c r="P814" s="17">
        <v>40750.471400462964</v>
      </c>
      <c r="Q814" s="10" t="s">
        <v>3687</v>
      </c>
      <c r="R814" s="10" t="s">
        <v>3688</v>
      </c>
      <c r="S814" s="11" t="s">
        <v>3689</v>
      </c>
      <c r="T814" s="13"/>
      <c r="U814" s="18" t="str">
        <f>HYPERLINK("https://pbs.twimg.com/profile_images/1193269943741173762/2bREiztw.png","View")</f>
        <v>View</v>
      </c>
      <c r="V814" s="13"/>
      <c r="W814" s="13"/>
      <c r="X814" s="13"/>
      <c r="Y814" s="13"/>
      <c r="Z814" s="13"/>
    </row>
    <row r="815">
      <c r="A815" s="8">
        <v>43848.58201388889</v>
      </c>
      <c r="B815" s="9" t="str">
        <f>HYPERLINK("https://twitter.com/jimallthetime","@jimallthetime")</f>
        <v>@jimallthetime</v>
      </c>
      <c r="C815" s="10" t="s">
        <v>3690</v>
      </c>
      <c r="D815" s="10" t="s">
        <v>3691</v>
      </c>
      <c r="E815" s="9" t="str">
        <f>HYPERLINK("https://twitter.com/jimallthetime/status/1218608521287274496","1218608521287274496")</f>
        <v>1218608521287274496</v>
      </c>
      <c r="F815" s="11" t="s">
        <v>3692</v>
      </c>
      <c r="G815" s="13"/>
      <c r="H815" s="13"/>
      <c r="I815" s="14">
        <v>0.0</v>
      </c>
      <c r="J815" s="14">
        <v>3.0</v>
      </c>
      <c r="K815" s="9" t="str">
        <f t="shared" si="88"/>
        <v>Twitter Web Client</v>
      </c>
      <c r="L815" s="15">
        <v>22697.0</v>
      </c>
      <c r="M815" s="15">
        <v>5770.0</v>
      </c>
      <c r="N815" s="15">
        <v>658.0</v>
      </c>
      <c r="O815" s="16"/>
      <c r="P815" s="17">
        <v>39756.35388888889</v>
      </c>
      <c r="Q815" s="10" t="s">
        <v>3693</v>
      </c>
      <c r="R815" s="10" t="s">
        <v>3694</v>
      </c>
      <c r="S815" s="11" t="s">
        <v>3695</v>
      </c>
      <c r="T815" s="13"/>
      <c r="U815" s="18" t="str">
        <f>HYPERLINK("https://pbs.twimg.com/profile_images/796744281797099520/poECZO92.jpg","View")</f>
        <v>View</v>
      </c>
      <c r="V815" s="13"/>
      <c r="W815" s="13"/>
      <c r="X815" s="13"/>
      <c r="Y815" s="13"/>
      <c r="Z815" s="13"/>
    </row>
    <row r="816">
      <c r="A816" s="8">
        <v>43848.58101851852</v>
      </c>
      <c r="B816" s="9" t="str">
        <f>HYPERLINK("https://twitter.com/SELTreasures","@SELTreasures")</f>
        <v>@SELTreasures</v>
      </c>
      <c r="C816" s="10" t="s">
        <v>3696</v>
      </c>
      <c r="D816" s="10" t="s">
        <v>3697</v>
      </c>
      <c r="E816" s="9" t="str">
        <f>HYPERLINK("https://twitter.com/SELTreasures/status/1218608158836477953","1218608158836477953")</f>
        <v>1218608158836477953</v>
      </c>
      <c r="F816" s="13"/>
      <c r="G816" s="11" t="s">
        <v>3698</v>
      </c>
      <c r="H816" s="13"/>
      <c r="I816" s="14">
        <v>0.0</v>
      </c>
      <c r="J816" s="14">
        <v>0.0</v>
      </c>
      <c r="K816" s="9" t="str">
        <f>HYPERLINK("https://mobile.twitter.com","Twitter Web App")</f>
        <v>Twitter Web App</v>
      </c>
      <c r="L816" s="15">
        <v>9.0</v>
      </c>
      <c r="M816" s="15">
        <v>67.0</v>
      </c>
      <c r="N816" s="15">
        <v>0.0</v>
      </c>
      <c r="O816" s="16"/>
      <c r="P816" s="17">
        <v>43825.28350694444</v>
      </c>
      <c r="Q816" s="13"/>
      <c r="R816" s="10" t="s">
        <v>3699</v>
      </c>
      <c r="S816" s="13"/>
      <c r="T816" s="13"/>
      <c r="U816" s="18" t="str">
        <f>HYPERLINK("https://pbs.twimg.com/profile_images/1210166012886364162/sxezrIql.jpg","View")</f>
        <v>View</v>
      </c>
      <c r="V816" s="13"/>
      <c r="W816" s="13"/>
      <c r="X816" s="13"/>
      <c r="Y816" s="13"/>
      <c r="Z816" s="13"/>
    </row>
    <row r="817">
      <c r="A817" s="8">
        <v>43848.58083333333</v>
      </c>
      <c r="B817" s="9" t="str">
        <f>HYPERLINK("https://twitter.com/loudmrsbrooks","@loudmrsbrooks")</f>
        <v>@loudmrsbrooks</v>
      </c>
      <c r="C817" s="10" t="s">
        <v>3700</v>
      </c>
      <c r="D817" s="10" t="s">
        <v>3701</v>
      </c>
      <c r="E817" s="9" t="str">
        <f>HYPERLINK("https://twitter.com/loudmrsbrooks/status/1218608092943986693","1218608092943986693")</f>
        <v>1218608092943986693</v>
      </c>
      <c r="F817" s="13"/>
      <c r="G817" s="11" t="s">
        <v>3702</v>
      </c>
      <c r="H817" s="13"/>
      <c r="I817" s="14">
        <v>0.0</v>
      </c>
      <c r="J817" s="14">
        <v>0.0</v>
      </c>
      <c r="K817" s="9" t="str">
        <f>HYPERLINK("http://twitter.com/download/android","Twitter for Android")</f>
        <v>Twitter for Android</v>
      </c>
      <c r="L817" s="15">
        <v>222.0</v>
      </c>
      <c r="M817" s="15">
        <v>256.0</v>
      </c>
      <c r="N817" s="15">
        <v>0.0</v>
      </c>
      <c r="O817" s="16"/>
      <c r="P817" s="17">
        <v>43802.102627314816</v>
      </c>
      <c r="Q817" s="10" t="s">
        <v>3703</v>
      </c>
      <c r="R817" s="10" t="s">
        <v>3704</v>
      </c>
      <c r="S817" s="11" t="s">
        <v>3705</v>
      </c>
      <c r="T817" s="13"/>
      <c r="U817" s="18" t="str">
        <f>HYPERLINK("https://pbs.twimg.com/profile_images/1211968721356505089/kLvSe7lz.jpg","View")</f>
        <v>View</v>
      </c>
      <c r="V817" s="13"/>
      <c r="W817" s="13"/>
      <c r="X817" s="13"/>
      <c r="Y817" s="13"/>
      <c r="Z817" s="13"/>
    </row>
    <row r="818">
      <c r="A818" s="8">
        <v>43848.58074074074</v>
      </c>
      <c r="B818" s="9" t="str">
        <f>HYPERLINK("https://twitter.com/jimallthetime","@jimallthetime")</f>
        <v>@jimallthetime</v>
      </c>
      <c r="C818" s="10" t="s">
        <v>3690</v>
      </c>
      <c r="D818" s="10" t="s">
        <v>3706</v>
      </c>
      <c r="E818" s="9" t="str">
        <f>HYPERLINK("https://twitter.com/jimallthetime/status/1218608057539858433","1218608057539858433")</f>
        <v>1218608057539858433</v>
      </c>
      <c r="F818" s="11" t="s">
        <v>3707</v>
      </c>
      <c r="G818" s="13"/>
      <c r="H818" s="13"/>
      <c r="I818" s="14">
        <v>1.0</v>
      </c>
      <c r="J818" s="14">
        <v>3.0</v>
      </c>
      <c r="K818" s="9" t="str">
        <f>HYPERLINK("http://twitter.com","Twitter Web Client")</f>
        <v>Twitter Web Client</v>
      </c>
      <c r="L818" s="15">
        <v>22697.0</v>
      </c>
      <c r="M818" s="15">
        <v>5770.0</v>
      </c>
      <c r="N818" s="15">
        <v>658.0</v>
      </c>
      <c r="O818" s="16"/>
      <c r="P818" s="17">
        <v>39756.35388888889</v>
      </c>
      <c r="Q818" s="10" t="s">
        <v>3693</v>
      </c>
      <c r="R818" s="10" t="s">
        <v>3694</v>
      </c>
      <c r="S818" s="11" t="s">
        <v>3695</v>
      </c>
      <c r="T818" s="13"/>
      <c r="U818" s="18" t="str">
        <f>HYPERLINK("https://pbs.twimg.com/profile_images/796744281797099520/poECZO92.jpg","View")</f>
        <v>View</v>
      </c>
      <c r="V818" s="13"/>
      <c r="W818" s="13"/>
      <c r="X818" s="13"/>
      <c r="Y818" s="13"/>
      <c r="Z818" s="13"/>
    </row>
    <row r="819">
      <c r="A819" s="8">
        <v>43848.579918981486</v>
      </c>
      <c r="B819" s="9" t="str">
        <f>HYPERLINK("https://twitter.com/AnnaPereiraDesi","@AnnaPereiraDesi")</f>
        <v>@AnnaPereiraDesi</v>
      </c>
      <c r="C819" s="10" t="s">
        <v>3708</v>
      </c>
      <c r="D819" s="10" t="s">
        <v>3709</v>
      </c>
      <c r="E819" s="9" t="str">
        <f>HYPERLINK("https://twitter.com/AnnaPereiraDesi/status/1218607759026982912","1218607759026982912")</f>
        <v>1218607759026982912</v>
      </c>
      <c r="F819" s="11" t="s">
        <v>3710</v>
      </c>
      <c r="G819" s="11" t="s">
        <v>3711</v>
      </c>
      <c r="H819" s="13"/>
      <c r="I819" s="14">
        <v>0.0</v>
      </c>
      <c r="J819" s="14">
        <v>0.0</v>
      </c>
      <c r="K819" s="9" t="str">
        <f t="shared" ref="K819:K821" si="89">HYPERLINK("http://app.sendblur.com","Social Media Publisher App ")</f>
        <v>Social Media Publisher App </v>
      </c>
      <c r="L819" s="15">
        <v>14053.0</v>
      </c>
      <c r="M819" s="15">
        <v>12106.0</v>
      </c>
      <c r="N819" s="15">
        <v>577.0</v>
      </c>
      <c r="O819" s="16"/>
      <c r="P819" s="17">
        <v>40336.538935185185</v>
      </c>
      <c r="Q819" s="10" t="s">
        <v>3712</v>
      </c>
      <c r="R819" s="10" t="s">
        <v>3713</v>
      </c>
      <c r="S819" s="11" t="s">
        <v>3714</v>
      </c>
      <c r="T819" s="13"/>
      <c r="U819" s="18" t="str">
        <f>HYPERLINK("https://pbs.twimg.com/profile_images/1167780421448425473/cs5AI20G.jpg","View")</f>
        <v>View</v>
      </c>
      <c r="V819" s="13"/>
      <c r="W819" s="13"/>
      <c r="X819" s="13"/>
      <c r="Y819" s="13"/>
      <c r="Z819" s="13"/>
    </row>
    <row r="820">
      <c r="A820" s="8">
        <v>43848.5799074074</v>
      </c>
      <c r="B820" s="9" t="str">
        <f>HYPERLINK("https://twitter.com/TheWellnessUniv","@TheWellnessUniv")</f>
        <v>@TheWellnessUniv</v>
      </c>
      <c r="C820" s="10" t="s">
        <v>3715</v>
      </c>
      <c r="D820" s="10" t="s">
        <v>3716</v>
      </c>
      <c r="E820" s="9" t="str">
        <f>HYPERLINK("https://twitter.com/TheWellnessUniv/status/1218607756170735616","1218607756170735616")</f>
        <v>1218607756170735616</v>
      </c>
      <c r="F820" s="11" t="s">
        <v>3710</v>
      </c>
      <c r="G820" s="11" t="s">
        <v>3717</v>
      </c>
      <c r="H820" s="13"/>
      <c r="I820" s="14">
        <v>1.0</v>
      </c>
      <c r="J820" s="14">
        <v>0.0</v>
      </c>
      <c r="K820" s="9" t="str">
        <f t="shared" si="89"/>
        <v>Social Media Publisher App </v>
      </c>
      <c r="L820" s="15">
        <v>8341.0</v>
      </c>
      <c r="M820" s="15">
        <v>7156.0</v>
      </c>
      <c r="N820" s="15">
        <v>743.0</v>
      </c>
      <c r="O820" s="16"/>
      <c r="P820" s="17">
        <v>41960.48659722222</v>
      </c>
      <c r="Q820" s="10" t="s">
        <v>2050</v>
      </c>
      <c r="R820" s="10" t="s">
        <v>3718</v>
      </c>
      <c r="S820" s="11" t="s">
        <v>3719</v>
      </c>
      <c r="T820" s="13"/>
      <c r="U820" s="18" t="str">
        <f>HYPERLINK("https://pbs.twimg.com/profile_images/630845693683372033/qiXl0g7H.jpg","View")</f>
        <v>View</v>
      </c>
      <c r="V820" s="13"/>
      <c r="W820" s="13"/>
      <c r="X820" s="13"/>
      <c r="Y820" s="13"/>
      <c r="Z820" s="13"/>
    </row>
    <row r="821">
      <c r="A821" s="8">
        <v>43848.57989583333</v>
      </c>
      <c r="B821" s="9" t="str">
        <f>HYPERLINK("https://twitter.com/jennydtasker","@jennydtasker")</f>
        <v>@jennydtasker</v>
      </c>
      <c r="C821" s="10" t="s">
        <v>3720</v>
      </c>
      <c r="D821" s="10" t="s">
        <v>3721</v>
      </c>
      <c r="E821" s="9" t="str">
        <f>HYPERLINK("https://twitter.com/jennydtasker/status/1218607752555257858","1218607752555257858")</f>
        <v>1218607752555257858</v>
      </c>
      <c r="F821" s="11" t="s">
        <v>3710</v>
      </c>
      <c r="G821" s="11" t="s">
        <v>3722</v>
      </c>
      <c r="H821" s="13"/>
      <c r="I821" s="14">
        <v>0.0</v>
      </c>
      <c r="J821" s="14">
        <v>0.0</v>
      </c>
      <c r="K821" s="9" t="str">
        <f t="shared" si="89"/>
        <v>Social Media Publisher App </v>
      </c>
      <c r="L821" s="15">
        <v>6712.0</v>
      </c>
      <c r="M821" s="15">
        <v>6399.0</v>
      </c>
      <c r="N821" s="15">
        <v>445.0</v>
      </c>
      <c r="O821" s="16"/>
      <c r="P821" s="17">
        <v>42014.88690972222</v>
      </c>
      <c r="Q821" s="10" t="s">
        <v>3723</v>
      </c>
      <c r="R821" s="10" t="s">
        <v>3724</v>
      </c>
      <c r="S821" s="11" t="s">
        <v>3725</v>
      </c>
      <c r="T821" s="13"/>
      <c r="U821" s="18" t="str">
        <f>HYPERLINK("https://pbs.twimg.com/profile_images/1056686228345507840/-TihPBVi.jpg","View")</f>
        <v>View</v>
      </c>
      <c r="V821" s="13"/>
      <c r="W821" s="13"/>
      <c r="X821" s="13"/>
      <c r="Y821" s="13"/>
      <c r="Z821" s="13"/>
    </row>
    <row r="822">
      <c r="A822" s="8">
        <v>43848.57980324074</v>
      </c>
      <c r="B822" s="9" t="str">
        <f>HYPERLINK("https://twitter.com/Glass1ncision","@Glass1ncision")</f>
        <v>@Glass1ncision</v>
      </c>
      <c r="C822" s="10" t="s">
        <v>3726</v>
      </c>
      <c r="D822" s="10" t="s">
        <v>3727</v>
      </c>
      <c r="E822" s="9" t="str">
        <f>HYPERLINK("https://twitter.com/Glass1ncision/status/1218607717595729922","1218607717595729922")</f>
        <v>1218607717595729922</v>
      </c>
      <c r="F822" s="11" t="s">
        <v>3728</v>
      </c>
      <c r="G822" s="11" t="s">
        <v>3729</v>
      </c>
      <c r="H822" s="13"/>
      <c r="I822" s="14">
        <v>0.0</v>
      </c>
      <c r="J822" s="14">
        <v>0.0</v>
      </c>
      <c r="K822" s="9" t="str">
        <f>HYPERLINK("https://mobile.twitter.com","Twitter Web App")</f>
        <v>Twitter Web App</v>
      </c>
      <c r="L822" s="15">
        <v>1851.0</v>
      </c>
      <c r="M822" s="15">
        <v>1351.0</v>
      </c>
      <c r="N822" s="15">
        <v>52.0</v>
      </c>
      <c r="O822" s="16"/>
      <c r="P822" s="17">
        <v>41241.911770833336</v>
      </c>
      <c r="Q822" s="10" t="s">
        <v>3730</v>
      </c>
      <c r="R822" s="10" t="s">
        <v>3731</v>
      </c>
      <c r="S822" s="13"/>
      <c r="T822" s="13"/>
      <c r="U822" s="18" t="str">
        <f>HYPERLINK("https://pbs.twimg.com/profile_images/2954522813/e3dd4403f04dae04fefb64b4b1019ada.jpeg","View")</f>
        <v>View</v>
      </c>
      <c r="V822" s="13"/>
      <c r="W822" s="13"/>
      <c r="X822" s="13"/>
      <c r="Y822" s="13"/>
      <c r="Z822" s="13"/>
    </row>
    <row r="823">
      <c r="A823" s="8">
        <v>43848.57916666666</v>
      </c>
      <c r="B823" s="9" t="str">
        <f>HYPERLINK("https://twitter.com/GynerOzgul","@GynerOzgul")</f>
        <v>@GynerOzgul</v>
      </c>
      <c r="C823" s="10" t="s">
        <v>2339</v>
      </c>
      <c r="D823" s="10" t="s">
        <v>3732</v>
      </c>
      <c r="E823" s="9" t="str">
        <f>HYPERLINK("https://twitter.com/GynerOzgul/status/1218607486577598469","1218607486577598469")</f>
        <v>1218607486577598469</v>
      </c>
      <c r="F823" s="13"/>
      <c r="G823" s="11" t="s">
        <v>3733</v>
      </c>
      <c r="H823" s="13"/>
      <c r="I823" s="14">
        <v>1.0</v>
      </c>
      <c r="J823" s="14">
        <v>1.0</v>
      </c>
      <c r="K823" s="9" t="str">
        <f t="shared" ref="K823:K825" si="90">HYPERLINK("http://twitter.com/download/iphone","Twitter for iPhone")</f>
        <v>Twitter for iPhone</v>
      </c>
      <c r="L823" s="15">
        <v>119.0</v>
      </c>
      <c r="M823" s="15">
        <v>316.0</v>
      </c>
      <c r="N823" s="15">
        <v>2.0</v>
      </c>
      <c r="O823" s="16"/>
      <c r="P823" s="17">
        <v>41056.912152777775</v>
      </c>
      <c r="Q823" s="10" t="s">
        <v>24</v>
      </c>
      <c r="R823" s="10" t="s">
        <v>2342</v>
      </c>
      <c r="S823" s="13"/>
      <c r="T823" s="13"/>
      <c r="U823" s="18" t="str">
        <f>HYPERLINK("https://pbs.twimg.com/profile_images/1216960089023606784/9CnDpjfx.jpg","View")</f>
        <v>View</v>
      </c>
      <c r="V823" s="13"/>
      <c r="W823" s="13"/>
      <c r="X823" s="13"/>
      <c r="Y823" s="13"/>
      <c r="Z823" s="13"/>
    </row>
    <row r="824">
      <c r="A824" s="8">
        <v>43848.57891203703</v>
      </c>
      <c r="B824" s="9" t="str">
        <f>HYPERLINK("https://twitter.com/derekalopez","@derekalopez")</f>
        <v>@derekalopez</v>
      </c>
      <c r="C824" s="10" t="s">
        <v>214</v>
      </c>
      <c r="D824" s="10" t="s">
        <v>3734</v>
      </c>
      <c r="E824" s="9" t="str">
        <f>HYPERLINK("https://twitter.com/derekalopez/status/1218607395913502721","1218607395913502721")</f>
        <v>1218607395913502721</v>
      </c>
      <c r="F824" s="13"/>
      <c r="G824" s="13"/>
      <c r="H824" s="13"/>
      <c r="I824" s="14">
        <v>0.0</v>
      </c>
      <c r="J824" s="14">
        <v>1.0</v>
      </c>
      <c r="K824" s="9" t="str">
        <f t="shared" si="90"/>
        <v>Twitter for iPhone</v>
      </c>
      <c r="L824" s="15">
        <v>68.0</v>
      </c>
      <c r="M824" s="15">
        <v>147.0</v>
      </c>
      <c r="N824" s="15">
        <v>1.0</v>
      </c>
      <c r="O824" s="16"/>
      <c r="P824" s="17">
        <v>43687.96481481481</v>
      </c>
      <c r="Q824" s="13"/>
      <c r="R824" s="10" t="s">
        <v>216</v>
      </c>
      <c r="S824" s="11" t="s">
        <v>217</v>
      </c>
      <c r="T824" s="13"/>
      <c r="U824" s="18" t="str">
        <f>HYPERLINK("https://pbs.twimg.com/profile_images/1215508563847573504/h6BMYP3k.jpg","View")</f>
        <v>View</v>
      </c>
      <c r="V824" s="13"/>
      <c r="W824" s="13"/>
      <c r="X824" s="13"/>
      <c r="Y824" s="13"/>
      <c r="Z824" s="13"/>
    </row>
    <row r="825">
      <c r="A825" s="8">
        <v>43848.57853009259</v>
      </c>
      <c r="B825" s="9" t="str">
        <f>HYPERLINK("https://twitter.com/GHFoundation","@GHFoundation")</f>
        <v>@GHFoundation</v>
      </c>
      <c r="C825" s="10" t="s">
        <v>3735</v>
      </c>
      <c r="D825" s="10" t="s">
        <v>3736</v>
      </c>
      <c r="E825" s="9" t="str">
        <f>HYPERLINK("https://twitter.com/GHFoundation/status/1218607259107962880","1218607259107962880")</f>
        <v>1218607259107962880</v>
      </c>
      <c r="F825" s="10" t="s">
        <v>3737</v>
      </c>
      <c r="G825" s="13"/>
      <c r="H825" s="13"/>
      <c r="I825" s="14">
        <v>0.0</v>
      </c>
      <c r="J825" s="14">
        <v>2.0</v>
      </c>
      <c r="K825" s="9" t="str">
        <f t="shared" si="90"/>
        <v>Twitter for iPhone</v>
      </c>
      <c r="L825" s="15">
        <v>941.0</v>
      </c>
      <c r="M825" s="15">
        <v>927.0</v>
      </c>
      <c r="N825" s="15">
        <v>42.0</v>
      </c>
      <c r="O825" s="16"/>
      <c r="P825" s="17">
        <v>39953.52637731482</v>
      </c>
      <c r="Q825" s="10" t="s">
        <v>3738</v>
      </c>
      <c r="R825" s="10" t="s">
        <v>3739</v>
      </c>
      <c r="S825" s="11" t="s">
        <v>3740</v>
      </c>
      <c r="T825" s="13"/>
      <c r="U825" s="18" t="str">
        <f>HYPERLINK("https://pbs.twimg.com/profile_images/1174443534868520960/f5ovhDZ0.jpg","View")</f>
        <v>View</v>
      </c>
      <c r="V825" s="13"/>
      <c r="W825" s="13"/>
      <c r="X825" s="13"/>
      <c r="Y825" s="13"/>
      <c r="Z825" s="13"/>
    </row>
    <row r="826">
      <c r="A826" s="8">
        <v>43848.578321759254</v>
      </c>
      <c r="B826" s="9" t="str">
        <f>HYPERLINK("https://twitter.com/Raxor1Robin","@Raxor1Robin")</f>
        <v>@Raxor1Robin</v>
      </c>
      <c r="C826" s="10" t="s">
        <v>3741</v>
      </c>
      <c r="D826" s="10" t="s">
        <v>3742</v>
      </c>
      <c r="E826" s="9" t="str">
        <f>HYPERLINK("https://twitter.com/Raxor1Robin/status/1218607183031668737","1218607183031668737")</f>
        <v>1218607183031668737</v>
      </c>
      <c r="F826" s="13"/>
      <c r="G826" s="13"/>
      <c r="H826" s="13"/>
      <c r="I826" s="14">
        <v>0.0</v>
      </c>
      <c r="J826" s="14">
        <v>0.0</v>
      </c>
      <c r="K826" s="9" t="str">
        <f>HYPERLINK("https://mobile.twitter.com","Twitter Web App")</f>
        <v>Twitter Web App</v>
      </c>
      <c r="L826" s="15">
        <v>25.0</v>
      </c>
      <c r="M826" s="15">
        <v>107.0</v>
      </c>
      <c r="N826" s="15">
        <v>1.0</v>
      </c>
      <c r="O826" s="16"/>
      <c r="P826" s="17">
        <v>43127.338472222225</v>
      </c>
      <c r="Q826" s="10" t="s">
        <v>3743</v>
      </c>
      <c r="R826" s="10" t="s">
        <v>3744</v>
      </c>
      <c r="S826" s="11" t="s">
        <v>3745</v>
      </c>
      <c r="T826" s="13"/>
      <c r="U826" s="18" t="str">
        <f>HYPERLINK("https://pbs.twimg.com/profile_images/1141744256282968066/1nmGJDRU.jpg","View")</f>
        <v>View</v>
      </c>
      <c r="V826" s="13"/>
      <c r="W826" s="13"/>
      <c r="X826" s="13"/>
      <c r="Y826" s="13"/>
      <c r="Z826" s="13"/>
    </row>
    <row r="827">
      <c r="A827" s="8">
        <v>43848.57791666666</v>
      </c>
      <c r="B827" s="9" t="str">
        <f>HYPERLINK("https://twitter.com/DrHyken","@DrHyken")</f>
        <v>@DrHyken</v>
      </c>
      <c r="C827" s="10" t="s">
        <v>1607</v>
      </c>
      <c r="D827" s="10" t="s">
        <v>3746</v>
      </c>
      <c r="E827" s="9" t="str">
        <f>HYPERLINK("https://twitter.com/DrHyken/status/1218607033538293762","1218607033538293762")</f>
        <v>1218607033538293762</v>
      </c>
      <c r="F827" s="11" t="s">
        <v>3747</v>
      </c>
      <c r="G827" s="13"/>
      <c r="H827" s="13"/>
      <c r="I827" s="14">
        <v>0.0</v>
      </c>
      <c r="J827" s="14">
        <v>1.0</v>
      </c>
      <c r="K827" s="9" t="str">
        <f>HYPERLINK("https://www.hootsuite.com","Hootsuite Inc.")</f>
        <v>Hootsuite Inc.</v>
      </c>
      <c r="L827" s="15">
        <v>20094.0</v>
      </c>
      <c r="M827" s="15">
        <v>7758.0</v>
      </c>
      <c r="N827" s="15">
        <v>455.0</v>
      </c>
      <c r="O827" s="16"/>
      <c r="P827" s="17">
        <v>40020.89127314815</v>
      </c>
      <c r="Q827" s="10" t="s">
        <v>1610</v>
      </c>
      <c r="R827" s="10" t="s">
        <v>1611</v>
      </c>
      <c r="S827" s="11" t="s">
        <v>1612</v>
      </c>
      <c r="T827" s="13"/>
      <c r="U827" s="18" t="str">
        <f>HYPERLINK("https://pbs.twimg.com/profile_images/1193920759304990721/1P39cwRb.jpg","View")</f>
        <v>View</v>
      </c>
      <c r="V827" s="13"/>
      <c r="W827" s="13"/>
      <c r="X827" s="13"/>
      <c r="Y827" s="13"/>
      <c r="Z827" s="13"/>
    </row>
    <row r="828">
      <c r="A828" s="8">
        <v>43848.57778935185</v>
      </c>
      <c r="B828" s="9" t="str">
        <f>HYPERLINK("https://twitter.com/VOA_MN","@VOA_MN")</f>
        <v>@VOA_MN</v>
      </c>
      <c r="C828" s="10" t="s">
        <v>3748</v>
      </c>
      <c r="D828" s="10" t="s">
        <v>3749</v>
      </c>
      <c r="E828" s="9" t="str">
        <f>HYPERLINK("https://twitter.com/VOA_MN/status/1218606989296705539","1218606989296705539")</f>
        <v>1218606989296705539</v>
      </c>
      <c r="F828" s="11" t="s">
        <v>3750</v>
      </c>
      <c r="G828" s="13"/>
      <c r="H828" s="13"/>
      <c r="I828" s="14">
        <v>0.0</v>
      </c>
      <c r="J828" s="14">
        <v>1.0</v>
      </c>
      <c r="K828" s="9" t="str">
        <f>HYPERLINK("https://sproutsocial.com","Sprout Social")</f>
        <v>Sprout Social</v>
      </c>
      <c r="L828" s="15">
        <v>1944.0</v>
      </c>
      <c r="M828" s="15">
        <v>1285.0</v>
      </c>
      <c r="N828" s="15">
        <v>86.0</v>
      </c>
      <c r="O828" s="16"/>
      <c r="P828" s="17">
        <v>39925.90524305555</v>
      </c>
      <c r="Q828" s="10" t="s">
        <v>3751</v>
      </c>
      <c r="R828" s="10" t="s">
        <v>3752</v>
      </c>
      <c r="S828" s="11" t="s">
        <v>3753</v>
      </c>
      <c r="T828" s="13"/>
      <c r="U828" s="18" t="str">
        <f>HYPERLINK("https://pbs.twimg.com/profile_images/568834002132275200/ykXtQtsa.jpeg","View")</f>
        <v>View</v>
      </c>
      <c r="V828" s="13"/>
      <c r="W828" s="13"/>
      <c r="X828" s="13"/>
      <c r="Y828" s="13"/>
      <c r="Z828" s="13"/>
    </row>
    <row r="829">
      <c r="A829" s="8">
        <v>43848.577326388884</v>
      </c>
      <c r="B829" s="9" t="str">
        <f>HYPERLINK("https://twitter.com/Elizza6","@Elizza6")</f>
        <v>@Elizza6</v>
      </c>
      <c r="C829" s="10" t="s">
        <v>3754</v>
      </c>
      <c r="D829" s="10" t="s">
        <v>3755</v>
      </c>
      <c r="E829" s="9" t="str">
        <f>HYPERLINK("https://twitter.com/Elizza6/status/1218606822321508352","1218606822321508352")</f>
        <v>1218606822321508352</v>
      </c>
      <c r="F829" s="10" t="s">
        <v>3756</v>
      </c>
      <c r="G829" s="13"/>
      <c r="H829" s="13"/>
      <c r="I829" s="14">
        <v>0.0</v>
      </c>
      <c r="J829" s="14">
        <v>2.0</v>
      </c>
      <c r="K829" s="9" t="str">
        <f>HYPERLINK("https://mobile.twitter.com","Twitter Web App")</f>
        <v>Twitter Web App</v>
      </c>
      <c r="L829" s="15">
        <v>4522.0</v>
      </c>
      <c r="M829" s="15">
        <v>4989.0</v>
      </c>
      <c r="N829" s="15">
        <v>31.0</v>
      </c>
      <c r="O829" s="16"/>
      <c r="P829" s="17">
        <v>40748.845821759256</v>
      </c>
      <c r="Q829" s="10" t="s">
        <v>3757</v>
      </c>
      <c r="R829" s="10" t="s">
        <v>3758</v>
      </c>
      <c r="S829" s="11" t="s">
        <v>3759</v>
      </c>
      <c r="T829" s="13"/>
      <c r="U829" s="18" t="str">
        <f>HYPERLINK("https://pbs.twimg.com/profile_images/1154044238474014725/VKLByIfb.png","View")</f>
        <v>View</v>
      </c>
      <c r="V829" s="13"/>
      <c r="W829" s="13"/>
      <c r="X829" s="13"/>
      <c r="Y829" s="13"/>
      <c r="Z829" s="13"/>
    </row>
    <row r="830">
      <c r="A830" s="8">
        <v>43848.576956018514</v>
      </c>
      <c r="B830" s="9" t="str">
        <f>HYPERLINK("https://twitter.com/HRICDubai","@HRICDubai")</f>
        <v>@HRICDubai</v>
      </c>
      <c r="C830" s="10" t="s">
        <v>3760</v>
      </c>
      <c r="D830" s="10" t="s">
        <v>3761</v>
      </c>
      <c r="E830" s="9" t="str">
        <f>HYPERLINK("https://twitter.com/HRICDubai/status/1218606685130055680","1218606685130055680")</f>
        <v>1218606685130055680</v>
      </c>
      <c r="F830" s="13"/>
      <c r="G830" s="11" t="s">
        <v>3762</v>
      </c>
      <c r="H830" s="13"/>
      <c r="I830" s="14">
        <v>0.0</v>
      </c>
      <c r="J830" s="14">
        <v>2.0</v>
      </c>
      <c r="K830" s="9" t="str">
        <f>HYPERLINK("http://twitter.com/download/iphone","Twitter for iPhone")</f>
        <v>Twitter for iPhone</v>
      </c>
      <c r="L830" s="15">
        <v>458.0</v>
      </c>
      <c r="M830" s="15">
        <v>624.0</v>
      </c>
      <c r="N830" s="15">
        <v>16.0</v>
      </c>
      <c r="O830" s="16"/>
      <c r="P830" s="17">
        <v>41113.39921296296</v>
      </c>
      <c r="Q830" s="10" t="s">
        <v>3763</v>
      </c>
      <c r="R830" s="10" t="s">
        <v>3764</v>
      </c>
      <c r="S830" s="11" t="s">
        <v>3765</v>
      </c>
      <c r="T830" s="13"/>
      <c r="U830" s="18" t="str">
        <f>HYPERLINK("https://pbs.twimg.com/profile_images/905359636320149505/mWIZzHvB.jpg","View")</f>
        <v>View</v>
      </c>
      <c r="V830" s="13"/>
      <c r="W830" s="13"/>
      <c r="X830" s="13"/>
      <c r="Y830" s="13"/>
      <c r="Z830" s="13"/>
    </row>
    <row r="831">
      <c r="A831" s="8">
        <v>43848.57692129629</v>
      </c>
      <c r="B831" s="9" t="str">
        <f>HYPERLINK("https://twitter.com/Mutai_Java","@Mutai_Java")</f>
        <v>@Mutai_Java</v>
      </c>
      <c r="C831" s="10" t="s">
        <v>3766</v>
      </c>
      <c r="D831" s="10" t="s">
        <v>238</v>
      </c>
      <c r="E831" s="9" t="str">
        <f>HYPERLINK("https://twitter.com/Mutai_Java/status/1218606676250648577","1218606676250648577")</f>
        <v>1218606676250648577</v>
      </c>
      <c r="F831" s="13"/>
      <c r="G831" s="13"/>
      <c r="H831" s="13"/>
      <c r="I831" s="14">
        <v>0.0</v>
      </c>
      <c r="J831" s="14">
        <v>0.0</v>
      </c>
      <c r="K831" s="9" t="str">
        <f t="shared" ref="K831:K833" si="91">HYPERLINK("http://twitter.com/download/android","Twitter for Android")</f>
        <v>Twitter for Android</v>
      </c>
      <c r="L831" s="15">
        <v>2313.0</v>
      </c>
      <c r="M831" s="15">
        <v>5001.0</v>
      </c>
      <c r="N831" s="15">
        <v>0.0</v>
      </c>
      <c r="O831" s="16"/>
      <c r="P831" s="17">
        <v>42768.096562499995</v>
      </c>
      <c r="Q831" s="10" t="s">
        <v>3767</v>
      </c>
      <c r="R831" s="10" t="s">
        <v>3768</v>
      </c>
      <c r="S831" s="11" t="s">
        <v>3769</v>
      </c>
      <c r="T831" s="13"/>
      <c r="U831" s="18" t="str">
        <f>HYPERLINK("https://pbs.twimg.com/profile_images/1163900003716390917/rcoh1fUJ.jpg","View")</f>
        <v>View</v>
      </c>
      <c r="V831" s="13"/>
      <c r="W831" s="13"/>
      <c r="X831" s="13"/>
      <c r="Y831" s="13"/>
      <c r="Z831" s="13"/>
    </row>
    <row r="832">
      <c r="A832" s="8">
        <v>43848.57679398148</v>
      </c>
      <c r="B832" s="9" t="str">
        <f>HYPERLINK("https://twitter.com/borderline_mum","@borderline_mum")</f>
        <v>@borderline_mum</v>
      </c>
      <c r="C832" s="10" t="s">
        <v>3770</v>
      </c>
      <c r="D832" s="10" t="s">
        <v>3771</v>
      </c>
      <c r="E832" s="9" t="str">
        <f>HYPERLINK("https://twitter.com/borderline_mum/status/1218606629085687808","1218606629085687808")</f>
        <v>1218606629085687808</v>
      </c>
      <c r="F832" s="13"/>
      <c r="G832" s="13"/>
      <c r="H832" s="13"/>
      <c r="I832" s="14">
        <v>0.0</v>
      </c>
      <c r="J832" s="14">
        <v>0.0</v>
      </c>
      <c r="K832" s="9" t="str">
        <f t="shared" si="91"/>
        <v>Twitter for Android</v>
      </c>
      <c r="L832" s="15">
        <v>23.0</v>
      </c>
      <c r="M832" s="15">
        <v>80.0</v>
      </c>
      <c r="N832" s="15">
        <v>0.0</v>
      </c>
      <c r="O832" s="16"/>
      <c r="P832" s="17">
        <v>43847.2672337963</v>
      </c>
      <c r="Q832" s="13"/>
      <c r="R832" s="10" t="s">
        <v>3772</v>
      </c>
      <c r="S832" s="13"/>
      <c r="T832" s="13"/>
      <c r="U832" s="18" t="str">
        <f>HYPERLINK("https://pbs.twimg.com/profile_images/1218132147401371650/5GLonH9q.jpg","View")</f>
        <v>View</v>
      </c>
      <c r="V832" s="13"/>
      <c r="W832" s="13"/>
      <c r="X832" s="13"/>
      <c r="Y832" s="13"/>
      <c r="Z832" s="13"/>
    </row>
    <row r="833">
      <c r="A833" s="8">
        <v>43848.57674768519</v>
      </c>
      <c r="B833" s="9" t="str">
        <f>HYPERLINK("https://twitter.com/Mbongeni_Dlomo","@Mbongeni_Dlomo")</f>
        <v>@Mbongeni_Dlomo</v>
      </c>
      <c r="C833" s="10" t="s">
        <v>3773</v>
      </c>
      <c r="D833" s="10" t="s">
        <v>238</v>
      </c>
      <c r="E833" s="9" t="str">
        <f>HYPERLINK("https://twitter.com/Mbongeni_Dlomo/status/1218606613654835203","1218606613654835203")</f>
        <v>1218606613654835203</v>
      </c>
      <c r="F833" s="13"/>
      <c r="G833" s="13"/>
      <c r="H833" s="13"/>
      <c r="I833" s="14">
        <v>0.0</v>
      </c>
      <c r="J833" s="14">
        <v>1.0</v>
      </c>
      <c r="K833" s="9" t="str">
        <f t="shared" si="91"/>
        <v>Twitter for Android</v>
      </c>
      <c r="L833" s="15">
        <v>251.0</v>
      </c>
      <c r="M833" s="15">
        <v>187.0</v>
      </c>
      <c r="N833" s="15">
        <v>1.0</v>
      </c>
      <c r="O833" s="16"/>
      <c r="P833" s="17">
        <v>40904.35986111111</v>
      </c>
      <c r="Q833" s="10" t="s">
        <v>3774</v>
      </c>
      <c r="R833" s="10" t="s">
        <v>3775</v>
      </c>
      <c r="S833" s="11" t="s">
        <v>3776</v>
      </c>
      <c r="T833" s="13"/>
      <c r="U833" s="18" t="str">
        <f>HYPERLINK("https://pbs.twimg.com/profile_images/1182602942614032384/1i0efu5A.jpg","View")</f>
        <v>View</v>
      </c>
      <c r="V833" s="13"/>
      <c r="W833" s="13"/>
      <c r="X833" s="13"/>
      <c r="Y833" s="13"/>
      <c r="Z833" s="13"/>
    </row>
    <row r="834">
      <c r="A834" s="8">
        <v>43848.57638888889</v>
      </c>
      <c r="B834" s="9" t="str">
        <f>HYPERLINK("https://twitter.com/YalePediatrics","@YalePediatrics")</f>
        <v>@YalePediatrics</v>
      </c>
      <c r="C834" s="10" t="s">
        <v>1586</v>
      </c>
      <c r="D834" s="10" t="s">
        <v>3777</v>
      </c>
      <c r="E834" s="9" t="str">
        <f>HYPERLINK("https://twitter.com/YalePediatrics/status/1218606480573644801","1218606480573644801")</f>
        <v>1218606480573644801</v>
      </c>
      <c r="F834" s="11" t="s">
        <v>3778</v>
      </c>
      <c r="G834" s="13"/>
      <c r="H834" s="13"/>
      <c r="I834" s="14">
        <v>1.0</v>
      </c>
      <c r="J834" s="14">
        <v>1.0</v>
      </c>
      <c r="K834" s="9" t="str">
        <f>HYPERLINK("https://about.twitter.com/products/tweetdeck","TweetDeck")</f>
        <v>TweetDeck</v>
      </c>
      <c r="L834" s="15">
        <v>326.0</v>
      </c>
      <c r="M834" s="15">
        <v>1178.0</v>
      </c>
      <c r="N834" s="15">
        <v>3.0</v>
      </c>
      <c r="O834" s="16"/>
      <c r="P834" s="17">
        <v>43445.64771990741</v>
      </c>
      <c r="Q834" s="10" t="s">
        <v>1589</v>
      </c>
      <c r="R834" s="10" t="s">
        <v>1590</v>
      </c>
      <c r="S834" s="11" t="s">
        <v>1591</v>
      </c>
      <c r="T834" s="13"/>
      <c r="U834" s="18" t="str">
        <f>HYPERLINK("https://pbs.twimg.com/profile_images/1196872150830874624/dD5R4-wk.jpg","View")</f>
        <v>View</v>
      </c>
      <c r="V834" s="13"/>
      <c r="W834" s="13"/>
      <c r="X834" s="13"/>
      <c r="Y834" s="13"/>
      <c r="Z834" s="13"/>
    </row>
    <row r="835">
      <c r="A835" s="8">
        <v>43848.57577546296</v>
      </c>
      <c r="B835" s="9" t="str">
        <f>HYPERLINK("https://twitter.com/Rachiecake2000","@Rachiecake2000")</f>
        <v>@Rachiecake2000</v>
      </c>
      <c r="C835" s="10" t="s">
        <v>3779</v>
      </c>
      <c r="D835" s="10" t="s">
        <v>3780</v>
      </c>
      <c r="E835" s="9" t="str">
        <f>HYPERLINK("https://twitter.com/Rachiecake2000/status/1218606257361375233","1218606257361375233")</f>
        <v>1218606257361375233</v>
      </c>
      <c r="F835" s="10" t="s">
        <v>3781</v>
      </c>
      <c r="G835" s="13"/>
      <c r="H835" s="13"/>
      <c r="I835" s="14">
        <v>1.0</v>
      </c>
      <c r="J835" s="14">
        <v>1.0</v>
      </c>
      <c r="K835" s="9" t="str">
        <f>HYPERLINK("http://twitter.com/download/android","Twitter for Android")</f>
        <v>Twitter for Android</v>
      </c>
      <c r="L835" s="15">
        <v>86.0</v>
      </c>
      <c r="M835" s="15">
        <v>55.0</v>
      </c>
      <c r="N835" s="15">
        <v>0.0</v>
      </c>
      <c r="O835" s="16"/>
      <c r="P835" s="17">
        <v>43682.452997685185</v>
      </c>
      <c r="Q835" s="13"/>
      <c r="R835" s="10" t="s">
        <v>3782</v>
      </c>
      <c r="S835" s="13"/>
      <c r="T835" s="13"/>
      <c r="U835" s="18" t="str">
        <f>HYPERLINK("https://pbs.twimg.com/profile_images/1158391741256482817/lZOZbbxV.jpg","View")</f>
        <v>View</v>
      </c>
      <c r="V835" s="13"/>
      <c r="W835" s="13"/>
      <c r="X835" s="13"/>
      <c r="Y835" s="13"/>
      <c r="Z835" s="13"/>
    </row>
    <row r="836">
      <c r="A836" s="8">
        <v>43848.57561342593</v>
      </c>
      <c r="B836" s="9" t="str">
        <f>HYPERLINK("https://twitter.com/_KingZer0_","@_KingZer0_")</f>
        <v>@_KingZer0_</v>
      </c>
      <c r="C836" s="10" t="s">
        <v>3783</v>
      </c>
      <c r="D836" s="10" t="s">
        <v>3784</v>
      </c>
      <c r="E836" s="9" t="str">
        <f>HYPERLINK("https://twitter.com/_KingZer0_/status/1218606200545255424","1218606200545255424")</f>
        <v>1218606200545255424</v>
      </c>
      <c r="F836" s="13"/>
      <c r="G836" s="13"/>
      <c r="H836" s="13"/>
      <c r="I836" s="14">
        <v>0.0</v>
      </c>
      <c r="J836" s="14">
        <v>0.0</v>
      </c>
      <c r="K836" s="9" t="str">
        <f>HYPERLINK("https://mobile.twitter.com","Twitter Web App")</f>
        <v>Twitter Web App</v>
      </c>
      <c r="L836" s="15">
        <v>126.0</v>
      </c>
      <c r="M836" s="15">
        <v>146.0</v>
      </c>
      <c r="N836" s="15">
        <v>8.0</v>
      </c>
      <c r="O836" s="16"/>
      <c r="P836" s="17">
        <v>41346.506886574076</v>
      </c>
      <c r="Q836" s="10" t="s">
        <v>3785</v>
      </c>
      <c r="R836" s="10" t="s">
        <v>3786</v>
      </c>
      <c r="S836" s="11" t="s">
        <v>3787</v>
      </c>
      <c r="T836" s="13"/>
      <c r="U836" s="18" t="str">
        <f>HYPERLINK("https://pbs.twimg.com/profile_images/1131955877475487745/K42Y7ja0.jpg","View")</f>
        <v>View</v>
      </c>
      <c r="V836" s="13"/>
      <c r="W836" s="13"/>
      <c r="X836" s="13"/>
      <c r="Y836" s="13"/>
      <c r="Z836" s="13"/>
    </row>
    <row r="837">
      <c r="A837" s="8">
        <v>43848.575</v>
      </c>
      <c r="B837" s="9" t="str">
        <f>HYPERLINK("https://twitter.com/allentien","@allentien")</f>
        <v>@allentien</v>
      </c>
      <c r="C837" s="10" t="s">
        <v>3788</v>
      </c>
      <c r="D837" s="10" t="s">
        <v>3789</v>
      </c>
      <c r="E837" s="9" t="str">
        <f>HYPERLINK("https://twitter.com/allentien/status/1218605979950030848","1218605979950030848")</f>
        <v>1218605979950030848</v>
      </c>
      <c r="F837" s="11" t="s">
        <v>3790</v>
      </c>
      <c r="G837" s="13"/>
      <c r="H837" s="13"/>
      <c r="I837" s="14">
        <v>2.0</v>
      </c>
      <c r="J837" s="14">
        <v>2.0</v>
      </c>
      <c r="K837" s="9" t="str">
        <f>HYPERLINK("http://meetedgar.com","MeetEdgar")</f>
        <v>MeetEdgar</v>
      </c>
      <c r="L837" s="15">
        <v>19835.0</v>
      </c>
      <c r="M837" s="15">
        <v>19807.0</v>
      </c>
      <c r="N837" s="15">
        <v>535.0</v>
      </c>
      <c r="O837" s="16"/>
      <c r="P837" s="17">
        <v>40084.3581712963</v>
      </c>
      <c r="Q837" s="10" t="s">
        <v>3791</v>
      </c>
      <c r="R837" s="10" t="s">
        <v>3792</v>
      </c>
      <c r="S837" s="11" t="s">
        <v>3793</v>
      </c>
      <c r="T837" s="13"/>
      <c r="U837" s="18" t="str">
        <f>HYPERLINK("https://pbs.twimg.com/profile_images/667744765123952641/QokXuJKN.jpg","View")</f>
        <v>View</v>
      </c>
      <c r="V837" s="13"/>
      <c r="W837" s="13"/>
      <c r="X837" s="13"/>
      <c r="Y837" s="13"/>
      <c r="Z837" s="13"/>
    </row>
    <row r="838">
      <c r="A838" s="8">
        <v>43848.574745370366</v>
      </c>
      <c r="B838" s="9" t="str">
        <f>HYPERLINK("https://twitter.com/RuralMHMatters","@RuralMHMatters")</f>
        <v>@RuralMHMatters</v>
      </c>
      <c r="C838" s="10" t="s">
        <v>3794</v>
      </c>
      <c r="D838" s="10" t="s">
        <v>3795</v>
      </c>
      <c r="E838" s="9" t="str">
        <f>HYPERLINK("https://twitter.com/RuralMHMatters/status/1218605887901913088","1218605887901913088")</f>
        <v>1218605887901913088</v>
      </c>
      <c r="F838" s="10" t="s">
        <v>3796</v>
      </c>
      <c r="G838" s="13"/>
      <c r="H838" s="13"/>
      <c r="I838" s="14">
        <v>0.0</v>
      </c>
      <c r="J838" s="14">
        <v>1.0</v>
      </c>
      <c r="K838" s="9" t="str">
        <f>HYPERLINK("http://twitter.com/download/android","Twitter for Android")</f>
        <v>Twitter for Android</v>
      </c>
      <c r="L838" s="15">
        <v>552.0</v>
      </c>
      <c r="M838" s="15">
        <v>1356.0</v>
      </c>
      <c r="N838" s="15">
        <v>0.0</v>
      </c>
      <c r="O838" s="16"/>
      <c r="P838" s="17">
        <v>43592.44644675926</v>
      </c>
      <c r="Q838" s="10" t="s">
        <v>3797</v>
      </c>
      <c r="R838" s="10" t="s">
        <v>3798</v>
      </c>
      <c r="S838" s="11" t="s">
        <v>3799</v>
      </c>
      <c r="T838" s="13"/>
      <c r="U838" s="18" t="str">
        <f>HYPERLINK("https://pbs.twimg.com/profile_images/1193902335858270208/Nl16q_9b.jpg","View")</f>
        <v>View</v>
      </c>
      <c r="V838" s="13"/>
      <c r="W838" s="13"/>
      <c r="X838" s="13"/>
      <c r="Y838" s="13"/>
      <c r="Z838" s="13"/>
    </row>
    <row r="839">
      <c r="A839" s="8">
        <v>43848.57454861111</v>
      </c>
      <c r="B839" s="9" t="str">
        <f>HYPERLINK("https://twitter.com/alicia_kropf","@alicia_kropf")</f>
        <v>@alicia_kropf</v>
      </c>
      <c r="C839" s="10" t="s">
        <v>3800</v>
      </c>
      <c r="D839" s="10" t="s">
        <v>3801</v>
      </c>
      <c r="E839" s="9" t="str">
        <f>HYPERLINK("https://twitter.com/alicia_kropf/status/1218605813482377216","1218605813482377216")</f>
        <v>1218605813482377216</v>
      </c>
      <c r="F839" s="13"/>
      <c r="G839" s="11" t="s">
        <v>3802</v>
      </c>
      <c r="H839" s="13"/>
      <c r="I839" s="14">
        <v>0.0</v>
      </c>
      <c r="J839" s="14">
        <v>2.0</v>
      </c>
      <c r="K839" s="9" t="str">
        <f>HYPERLINK("https://mobile.twitter.com","Twitter Web App")</f>
        <v>Twitter Web App</v>
      </c>
      <c r="L839" s="15">
        <v>40.0</v>
      </c>
      <c r="M839" s="15">
        <v>60.0</v>
      </c>
      <c r="N839" s="15">
        <v>1.0</v>
      </c>
      <c r="O839" s="16"/>
      <c r="P839" s="17">
        <v>40314.75423611111</v>
      </c>
      <c r="Q839" s="13"/>
      <c r="R839" s="10" t="s">
        <v>3803</v>
      </c>
      <c r="S839" s="13"/>
      <c r="T839" s="13"/>
      <c r="U839" s="18" t="str">
        <f>HYPERLINK("https://pbs.twimg.com/profile_images/1112531929985941504/kT0ZWlBf.jpg","View")</f>
        <v>View</v>
      </c>
      <c r="V839" s="13"/>
      <c r="W839" s="13"/>
      <c r="X839" s="13"/>
      <c r="Y839" s="13"/>
      <c r="Z839" s="13"/>
    </row>
    <row r="840">
      <c r="A840" s="8">
        <v>43848.57451388889</v>
      </c>
      <c r="B840" s="9" t="str">
        <f>HYPERLINK("https://twitter.com/DorsetMind","@DorsetMind")</f>
        <v>@DorsetMind</v>
      </c>
      <c r="C840" s="10" t="s">
        <v>3804</v>
      </c>
      <c r="D840" s="10" t="s">
        <v>3805</v>
      </c>
      <c r="E840" s="9" t="str">
        <f>HYPERLINK("https://twitter.com/DorsetMind/status/1218605802812051458","1218605802812051458")</f>
        <v>1218605802812051458</v>
      </c>
      <c r="F840" s="11" t="s">
        <v>3806</v>
      </c>
      <c r="G840" s="11" t="s">
        <v>3807</v>
      </c>
      <c r="H840" s="13"/>
      <c r="I840" s="14">
        <v>0.0</v>
      </c>
      <c r="J840" s="14">
        <v>2.0</v>
      </c>
      <c r="K840" s="9" t="str">
        <f>HYPERLINK("http://twitter.com/#!/download/ipad","Twitter for iPad")</f>
        <v>Twitter for iPad</v>
      </c>
      <c r="L840" s="15">
        <v>5939.0</v>
      </c>
      <c r="M840" s="15">
        <v>3791.0</v>
      </c>
      <c r="N840" s="15">
        <v>109.0</v>
      </c>
      <c r="O840" s="16"/>
      <c r="P840" s="17">
        <v>41451.26269675926</v>
      </c>
      <c r="Q840" s="10" t="s">
        <v>1024</v>
      </c>
      <c r="R840" s="10" t="s">
        <v>3808</v>
      </c>
      <c r="S840" s="11" t="s">
        <v>3809</v>
      </c>
      <c r="T840" s="13"/>
      <c r="U840" s="18" t="str">
        <f>HYPERLINK("https://pbs.twimg.com/profile_images/1159458456283361280/L-5CDBG1.jpg","View")</f>
        <v>View</v>
      </c>
      <c r="V840" s="13"/>
      <c r="W840" s="13"/>
      <c r="X840" s="13"/>
      <c r="Y840" s="13"/>
      <c r="Z840" s="13"/>
    </row>
    <row r="841">
      <c r="A841" s="8">
        <v>43848.574479166666</v>
      </c>
      <c r="B841" s="9" t="str">
        <f>HYPERLINK("https://twitter.com/retjia","@retjia")</f>
        <v>@retjia</v>
      </c>
      <c r="C841" s="10" t="s">
        <v>3810</v>
      </c>
      <c r="D841" s="10" t="s">
        <v>3811</v>
      </c>
      <c r="E841" s="9" t="str">
        <f>HYPERLINK("https://twitter.com/retjia/status/1218605788433915909","1218605788433915909")</f>
        <v>1218605788433915909</v>
      </c>
      <c r="F841" s="13"/>
      <c r="G841" s="13"/>
      <c r="H841" s="13"/>
      <c r="I841" s="14">
        <v>0.0</v>
      </c>
      <c r="J841" s="14">
        <v>1.0</v>
      </c>
      <c r="K841" s="9" t="str">
        <f>HYPERLINK("http://twitter.com/download/android","Twitter for Android")</f>
        <v>Twitter for Android</v>
      </c>
      <c r="L841" s="15">
        <v>41.0</v>
      </c>
      <c r="M841" s="15">
        <v>58.0</v>
      </c>
      <c r="N841" s="15">
        <v>0.0</v>
      </c>
      <c r="O841" s="16"/>
      <c r="P841" s="17">
        <v>43045.363333333335</v>
      </c>
      <c r="Q841" s="10" t="s">
        <v>3812</v>
      </c>
      <c r="R841" s="10" t="s">
        <v>3813</v>
      </c>
      <c r="S841" s="13"/>
      <c r="T841" s="13"/>
      <c r="U841" s="18" t="str">
        <f>HYPERLINK("https://pbs.twimg.com/profile_images/1148246158353076224/yUM_PD2p.jpg","View")</f>
        <v>View</v>
      </c>
      <c r="V841" s="13"/>
      <c r="W841" s="13"/>
      <c r="X841" s="13"/>
      <c r="Y841" s="13"/>
      <c r="Z841" s="13"/>
    </row>
    <row r="842">
      <c r="A842" s="8">
        <v>43848.57361111111</v>
      </c>
      <c r="B842" s="9" t="str">
        <f>HYPERLINK("https://twitter.com/writerly_dee","@writerly_dee")</f>
        <v>@writerly_dee</v>
      </c>
      <c r="C842" s="10" t="s">
        <v>3814</v>
      </c>
      <c r="D842" s="10" t="s">
        <v>3815</v>
      </c>
      <c r="E842" s="9" t="str">
        <f>HYPERLINK("https://twitter.com/writerly_dee/status/1218605473928101888","1218605473928101888")</f>
        <v>1218605473928101888</v>
      </c>
      <c r="F842" s="11" t="s">
        <v>3816</v>
      </c>
      <c r="G842" s="13"/>
      <c r="H842" s="13"/>
      <c r="I842" s="14">
        <v>0.0</v>
      </c>
      <c r="J842" s="14">
        <v>0.0</v>
      </c>
      <c r="K842" s="9" t="str">
        <f>HYPERLINK("https://about.twitter.com/products/tweetdeck","TweetDeck")</f>
        <v>TweetDeck</v>
      </c>
      <c r="L842" s="15">
        <v>2139.0</v>
      </c>
      <c r="M842" s="15">
        <v>1737.0</v>
      </c>
      <c r="N842" s="15">
        <v>541.0</v>
      </c>
      <c r="O842" s="16"/>
      <c r="P842" s="17">
        <v>39800.18300925926</v>
      </c>
      <c r="Q842" s="10" t="s">
        <v>3817</v>
      </c>
      <c r="R842" s="10" t="s">
        <v>3818</v>
      </c>
      <c r="S842" s="11" t="s">
        <v>3819</v>
      </c>
      <c r="T842" s="13"/>
      <c r="U842" s="18" t="str">
        <f>HYPERLINK("https://pbs.twimg.com/profile_images/668633458860691456/Z8rUNKRY.jpg","View")</f>
        <v>View</v>
      </c>
      <c r="V842" s="13"/>
      <c r="W842" s="13"/>
      <c r="X842" s="13"/>
      <c r="Y842" s="13"/>
      <c r="Z842" s="13"/>
    </row>
    <row r="843">
      <c r="A843" s="8">
        <v>43848.57298611111</v>
      </c>
      <c r="B843" s="9" t="str">
        <f>HYPERLINK("https://twitter.com/TranscendSL","@TranscendSL")</f>
        <v>@TranscendSL</v>
      </c>
      <c r="C843" s="10" t="s">
        <v>3820</v>
      </c>
      <c r="D843" s="10" t="s">
        <v>3821</v>
      </c>
      <c r="E843" s="9" t="str">
        <f>HYPERLINK("https://twitter.com/TranscendSL/status/1218605247171526657","1218605247171526657")</f>
        <v>1218605247171526657</v>
      </c>
      <c r="F843" s="11" t="s">
        <v>3822</v>
      </c>
      <c r="G843" s="13"/>
      <c r="H843" s="13"/>
      <c r="I843" s="14">
        <v>0.0</v>
      </c>
      <c r="J843" s="14">
        <v>0.0</v>
      </c>
      <c r="K843" s="9" t="str">
        <f>HYPERLINK("https://www.hootsuite.com","Hootsuite Inc.")</f>
        <v>Hootsuite Inc.</v>
      </c>
      <c r="L843" s="15">
        <v>4538.0</v>
      </c>
      <c r="M843" s="15">
        <v>3383.0</v>
      </c>
      <c r="N843" s="15">
        <v>79.0</v>
      </c>
      <c r="O843" s="16"/>
      <c r="P843" s="17">
        <v>41162.5724537037</v>
      </c>
      <c r="Q843" s="10" t="s">
        <v>382</v>
      </c>
      <c r="R843" s="10" t="s">
        <v>3823</v>
      </c>
      <c r="S843" s="11" t="s">
        <v>3824</v>
      </c>
      <c r="T843" s="13"/>
      <c r="U843" s="18" t="str">
        <f>HYPERLINK("https://pbs.twimg.com/profile_images/869987199634231296/v9GTMpHi.jpg","View")</f>
        <v>View</v>
      </c>
      <c r="V843" s="13"/>
      <c r="W843" s="13"/>
      <c r="X843" s="13"/>
      <c r="Y843" s="13"/>
      <c r="Z843" s="13"/>
    </row>
    <row r="844">
      <c r="A844" s="8">
        <v>43848.57295138889</v>
      </c>
      <c r="B844" s="9" t="str">
        <f>HYPERLINK("https://twitter.com/HealthyPlace","@HealthyPlace")</f>
        <v>@HealthyPlace</v>
      </c>
      <c r="C844" s="10" t="s">
        <v>1457</v>
      </c>
      <c r="D844" s="10" t="s">
        <v>3825</v>
      </c>
      <c r="E844" s="9" t="str">
        <f>HYPERLINK("https://twitter.com/HealthyPlace/status/1218605234664230914","1218605234664230914")</f>
        <v>1218605234664230914</v>
      </c>
      <c r="F844" s="11" t="s">
        <v>3826</v>
      </c>
      <c r="G844" s="11" t="s">
        <v>3827</v>
      </c>
      <c r="H844" s="13"/>
      <c r="I844" s="14">
        <v>1.0</v>
      </c>
      <c r="J844" s="14">
        <v>0.0</v>
      </c>
      <c r="K844" s="9" t="str">
        <f>HYPERLINK("https://sproutsocial.com","Sprout Social")</f>
        <v>Sprout Social</v>
      </c>
      <c r="L844" s="15">
        <v>64943.0</v>
      </c>
      <c r="M844" s="15">
        <v>25049.0</v>
      </c>
      <c r="N844" s="15">
        <v>1710.0</v>
      </c>
      <c r="O844" s="16"/>
      <c r="P844" s="17">
        <v>39681.03928240741</v>
      </c>
      <c r="Q844" s="10" t="s">
        <v>1460</v>
      </c>
      <c r="R844" s="10" t="s">
        <v>1461</v>
      </c>
      <c r="S844" s="11" t="s">
        <v>1462</v>
      </c>
      <c r="T844" s="13"/>
      <c r="U844" s="18" t="str">
        <f>HYPERLINK("https://pbs.twimg.com/profile_images/753613454083252225/i5pr2xny.jpg","View")</f>
        <v>View</v>
      </c>
      <c r="V844" s="13"/>
      <c r="W844" s="13"/>
      <c r="X844" s="13"/>
      <c r="Y844" s="13"/>
      <c r="Z844" s="13"/>
    </row>
    <row r="845">
      <c r="A845" s="8">
        <v>43848.57288194445</v>
      </c>
      <c r="B845" s="9" t="str">
        <f>HYPERLINK("https://twitter.com/prolayc","@prolayc")</f>
        <v>@prolayc</v>
      </c>
      <c r="C845" s="10" t="s">
        <v>3828</v>
      </c>
      <c r="D845" s="10" t="s">
        <v>238</v>
      </c>
      <c r="E845" s="9" t="str">
        <f>HYPERLINK("https://twitter.com/prolayc/status/1218605210420957185","1218605210420957185")</f>
        <v>1218605210420957185</v>
      </c>
      <c r="F845" s="13"/>
      <c r="G845" s="13"/>
      <c r="H845" s="13"/>
      <c r="I845" s="14">
        <v>0.0</v>
      </c>
      <c r="J845" s="14">
        <v>0.0</v>
      </c>
      <c r="K845" s="9" t="str">
        <f>HYPERLINK("https://mobile.twitter.com","Twitter Web App")</f>
        <v>Twitter Web App</v>
      </c>
      <c r="L845" s="15">
        <v>100.0</v>
      </c>
      <c r="M845" s="15">
        <v>470.0</v>
      </c>
      <c r="N845" s="15">
        <v>1.0</v>
      </c>
      <c r="O845" s="16"/>
      <c r="P845" s="17">
        <v>40648.56616898148</v>
      </c>
      <c r="Q845" s="10" t="s">
        <v>3829</v>
      </c>
      <c r="R845" s="10" t="s">
        <v>3830</v>
      </c>
      <c r="S845" s="11" t="s">
        <v>3831</v>
      </c>
      <c r="T845" s="13"/>
      <c r="U845" s="18" t="str">
        <f>HYPERLINK("https://pbs.twimg.com/profile_images/1212276908408180736/wCcBIxCP.jpg","View")</f>
        <v>View</v>
      </c>
      <c r="V845" s="13"/>
      <c r="W845" s="13"/>
      <c r="X845" s="13"/>
      <c r="Y845" s="13"/>
      <c r="Z845" s="13"/>
    </row>
    <row r="846">
      <c r="A846" s="8">
        <v>43848.57231481481</v>
      </c>
      <c r="B846" s="9" t="str">
        <f>HYPERLINK("https://twitter.com/HeyDiddleDiddle","@HeyDiddleDiddle")</f>
        <v>@HeyDiddleDiddle</v>
      </c>
      <c r="C846" s="10" t="s">
        <v>263</v>
      </c>
      <c r="D846" s="10" t="s">
        <v>3832</v>
      </c>
      <c r="E846" s="9" t="str">
        <f>HYPERLINK("https://twitter.com/HeyDiddleDiddle/status/1218605005172805633","1218605005172805633")</f>
        <v>1218605005172805633</v>
      </c>
      <c r="F846" s="11" t="s">
        <v>3833</v>
      </c>
      <c r="G846" s="13"/>
      <c r="H846" s="13"/>
      <c r="I846" s="14">
        <v>0.0</v>
      </c>
      <c r="J846" s="14">
        <v>0.0</v>
      </c>
      <c r="K846" s="9" t="str">
        <f>HYPERLINK("http://www.DynamicTweets.com","Dynamic Tweets")</f>
        <v>Dynamic Tweets</v>
      </c>
      <c r="L846" s="15">
        <v>5623.0</v>
      </c>
      <c r="M846" s="15">
        <v>4639.0</v>
      </c>
      <c r="N846" s="15">
        <v>372.0</v>
      </c>
      <c r="O846" s="16"/>
      <c r="P846" s="17">
        <v>39882.59599537037</v>
      </c>
      <c r="Q846" s="10" t="s">
        <v>266</v>
      </c>
      <c r="R846" s="10" t="s">
        <v>267</v>
      </c>
      <c r="S846" s="11" t="s">
        <v>265</v>
      </c>
      <c r="T846" s="13"/>
      <c r="U846" s="18" t="str">
        <f>HYPERLINK("https://pbs.twimg.com/profile_images/97791737/HDD_PosterAlmostThere.jpg","View")</f>
        <v>View</v>
      </c>
      <c r="V846" s="13"/>
      <c r="W846" s="13"/>
      <c r="X846" s="13"/>
      <c r="Y846" s="13"/>
      <c r="Z846" s="13"/>
    </row>
    <row r="847">
      <c r="A847" s="8">
        <v>43848.571284722224</v>
      </c>
      <c r="B847" s="9" t="str">
        <f>HYPERLINK("https://twitter.com/LeeJPlummer","@LeeJPlummer")</f>
        <v>@LeeJPlummer</v>
      </c>
      <c r="C847" s="10" t="s">
        <v>3834</v>
      </c>
      <c r="D847" s="10" t="s">
        <v>3835</v>
      </c>
      <c r="E847" s="9" t="str">
        <f>HYPERLINK("https://twitter.com/LeeJPlummer/status/1218604634052280320","1218604634052280320")</f>
        <v>1218604634052280320</v>
      </c>
      <c r="F847" s="13"/>
      <c r="G847" s="11" t="s">
        <v>3836</v>
      </c>
      <c r="H847" s="13"/>
      <c r="I847" s="14">
        <v>2.0</v>
      </c>
      <c r="J847" s="14">
        <v>7.0</v>
      </c>
      <c r="K847" s="9" t="str">
        <f>HYPERLINK("http://twitter.com/download/android","Twitter for Android")</f>
        <v>Twitter for Android</v>
      </c>
      <c r="L847" s="15">
        <v>3814.0</v>
      </c>
      <c r="M847" s="15">
        <v>2838.0</v>
      </c>
      <c r="N847" s="15">
        <v>26.0</v>
      </c>
      <c r="O847" s="16"/>
      <c r="P847" s="17">
        <v>39910.472129629634</v>
      </c>
      <c r="Q847" s="10" t="s">
        <v>3837</v>
      </c>
      <c r="R847" s="10" t="s">
        <v>3838</v>
      </c>
      <c r="S847" s="11" t="s">
        <v>3839</v>
      </c>
      <c r="T847" s="13"/>
      <c r="U847" s="18" t="str">
        <f>HYPERLINK("https://pbs.twimg.com/profile_images/1213299489890426881/CfPdWKR9.jpg","View")</f>
        <v>View</v>
      </c>
      <c r="V847" s="13"/>
      <c r="W847" s="13"/>
      <c r="X847" s="13"/>
      <c r="Y847" s="13"/>
      <c r="Z847" s="13"/>
    </row>
    <row r="848">
      <c r="A848" s="8">
        <v>43848.571284722224</v>
      </c>
      <c r="B848" s="9" t="str">
        <f>HYPERLINK("https://twitter.com/jlo_said","@jlo_said")</f>
        <v>@jlo_said</v>
      </c>
      <c r="C848" s="10" t="s">
        <v>3840</v>
      </c>
      <c r="D848" s="10" t="s">
        <v>3841</v>
      </c>
      <c r="E848" s="9" t="str">
        <f>HYPERLINK("https://twitter.com/jlo_said/status/1218604630181138432","1218604630181138432")</f>
        <v>1218604630181138432</v>
      </c>
      <c r="F848" s="10" t="s">
        <v>3842</v>
      </c>
      <c r="G848" s="10" t="s">
        <v>3843</v>
      </c>
      <c r="H848" s="13"/>
      <c r="I848" s="14">
        <v>0.0</v>
      </c>
      <c r="J848" s="14">
        <v>1.0</v>
      </c>
      <c r="K848" s="9" t="str">
        <f>HYPERLINK("http://twitter.com/#!/download/ipad","Twitter for iPad")</f>
        <v>Twitter for iPad</v>
      </c>
      <c r="L848" s="15">
        <v>2113.0</v>
      </c>
      <c r="M848" s="15">
        <v>326.0</v>
      </c>
      <c r="N848" s="15">
        <v>40.0</v>
      </c>
      <c r="O848" s="16"/>
      <c r="P848" s="17">
        <v>39955.41082175926</v>
      </c>
      <c r="Q848" s="10" t="s">
        <v>2323</v>
      </c>
      <c r="R848" s="10" t="s">
        <v>3844</v>
      </c>
      <c r="S848" s="13"/>
      <c r="T848" s="13"/>
      <c r="U848" s="18" t="str">
        <f>HYPERLINK("https://pbs.twimg.com/profile_images/1750812733/IMG00439-20100903-1950.jpg","View")</f>
        <v>View</v>
      </c>
      <c r="V848" s="13"/>
      <c r="W848" s="13"/>
      <c r="X848" s="13"/>
      <c r="Y848" s="13"/>
      <c r="Z848" s="13"/>
    </row>
    <row r="849">
      <c r="A849" s="8">
        <v>43848.57108796296</v>
      </c>
      <c r="B849" s="9" t="str">
        <f>HYPERLINK("https://twitter.com/apcca_org","@apcca_org")</f>
        <v>@apcca_org</v>
      </c>
      <c r="C849" s="10" t="s">
        <v>3845</v>
      </c>
      <c r="D849" s="10" t="s">
        <v>3846</v>
      </c>
      <c r="E849" s="9" t="str">
        <f>HYPERLINK("https://twitter.com/apcca_org/status/1218604561033842688","1218604561033842688")</f>
        <v>1218604561033842688</v>
      </c>
      <c r="F849" s="11" t="s">
        <v>3847</v>
      </c>
      <c r="G849" s="11" t="s">
        <v>3848</v>
      </c>
      <c r="H849" s="13"/>
      <c r="I849" s="14">
        <v>1.0</v>
      </c>
      <c r="J849" s="14">
        <v>1.0</v>
      </c>
      <c r="K849" s="9" t="str">
        <f>HYPERLINK("http://twitter.com/download/iphone","Twitter for iPhone")</f>
        <v>Twitter for iPhone</v>
      </c>
      <c r="L849" s="15">
        <v>151.0</v>
      </c>
      <c r="M849" s="15">
        <v>126.0</v>
      </c>
      <c r="N849" s="15">
        <v>3.0</v>
      </c>
      <c r="O849" s="16"/>
      <c r="P849" s="17">
        <v>42476.41695601852</v>
      </c>
      <c r="Q849" s="10" t="s">
        <v>3849</v>
      </c>
      <c r="R849" s="10" t="s">
        <v>3850</v>
      </c>
      <c r="S849" s="11" t="s">
        <v>3851</v>
      </c>
      <c r="T849" s="13"/>
      <c r="U849" s="18" t="str">
        <f>HYPERLINK("https://pbs.twimg.com/profile_images/1217004468400771073/QKuSEkiZ.jpg","View")</f>
        <v>View</v>
      </c>
      <c r="V849" s="13"/>
      <c r="W849" s="13"/>
      <c r="X849" s="13"/>
      <c r="Y849" s="13"/>
      <c r="Z849" s="13"/>
    </row>
    <row r="850">
      <c r="A850" s="8">
        <v>43848.57104166667</v>
      </c>
      <c r="B850" s="9" t="str">
        <f>HYPERLINK("https://twitter.com/GeorgiaSul99","@GeorgiaSul99")</f>
        <v>@GeorgiaSul99</v>
      </c>
      <c r="C850" s="10" t="s">
        <v>3852</v>
      </c>
      <c r="D850" s="10" t="s">
        <v>3853</v>
      </c>
      <c r="E850" s="9" t="str">
        <f>HYPERLINK("https://twitter.com/GeorgiaSul99/status/1218604544403365889","1218604544403365889")</f>
        <v>1218604544403365889</v>
      </c>
      <c r="F850" s="13"/>
      <c r="G850" s="11" t="s">
        <v>3854</v>
      </c>
      <c r="H850" s="13"/>
      <c r="I850" s="14">
        <v>0.0</v>
      </c>
      <c r="J850" s="14">
        <v>2.0</v>
      </c>
      <c r="K850" s="9" t="str">
        <f>HYPERLINK("https://mobile.twitter.com","Twitter Web App")</f>
        <v>Twitter Web App</v>
      </c>
      <c r="L850" s="15">
        <v>167.0</v>
      </c>
      <c r="M850" s="15">
        <v>513.0</v>
      </c>
      <c r="N850" s="15">
        <v>0.0</v>
      </c>
      <c r="O850" s="16"/>
      <c r="P850" s="17">
        <v>43685.69825231482</v>
      </c>
      <c r="Q850" s="10" t="s">
        <v>3576</v>
      </c>
      <c r="R850" s="10" t="s">
        <v>3855</v>
      </c>
      <c r="S850" s="13"/>
      <c r="T850" s="13"/>
      <c r="U850" s="18" t="str">
        <f>HYPERLINK("https://pbs.twimg.com/profile_images/1159566611625521159/broFb5Tm.jpg","View")</f>
        <v>View</v>
      </c>
      <c r="V850" s="13"/>
      <c r="W850" s="13"/>
      <c r="X850" s="13"/>
      <c r="Y850" s="13"/>
      <c r="Z850" s="13"/>
    </row>
    <row r="851">
      <c r="A851" s="8">
        <v>43848.57092592593</v>
      </c>
      <c r="B851" s="9" t="str">
        <f>HYPERLINK("https://twitter.com/sykes_nigel","@sykes_nigel")</f>
        <v>@sykes_nigel</v>
      </c>
      <c r="C851" s="10" t="s">
        <v>3856</v>
      </c>
      <c r="D851" s="10" t="s">
        <v>3857</v>
      </c>
      <c r="E851" s="9" t="str">
        <f>HYPERLINK("https://twitter.com/sykes_nigel/status/1218604501420199936","1218604501420199936")</f>
        <v>1218604501420199936</v>
      </c>
      <c r="F851" s="13"/>
      <c r="G851" s="13"/>
      <c r="H851" s="13"/>
      <c r="I851" s="14">
        <v>0.0</v>
      </c>
      <c r="J851" s="14">
        <v>0.0</v>
      </c>
      <c r="K851" s="9" t="str">
        <f t="shared" ref="K851:K852" si="92">HYPERLINK("http://twitter.com/download/iphone","Twitter for iPhone")</f>
        <v>Twitter for iPhone</v>
      </c>
      <c r="L851" s="15">
        <v>52.0</v>
      </c>
      <c r="M851" s="15">
        <v>231.0</v>
      </c>
      <c r="N851" s="15">
        <v>0.0</v>
      </c>
      <c r="O851" s="16"/>
      <c r="P851" s="17">
        <v>42831.69949074074</v>
      </c>
      <c r="Q851" s="10" t="s">
        <v>3858</v>
      </c>
      <c r="R851" s="10" t="s">
        <v>3859</v>
      </c>
      <c r="S851" s="13"/>
      <c r="T851" s="13"/>
      <c r="U851" s="18" t="str">
        <f>HYPERLINK("https://pbs.twimg.com/profile_images/850088610221223939/GQSoy7xM.jpg","View")</f>
        <v>View</v>
      </c>
      <c r="V851" s="13"/>
      <c r="W851" s="13"/>
      <c r="X851" s="13"/>
      <c r="Y851" s="13"/>
      <c r="Z851" s="13"/>
    </row>
    <row r="852">
      <c r="A852" s="8">
        <v>43848.57089120371</v>
      </c>
      <c r="B852" s="9" t="str">
        <f>HYPERLINK("https://twitter.com/emyrhughes","@emyrhughes")</f>
        <v>@emyrhughes</v>
      </c>
      <c r="C852" s="10" t="s">
        <v>3860</v>
      </c>
      <c r="D852" s="10" t="s">
        <v>3861</v>
      </c>
      <c r="E852" s="9" t="str">
        <f>HYPERLINK("https://twitter.com/emyrhughes/status/1218604489118298114","1218604489118298114")</f>
        <v>1218604489118298114</v>
      </c>
      <c r="F852" s="11" t="s">
        <v>3862</v>
      </c>
      <c r="G852" s="13"/>
      <c r="H852" s="13"/>
      <c r="I852" s="14">
        <v>0.0</v>
      </c>
      <c r="J852" s="14">
        <v>4.0</v>
      </c>
      <c r="K852" s="9" t="str">
        <f t="shared" si="92"/>
        <v>Twitter for iPhone</v>
      </c>
      <c r="L852" s="15">
        <v>211.0</v>
      </c>
      <c r="M852" s="15">
        <v>1009.0</v>
      </c>
      <c r="N852" s="15">
        <v>40.0</v>
      </c>
      <c r="O852" s="16"/>
      <c r="P852" s="17">
        <v>39887.83898148148</v>
      </c>
      <c r="Q852" s="10" t="s">
        <v>3863</v>
      </c>
      <c r="R852" s="10" t="s">
        <v>3864</v>
      </c>
      <c r="S852" s="13"/>
      <c r="T852" s="13"/>
      <c r="U852" s="18" t="str">
        <f>HYPERLINK("https://pbs.twimg.com/profile_images/1217673382562619392/EVf7EX_H.jpg","View")</f>
        <v>View</v>
      </c>
      <c r="V852" s="13"/>
      <c r="W852" s="13"/>
      <c r="X852" s="13"/>
      <c r="Y852" s="13"/>
      <c r="Z852" s="13"/>
    </row>
    <row r="853">
      <c r="A853" s="8">
        <v>43848.57053240741</v>
      </c>
      <c r="B853" s="9" t="str">
        <f>HYPERLINK("https://twitter.com/cheekiekay","@cheekiekay")</f>
        <v>@cheekiekay</v>
      </c>
      <c r="C853" s="10" t="s">
        <v>3865</v>
      </c>
      <c r="D853" s="10" t="s">
        <v>3866</v>
      </c>
      <c r="E853" s="9" t="str">
        <f>HYPERLINK("https://twitter.com/cheekiekay/status/1218604360223141895","1218604360223141895")</f>
        <v>1218604360223141895</v>
      </c>
      <c r="F853" s="11" t="s">
        <v>3867</v>
      </c>
      <c r="G853" s="13"/>
      <c r="H853" s="13"/>
      <c r="I853" s="14">
        <v>0.0</v>
      </c>
      <c r="J853" s="14">
        <v>0.0</v>
      </c>
      <c r="K853" s="9" t="str">
        <f>HYPERLINK("https://streamlabs.com","Streamlabs Twitter")</f>
        <v>Streamlabs Twitter</v>
      </c>
      <c r="L853" s="15">
        <v>266.0</v>
      </c>
      <c r="M853" s="15">
        <v>770.0</v>
      </c>
      <c r="N853" s="15">
        <v>0.0</v>
      </c>
      <c r="O853" s="16"/>
      <c r="P853" s="17">
        <v>40373.73064814815</v>
      </c>
      <c r="Q853" s="10" t="s">
        <v>3868</v>
      </c>
      <c r="R853" s="10" t="s">
        <v>3869</v>
      </c>
      <c r="S853" s="11" t="s">
        <v>3870</v>
      </c>
      <c r="T853" s="13"/>
      <c r="U853" s="18" t="str">
        <f>HYPERLINK("https://pbs.twimg.com/profile_images/1008503665496293376/ph7-H3v-.jpg","View")</f>
        <v>View</v>
      </c>
      <c r="V853" s="13"/>
      <c r="W853" s="13"/>
      <c r="X853" s="13"/>
      <c r="Y853" s="13"/>
      <c r="Z853" s="13"/>
    </row>
    <row r="854">
      <c r="A854" s="8">
        <v>43848.57041666667</v>
      </c>
      <c r="B854" s="9" t="str">
        <f>HYPERLINK("https://twitter.com/WellnessWis","@WellnessWis")</f>
        <v>@WellnessWis</v>
      </c>
      <c r="C854" s="10" t="s">
        <v>3871</v>
      </c>
      <c r="D854" s="10" t="s">
        <v>3872</v>
      </c>
      <c r="E854" s="9" t="str">
        <f>HYPERLINK("https://twitter.com/WellnessWis/status/1218604315620904960","1218604315620904960")</f>
        <v>1218604315620904960</v>
      </c>
      <c r="F854" s="13"/>
      <c r="G854" s="11" t="s">
        <v>3873</v>
      </c>
      <c r="H854" s="13"/>
      <c r="I854" s="14">
        <v>1.0</v>
      </c>
      <c r="J854" s="14">
        <v>2.0</v>
      </c>
      <c r="K854" s="9" t="str">
        <f>HYPERLINK("http://twitter.com/download/android","Twitter for Android")</f>
        <v>Twitter for Android</v>
      </c>
      <c r="L854" s="15">
        <v>16.0</v>
      </c>
      <c r="M854" s="15">
        <v>85.0</v>
      </c>
      <c r="N854" s="15">
        <v>0.0</v>
      </c>
      <c r="O854" s="16"/>
      <c r="P854" s="17">
        <v>43830.55069444445</v>
      </c>
      <c r="Q854" s="13"/>
      <c r="R854" s="10" t="s">
        <v>3874</v>
      </c>
      <c r="S854" s="13"/>
      <c r="T854" s="13"/>
      <c r="U854" s="18" t="str">
        <f>HYPERLINK("https://pbs.twimg.com/profile_images/1212075359635685376/7Ud4asqv.jpg","View")</f>
        <v>View</v>
      </c>
      <c r="V854" s="13"/>
      <c r="W854" s="13"/>
      <c r="X854" s="13"/>
      <c r="Y854" s="13"/>
      <c r="Z854" s="13"/>
    </row>
    <row r="855">
      <c r="A855" s="8">
        <v>43848.56974537037</v>
      </c>
      <c r="B855" s="9" t="str">
        <f>HYPERLINK("https://twitter.com/sheldonbailey","@sheldonbailey")</f>
        <v>@sheldonbailey</v>
      </c>
      <c r="C855" s="10" t="s">
        <v>2110</v>
      </c>
      <c r="D855" s="10" t="s">
        <v>3875</v>
      </c>
      <c r="E855" s="9" t="str">
        <f>HYPERLINK("https://twitter.com/sheldonbailey/status/1218604072766341120","1218604072766341120")</f>
        <v>1218604072766341120</v>
      </c>
      <c r="F855" s="11" t="s">
        <v>3876</v>
      </c>
      <c r="G855" s="13"/>
      <c r="H855" s="13"/>
      <c r="I855" s="14">
        <v>0.0</v>
      </c>
      <c r="J855" s="14">
        <v>2.0</v>
      </c>
      <c r="K855" s="9" t="str">
        <f>HYPERLINK("https://mobile.twitter.com","Twitter Web App")</f>
        <v>Twitter Web App</v>
      </c>
      <c r="L855" s="15">
        <v>1261.0</v>
      </c>
      <c r="M855" s="15">
        <v>1257.0</v>
      </c>
      <c r="N855" s="15">
        <v>28.0</v>
      </c>
      <c r="O855" s="16"/>
      <c r="P855" s="17">
        <v>39743.79922453704</v>
      </c>
      <c r="Q855" s="10" t="s">
        <v>2113</v>
      </c>
      <c r="R855" s="10" t="s">
        <v>2114</v>
      </c>
      <c r="S855" s="13"/>
      <c r="T855" s="13"/>
      <c r="U855" s="18" t="str">
        <f>HYPERLINK("https://pbs.twimg.com/profile_images/1022293945764597760/_UgOTs4N.jpg","View")</f>
        <v>View</v>
      </c>
      <c r="V855" s="13"/>
      <c r="W855" s="13"/>
      <c r="X855" s="13"/>
      <c r="Y855" s="13"/>
      <c r="Z855" s="13"/>
    </row>
    <row r="856">
      <c r="A856" s="8">
        <v>43848.56898148148</v>
      </c>
      <c r="B856" s="9" t="str">
        <f>HYPERLINK("https://twitter.com/say_christina","@say_christina")</f>
        <v>@say_christina</v>
      </c>
      <c r="C856" s="10" t="s">
        <v>3877</v>
      </c>
      <c r="D856" s="10" t="s">
        <v>3878</v>
      </c>
      <c r="E856" s="9" t="str">
        <f>HYPERLINK("https://twitter.com/say_christina/status/1218603796500295680","1218603796500295680")</f>
        <v>1218603796500295680</v>
      </c>
      <c r="F856" s="11" t="s">
        <v>3879</v>
      </c>
      <c r="G856" s="13"/>
      <c r="H856" s="13"/>
      <c r="I856" s="14">
        <v>0.0</v>
      </c>
      <c r="J856" s="14">
        <v>0.0</v>
      </c>
      <c r="K856" s="9" t="str">
        <f>HYPERLINK("http://instagram.com","Instagram")</f>
        <v>Instagram</v>
      </c>
      <c r="L856" s="15">
        <v>256.0</v>
      </c>
      <c r="M856" s="15">
        <v>493.0</v>
      </c>
      <c r="N856" s="15">
        <v>36.0</v>
      </c>
      <c r="O856" s="16"/>
      <c r="P856" s="17">
        <v>40640.96326388889</v>
      </c>
      <c r="Q856" s="10" t="s">
        <v>3880</v>
      </c>
      <c r="R856" s="10" t="s">
        <v>3881</v>
      </c>
      <c r="S856" s="11" t="s">
        <v>3882</v>
      </c>
      <c r="T856" s="13"/>
      <c r="U856" s="18" t="str">
        <f>HYPERLINK("https://pbs.twimg.com/profile_images/940421407409807360/F1qvx1Qb.jpg","View")</f>
        <v>View</v>
      </c>
      <c r="V856" s="13"/>
      <c r="W856" s="13"/>
      <c r="X856" s="13"/>
      <c r="Y856" s="13"/>
      <c r="Z856" s="13"/>
    </row>
    <row r="857">
      <c r="A857" s="8">
        <v>43848.56847222222</v>
      </c>
      <c r="B857" s="9" t="str">
        <f>HYPERLINK("https://twitter.com/jimallthetime","@jimallthetime")</f>
        <v>@jimallthetime</v>
      </c>
      <c r="C857" s="10" t="s">
        <v>3690</v>
      </c>
      <c r="D857" s="10" t="s">
        <v>3883</v>
      </c>
      <c r="E857" s="9" t="str">
        <f>HYPERLINK("https://twitter.com/jimallthetime/status/1218603610684129280","1218603610684129280")</f>
        <v>1218603610684129280</v>
      </c>
      <c r="F857" s="10" t="s">
        <v>3884</v>
      </c>
      <c r="G857" s="13"/>
      <c r="H857" s="13"/>
      <c r="I857" s="14">
        <v>0.0</v>
      </c>
      <c r="J857" s="14">
        <v>1.0</v>
      </c>
      <c r="K857" s="9" t="str">
        <f>HYPERLINK("https://about.twitter.com/products/tweetdeck","TweetDeck")</f>
        <v>TweetDeck</v>
      </c>
      <c r="L857" s="15">
        <v>22697.0</v>
      </c>
      <c r="M857" s="15">
        <v>5770.0</v>
      </c>
      <c r="N857" s="15">
        <v>658.0</v>
      </c>
      <c r="O857" s="16"/>
      <c r="P857" s="17">
        <v>39756.35388888889</v>
      </c>
      <c r="Q857" s="10" t="s">
        <v>3693</v>
      </c>
      <c r="R857" s="10" t="s">
        <v>3694</v>
      </c>
      <c r="S857" s="11" t="s">
        <v>3695</v>
      </c>
      <c r="T857" s="13"/>
      <c r="U857" s="18" t="str">
        <f>HYPERLINK("https://pbs.twimg.com/profile_images/796744281797099520/poECZO92.jpg","View")</f>
        <v>View</v>
      </c>
      <c r="V857" s="13"/>
      <c r="W857" s="13"/>
      <c r="X857" s="13"/>
      <c r="Y857" s="13"/>
      <c r="Z857" s="13"/>
    </row>
    <row r="858">
      <c r="A858" s="8">
        <v>43848.568402777775</v>
      </c>
      <c r="B858" s="9" t="str">
        <f>HYPERLINK("https://twitter.com/laurie_mbassi","@laurie_mbassi")</f>
        <v>@laurie_mbassi</v>
      </c>
      <c r="C858" s="10" t="s">
        <v>3885</v>
      </c>
      <c r="D858" s="10" t="s">
        <v>238</v>
      </c>
      <c r="E858" s="9" t="str">
        <f>HYPERLINK("https://twitter.com/laurie_mbassi/status/1218603589255548928","1218603589255548928")</f>
        <v>1218603589255548928</v>
      </c>
      <c r="F858" s="13"/>
      <c r="G858" s="13"/>
      <c r="H858" s="13"/>
      <c r="I858" s="14">
        <v>0.0</v>
      </c>
      <c r="J858" s="14">
        <v>0.0</v>
      </c>
      <c r="K858" s="9" t="str">
        <f>HYPERLINK("http://twitter.com/download/android","Twitter for Android")</f>
        <v>Twitter for Android</v>
      </c>
      <c r="L858" s="15">
        <v>440.0</v>
      </c>
      <c r="M858" s="15">
        <v>4940.0</v>
      </c>
      <c r="N858" s="15">
        <v>3.0</v>
      </c>
      <c r="O858" s="16"/>
      <c r="P858" s="17">
        <v>41293.19967592593</v>
      </c>
      <c r="Q858" s="10" t="s">
        <v>3886</v>
      </c>
      <c r="R858" s="10" t="s">
        <v>3887</v>
      </c>
      <c r="S858" s="13"/>
      <c r="T858" s="13"/>
      <c r="U858" s="18" t="str">
        <f>HYPERLINK("https://pbs.twimg.com/profile_images/1217653311043723266/dzuzzA6d.jpg","View")</f>
        <v>View</v>
      </c>
      <c r="V858" s="13"/>
      <c r="W858" s="13"/>
      <c r="X858" s="13"/>
      <c r="Y858" s="13"/>
      <c r="Z858" s="13"/>
    </row>
    <row r="859">
      <c r="A859" s="8">
        <v>43848.56800925926</v>
      </c>
      <c r="B859" s="9" t="str">
        <f>HYPERLINK("https://twitter.com/YogaBrum","@YogaBrum")</f>
        <v>@YogaBrum</v>
      </c>
      <c r="C859" s="10" t="s">
        <v>3888</v>
      </c>
      <c r="D859" s="10" t="s">
        <v>3889</v>
      </c>
      <c r="E859" s="9" t="str">
        <f>HYPERLINK("https://twitter.com/YogaBrum/status/1218603446015840265","1218603446015840265")</f>
        <v>1218603446015840265</v>
      </c>
      <c r="F859" s="13"/>
      <c r="G859" s="11" t="s">
        <v>3890</v>
      </c>
      <c r="H859" s="13"/>
      <c r="I859" s="14">
        <v>1.0</v>
      </c>
      <c r="J859" s="14">
        <v>1.0</v>
      </c>
      <c r="K859" s="9" t="str">
        <f>HYPERLINK("http://twitter.com/download/iphone","Twitter for iPhone")</f>
        <v>Twitter for iPhone</v>
      </c>
      <c r="L859" s="15">
        <v>1363.0</v>
      </c>
      <c r="M859" s="15">
        <v>5002.0</v>
      </c>
      <c r="N859" s="15">
        <v>24.0</v>
      </c>
      <c r="O859" s="16"/>
      <c r="P859" s="17">
        <v>41540.47798611111</v>
      </c>
      <c r="Q859" s="10" t="s">
        <v>3891</v>
      </c>
      <c r="R859" s="10" t="s">
        <v>3892</v>
      </c>
      <c r="S859" s="11" t="s">
        <v>3893</v>
      </c>
      <c r="T859" s="13"/>
      <c r="U859" s="18" t="str">
        <f>HYPERLINK("https://pbs.twimg.com/profile_images/1032223150845689856/6CN00WJ_.jpg","View")</f>
        <v>View</v>
      </c>
      <c r="V859" s="13"/>
      <c r="W859" s="13"/>
      <c r="X859" s="13"/>
      <c r="Y859" s="13"/>
      <c r="Z859" s="13"/>
    </row>
    <row r="860">
      <c r="A860" s="8">
        <v>43848.56799768518</v>
      </c>
      <c r="B860" s="9" t="str">
        <f>HYPERLINK("https://twitter.com/Imheret45140132","@Imheret45140132")</f>
        <v>@Imheret45140132</v>
      </c>
      <c r="C860" s="10" t="s">
        <v>828</v>
      </c>
      <c r="D860" s="10" t="s">
        <v>3894</v>
      </c>
      <c r="E860" s="9" t="str">
        <f>HYPERLINK("https://twitter.com/Imheret45140132/status/1218603439409762307","1218603439409762307")</f>
        <v>1218603439409762307</v>
      </c>
      <c r="F860" s="13"/>
      <c r="G860" s="13"/>
      <c r="H860" s="13"/>
      <c r="I860" s="14">
        <v>0.0</v>
      </c>
      <c r="J860" s="14">
        <v>0.0</v>
      </c>
      <c r="K860" s="9" t="str">
        <f>HYPERLINK("https://cheapbotsdonequick.com","Cheap Bots, Done Quick!")</f>
        <v>Cheap Bots, Done Quick!</v>
      </c>
      <c r="L860" s="15">
        <v>14.0</v>
      </c>
      <c r="M860" s="15">
        <v>0.0</v>
      </c>
      <c r="N860" s="15">
        <v>0.0</v>
      </c>
      <c r="O860" s="16"/>
      <c r="P860" s="17">
        <v>43686.97521990741</v>
      </c>
      <c r="Q860" s="13"/>
      <c r="R860" s="10" t="s">
        <v>830</v>
      </c>
      <c r="S860" s="13"/>
      <c r="T860" s="13"/>
      <c r="U860" s="18" t="str">
        <f>HYPERLINK("https://pbs.twimg.com/profile_images/1160030521675722753/4elwdbfT.jpg","View")</f>
        <v>View</v>
      </c>
      <c r="V860" s="13"/>
      <c r="W860" s="13"/>
      <c r="X860" s="13"/>
      <c r="Y860" s="13"/>
      <c r="Z860" s="13"/>
    </row>
    <row r="861">
      <c r="A861" s="8">
        <v>43848.56759259259</v>
      </c>
      <c r="B861" s="9" t="str">
        <f>HYPERLINK("https://twitter.com/blackwell_dgf","@blackwell_dgf")</f>
        <v>@blackwell_dgf</v>
      </c>
      <c r="C861" s="10" t="s">
        <v>3895</v>
      </c>
      <c r="D861" s="10" t="s">
        <v>3896</v>
      </c>
      <c r="E861" s="9" t="str">
        <f>HYPERLINK("https://twitter.com/blackwell_dgf/status/1218603295935168512","1218603295935168512")</f>
        <v>1218603295935168512</v>
      </c>
      <c r="F861" s="13"/>
      <c r="G861" s="13"/>
      <c r="H861" s="13"/>
      <c r="I861" s="14">
        <v>0.0</v>
      </c>
      <c r="J861" s="14">
        <v>4.0</v>
      </c>
      <c r="K861" s="9" t="str">
        <f>HYPERLINK("https://mobile.twitter.com","Twitter Web App")</f>
        <v>Twitter Web App</v>
      </c>
      <c r="L861" s="15">
        <v>5796.0</v>
      </c>
      <c r="M861" s="15">
        <v>6341.0</v>
      </c>
      <c r="N861" s="15">
        <v>60.0</v>
      </c>
      <c r="O861" s="16"/>
      <c r="P861" s="17">
        <v>43741.03864583334</v>
      </c>
      <c r="Q861" s="10" t="s">
        <v>3897</v>
      </c>
      <c r="R861" s="10" t="s">
        <v>3898</v>
      </c>
      <c r="S861" s="11" t="s">
        <v>3899</v>
      </c>
      <c r="T861" s="13"/>
      <c r="U861" s="18" t="str">
        <f>HYPERLINK("https://pbs.twimg.com/profile_images/1199035863876931584/5VETDtz8.jpg","View")</f>
        <v>View</v>
      </c>
      <c r="V861" s="13"/>
      <c r="W861" s="13"/>
      <c r="X861" s="13"/>
      <c r="Y861" s="13"/>
      <c r="Z861" s="13"/>
    </row>
    <row r="862">
      <c r="A862" s="8">
        <v>43848.56736111111</v>
      </c>
      <c r="B862" s="9" t="str">
        <f>HYPERLINK("https://twitter.com/rogerscott","@rogerscott")</f>
        <v>@rogerscott</v>
      </c>
      <c r="C862" s="10" t="s">
        <v>3900</v>
      </c>
      <c r="D862" s="10" t="s">
        <v>3901</v>
      </c>
      <c r="E862" s="9" t="str">
        <f>HYPERLINK("https://twitter.com/rogerscott/status/1218603211306799104","1218603211306799104")</f>
        <v>1218603211306799104</v>
      </c>
      <c r="F862" s="13"/>
      <c r="G862" s="13"/>
      <c r="H862" s="13"/>
      <c r="I862" s="14">
        <v>0.0</v>
      </c>
      <c r="J862" s="14">
        <v>0.0</v>
      </c>
      <c r="K862" s="9" t="str">
        <f>HYPERLINK("https://sproutsocial.com","Sprout Social")</f>
        <v>Sprout Social</v>
      </c>
      <c r="L862" s="15">
        <v>3207.0</v>
      </c>
      <c r="M862" s="15">
        <v>1217.0</v>
      </c>
      <c r="N862" s="15">
        <v>38.0</v>
      </c>
      <c r="O862" s="16"/>
      <c r="P862" s="17">
        <v>39735.16121527778</v>
      </c>
      <c r="Q862" s="10" t="s">
        <v>585</v>
      </c>
      <c r="R862" s="13"/>
      <c r="S862" s="11" t="s">
        <v>3902</v>
      </c>
      <c r="T862" s="13"/>
      <c r="U862" s="18" t="str">
        <f>HYPERLINK("https://pbs.twimg.com/profile_images/378800000204924889/0872f4fc3532b87ca9e3aaf06e44a8a3.png","View")</f>
        <v>View</v>
      </c>
      <c r="V862" s="13"/>
      <c r="W862" s="13"/>
      <c r="X862" s="13"/>
      <c r="Y862" s="13"/>
      <c r="Z862" s="13"/>
    </row>
    <row r="863">
      <c r="A863" s="8">
        <v>43848.567349537036</v>
      </c>
      <c r="B863" s="9" t="str">
        <f>HYPERLINK("https://twitter.com/Thriveworks","@Thriveworks")</f>
        <v>@Thriveworks</v>
      </c>
      <c r="C863" s="10" t="s">
        <v>3903</v>
      </c>
      <c r="D863" s="10" t="s">
        <v>3904</v>
      </c>
      <c r="E863" s="9" t="str">
        <f>HYPERLINK("https://twitter.com/Thriveworks/status/1218603206680498176","1218603206680498176")</f>
        <v>1218603206680498176</v>
      </c>
      <c r="F863" s="11" t="s">
        <v>3905</v>
      </c>
      <c r="G863" s="11" t="s">
        <v>3906</v>
      </c>
      <c r="H863" s="13"/>
      <c r="I863" s="14">
        <v>0.0</v>
      </c>
      <c r="J863" s="14">
        <v>1.0</v>
      </c>
      <c r="K863" s="9" t="str">
        <f>HYPERLINK("https://www.hootsuite.com","Hootsuite Inc.")</f>
        <v>Hootsuite Inc.</v>
      </c>
      <c r="L863" s="15">
        <v>3277.0</v>
      </c>
      <c r="M863" s="15">
        <v>2229.0</v>
      </c>
      <c r="N863" s="15">
        <v>111.0</v>
      </c>
      <c r="O863" s="16"/>
      <c r="P863" s="17">
        <v>39822.45358796296</v>
      </c>
      <c r="Q863" s="10" t="s">
        <v>2190</v>
      </c>
      <c r="R863" s="10" t="s">
        <v>3907</v>
      </c>
      <c r="S863" s="11" t="s">
        <v>3908</v>
      </c>
      <c r="T863" s="13"/>
      <c r="U863" s="18" t="str">
        <f>HYPERLINK("https://pbs.twimg.com/profile_images/442416127088418816/Xyg_4FI1.jpeg","View")</f>
        <v>View</v>
      </c>
      <c r="V863" s="13"/>
      <c r="W863" s="13"/>
      <c r="X863" s="13"/>
      <c r="Y863" s="13"/>
      <c r="Z863" s="13"/>
    </row>
    <row r="864">
      <c r="A864" s="8">
        <v>43848.56726851852</v>
      </c>
      <c r="B864" s="9" t="str">
        <f>HYPERLINK("https://twitter.com/henkwasserman","@henkwasserman")</f>
        <v>@henkwasserman</v>
      </c>
      <c r="C864" s="10" t="s">
        <v>3909</v>
      </c>
      <c r="D864" s="10" t="s">
        <v>238</v>
      </c>
      <c r="E864" s="9" t="str">
        <f>HYPERLINK("https://twitter.com/henkwasserman/status/1218603177097998336","1218603177097998336")</f>
        <v>1218603177097998336</v>
      </c>
      <c r="F864" s="13"/>
      <c r="G864" s="13"/>
      <c r="H864" s="13"/>
      <c r="I864" s="14">
        <v>0.0</v>
      </c>
      <c r="J864" s="14">
        <v>0.0</v>
      </c>
      <c r="K864" s="9" t="str">
        <f t="shared" ref="K864:K865" si="93">HYPERLINK("http://twitter.com/download/iphone","Twitter for iPhone")</f>
        <v>Twitter for iPhone</v>
      </c>
      <c r="L864" s="15">
        <v>28.0</v>
      </c>
      <c r="M864" s="15">
        <v>357.0</v>
      </c>
      <c r="N864" s="15">
        <v>0.0</v>
      </c>
      <c r="O864" s="16"/>
      <c r="P864" s="17">
        <v>39953.23252314815</v>
      </c>
      <c r="Q864" s="10" t="s">
        <v>3910</v>
      </c>
      <c r="R864" s="10" t="s">
        <v>3911</v>
      </c>
      <c r="S864" s="13"/>
      <c r="T864" s="13"/>
      <c r="U864" s="18" t="str">
        <f>HYPERLINK("https://pbs.twimg.com/profile_images/1201813866889568257/YbKl-o5_.jpg","View")</f>
        <v>View</v>
      </c>
      <c r="V864" s="13"/>
      <c r="W864" s="13"/>
      <c r="X864" s="13"/>
      <c r="Y864" s="13"/>
      <c r="Z864" s="13"/>
    </row>
    <row r="865">
      <c r="A865" s="8">
        <v>43848.56675925926</v>
      </c>
      <c r="B865" s="9" t="str">
        <f>HYPERLINK("https://twitter.com/ConnerStrong27","@ConnerStrong27")</f>
        <v>@ConnerStrong27</v>
      </c>
      <c r="C865" s="10" t="s">
        <v>3912</v>
      </c>
      <c r="D865" s="10" t="s">
        <v>3913</v>
      </c>
      <c r="E865" s="9" t="str">
        <f>HYPERLINK("https://twitter.com/ConnerStrong27/status/1218602993232371712","1218602993232371712")</f>
        <v>1218602993232371712</v>
      </c>
      <c r="F865" s="13"/>
      <c r="G865" s="11" t="s">
        <v>3914</v>
      </c>
      <c r="H865" s="13"/>
      <c r="I865" s="14">
        <v>0.0</v>
      </c>
      <c r="J865" s="14">
        <v>1.0</v>
      </c>
      <c r="K865" s="9" t="str">
        <f t="shared" si="93"/>
        <v>Twitter for iPhone</v>
      </c>
      <c r="L865" s="15">
        <v>9.0</v>
      </c>
      <c r="M865" s="15">
        <v>21.0</v>
      </c>
      <c r="N865" s="15">
        <v>0.0</v>
      </c>
      <c r="O865" s="16"/>
      <c r="P865" s="17">
        <v>43199.41302083334</v>
      </c>
      <c r="Q865" s="10" t="s">
        <v>3915</v>
      </c>
      <c r="R865" s="10" t="s">
        <v>3916</v>
      </c>
      <c r="S865" s="11" t="s">
        <v>3917</v>
      </c>
      <c r="T865" s="13"/>
      <c r="U865" s="18" t="str">
        <f>HYPERLINK("https://pbs.twimg.com/profile_images/1197313578640068608/hZ5W-Zrn.jpg","View")</f>
        <v>View</v>
      </c>
      <c r="V865" s="13"/>
      <c r="W865" s="13"/>
      <c r="X865" s="13"/>
      <c r="Y865" s="13"/>
      <c r="Z865" s="13"/>
    </row>
    <row r="866">
      <c r="A866" s="8">
        <v>43848.56626157407</v>
      </c>
      <c r="B866" s="9" t="str">
        <f>HYPERLINK("https://twitter.com/katiephalange","@katiephalange")</f>
        <v>@katiephalange</v>
      </c>
      <c r="C866" s="10" t="s">
        <v>667</v>
      </c>
      <c r="D866" s="10" t="s">
        <v>3918</v>
      </c>
      <c r="E866" s="9" t="str">
        <f>HYPERLINK("https://twitter.com/katiephalange/status/1218602812420108288","1218602812420108288")</f>
        <v>1218602812420108288</v>
      </c>
      <c r="F866" s="11" t="s">
        <v>3919</v>
      </c>
      <c r="G866" s="13"/>
      <c r="H866" s="13"/>
      <c r="I866" s="14">
        <v>0.0</v>
      </c>
      <c r="J866" s="14">
        <v>0.0</v>
      </c>
      <c r="K866" s="9" t="str">
        <f>HYPERLINK("http://publicize.wp.com/","WordPress.com")</f>
        <v>WordPress.com</v>
      </c>
      <c r="L866" s="15">
        <v>62.0</v>
      </c>
      <c r="M866" s="15">
        <v>358.0</v>
      </c>
      <c r="N866" s="15">
        <v>3.0</v>
      </c>
      <c r="O866" s="16"/>
      <c r="P866" s="17">
        <v>42021.7821412037</v>
      </c>
      <c r="Q866" s="10" t="s">
        <v>954</v>
      </c>
      <c r="R866" s="10" t="s">
        <v>3920</v>
      </c>
      <c r="S866" s="13"/>
      <c r="T866" s="13"/>
      <c r="U866" s="18" t="str">
        <f>HYPERLINK("https://pbs.twimg.com/profile_images/904118832779821056/HsGZupvP.jpg","View")</f>
        <v>View</v>
      </c>
      <c r="V866" s="13"/>
      <c r="W866" s="13"/>
      <c r="X866" s="13"/>
      <c r="Y866" s="13"/>
      <c r="Z866" s="13"/>
    </row>
    <row r="867">
      <c r="A867" s="8">
        <v>43848.566030092596</v>
      </c>
      <c r="B867" s="9" t="str">
        <f>HYPERLINK("https://twitter.com/ivish_l","@ivish_l")</f>
        <v>@ivish_l</v>
      </c>
      <c r="C867" s="10" t="s">
        <v>3921</v>
      </c>
      <c r="D867" s="10" t="s">
        <v>238</v>
      </c>
      <c r="E867" s="9" t="str">
        <f>HYPERLINK("https://twitter.com/ivish_l/status/1218602729708240896","1218602729708240896")</f>
        <v>1218602729708240896</v>
      </c>
      <c r="F867" s="13"/>
      <c r="G867" s="13"/>
      <c r="H867" s="13"/>
      <c r="I867" s="14">
        <v>0.0</v>
      </c>
      <c r="J867" s="14">
        <v>0.0</v>
      </c>
      <c r="K867" s="9" t="str">
        <f t="shared" ref="K867:K868" si="94">HYPERLINK("http://twitter.com/download/android","Twitter for Android")</f>
        <v>Twitter for Android</v>
      </c>
      <c r="L867" s="15">
        <v>18.0</v>
      </c>
      <c r="M867" s="15">
        <v>303.0</v>
      </c>
      <c r="N867" s="15">
        <v>0.0</v>
      </c>
      <c r="O867" s="16"/>
      <c r="P867" s="17">
        <v>43251.38737268519</v>
      </c>
      <c r="Q867" s="13"/>
      <c r="R867" s="13"/>
      <c r="S867" s="13"/>
      <c r="T867" s="13"/>
      <c r="U867" s="18" t="str">
        <f>HYPERLINK("https://pbs.twimg.com/profile_images/1002600858989813761/TIFCImrm.jpg","View")</f>
        <v>View</v>
      </c>
      <c r="V867" s="13"/>
      <c r="W867" s="13"/>
      <c r="X867" s="13"/>
      <c r="Y867" s="13"/>
      <c r="Z867" s="13"/>
    </row>
    <row r="868">
      <c r="A868" s="8">
        <v>43848.56581018519</v>
      </c>
      <c r="B868" s="9" t="str">
        <f>HYPERLINK("https://twitter.com/jrmydklnhns","@jrmydklnhns")</f>
        <v>@jrmydklnhns</v>
      </c>
      <c r="C868" s="10" t="s">
        <v>3922</v>
      </c>
      <c r="D868" s="10" t="s">
        <v>3923</v>
      </c>
      <c r="E868" s="9" t="str">
        <f>HYPERLINK("https://twitter.com/jrmydklnhns/status/1218602646640168966","1218602646640168966")</f>
        <v>1218602646640168966</v>
      </c>
      <c r="F868" s="11" t="s">
        <v>3924</v>
      </c>
      <c r="G868" s="13"/>
      <c r="H868" s="13"/>
      <c r="I868" s="14">
        <v>0.0</v>
      </c>
      <c r="J868" s="14">
        <v>1.0</v>
      </c>
      <c r="K868" s="9" t="str">
        <f t="shared" si="94"/>
        <v>Twitter for Android</v>
      </c>
      <c r="L868" s="15">
        <v>685.0</v>
      </c>
      <c r="M868" s="15">
        <v>1372.0</v>
      </c>
      <c r="N868" s="15">
        <v>5.0</v>
      </c>
      <c r="O868" s="16"/>
      <c r="P868" s="17">
        <v>42994.98422453704</v>
      </c>
      <c r="Q868" s="10" t="s">
        <v>3925</v>
      </c>
      <c r="R868" s="10" t="s">
        <v>3926</v>
      </c>
      <c r="S868" s="11" t="s">
        <v>3927</v>
      </c>
      <c r="T868" s="13"/>
      <c r="U868" s="18" t="str">
        <f>HYPERLINK("https://pbs.twimg.com/profile_images/1189200226231422976/91HFmnE2.jpg","View")</f>
        <v>View</v>
      </c>
      <c r="V868" s="13"/>
      <c r="W868" s="13"/>
      <c r="X868" s="13"/>
      <c r="Y868" s="13"/>
      <c r="Z868" s="13"/>
    </row>
    <row r="869">
      <c r="A869" s="8">
        <v>43848.56574074074</v>
      </c>
      <c r="B869" s="9" t="str">
        <f>HYPERLINK("https://twitter.com/socalpapillon","@socalpapillon")</f>
        <v>@socalpapillon</v>
      </c>
      <c r="C869" s="10" t="s">
        <v>3928</v>
      </c>
      <c r="D869" s="10" t="s">
        <v>3929</v>
      </c>
      <c r="E869" s="9" t="str">
        <f>HYPERLINK("https://twitter.com/socalpapillon/status/1218602622208421888","1218602622208421888")</f>
        <v>1218602622208421888</v>
      </c>
      <c r="F869" s="11" t="s">
        <v>3930</v>
      </c>
      <c r="G869" s="13"/>
      <c r="H869" s="13"/>
      <c r="I869" s="14">
        <v>0.0</v>
      </c>
      <c r="J869" s="14">
        <v>0.0</v>
      </c>
      <c r="K869" s="9" t="str">
        <f>HYPERLINK("http://instagram.com","Instagram")</f>
        <v>Instagram</v>
      </c>
      <c r="L869" s="15">
        <v>41.0</v>
      </c>
      <c r="M869" s="15">
        <v>259.0</v>
      </c>
      <c r="N869" s="15">
        <v>2.0</v>
      </c>
      <c r="O869" s="16"/>
      <c r="P869" s="17">
        <v>41987.64388888889</v>
      </c>
      <c r="Q869" s="13"/>
      <c r="R869" s="10" t="s">
        <v>3931</v>
      </c>
      <c r="S869" s="13"/>
      <c r="T869" s="13"/>
      <c r="U869" s="18" t="str">
        <f>HYPERLINK("https://pbs.twimg.com/profile_images/659795289079808000/W4YhlaUg.jpg","View")</f>
        <v>View</v>
      </c>
      <c r="V869" s="13"/>
      <c r="W869" s="13"/>
      <c r="X869" s="13"/>
      <c r="Y869" s="13"/>
      <c r="Z869" s="13"/>
    </row>
    <row r="870">
      <c r="A870" s="8">
        <v>43848.56570601852</v>
      </c>
      <c r="B870" s="9" t="str">
        <f t="shared" ref="B870:B872" si="95">HYPERLINK("https://twitter.com/paddy_stan","@paddy_stan")</f>
        <v>@paddy_stan</v>
      </c>
      <c r="C870" s="10" t="s">
        <v>3932</v>
      </c>
      <c r="D870" s="10" t="s">
        <v>3933</v>
      </c>
      <c r="E870" s="9" t="str">
        <f>HYPERLINK("https://twitter.com/paddy_stan/status/1218602609151500291","1218602609151500291")</f>
        <v>1218602609151500291</v>
      </c>
      <c r="F870" s="11" t="s">
        <v>3934</v>
      </c>
      <c r="G870" s="13"/>
      <c r="H870" s="13"/>
      <c r="I870" s="14">
        <v>1.0</v>
      </c>
      <c r="J870" s="14">
        <v>1.0</v>
      </c>
      <c r="K870" s="9" t="str">
        <f t="shared" ref="K870:K872" si="96">HYPERLINK("https://bitly.com/","Bitly")</f>
        <v>Bitly</v>
      </c>
      <c r="L870" s="15">
        <v>256.0</v>
      </c>
      <c r="M870" s="15">
        <v>170.0</v>
      </c>
      <c r="N870" s="15">
        <v>4.0</v>
      </c>
      <c r="O870" s="16"/>
      <c r="P870" s="17">
        <v>40298.2593287037</v>
      </c>
      <c r="Q870" s="10" t="s">
        <v>3935</v>
      </c>
      <c r="R870" s="10" t="s">
        <v>3936</v>
      </c>
      <c r="S870" s="11" t="s">
        <v>3937</v>
      </c>
      <c r="T870" s="13"/>
      <c r="U870" s="18" t="str">
        <f t="shared" ref="U870:U872" si="97">HYPERLINK("https://pbs.twimg.com/profile_images/1131186189015363584/vM_GiNC5.png","View")</f>
        <v>View</v>
      </c>
      <c r="V870" s="13"/>
      <c r="W870" s="13"/>
      <c r="X870" s="13"/>
      <c r="Y870" s="13"/>
      <c r="Z870" s="13"/>
    </row>
    <row r="871">
      <c r="A871" s="8">
        <v>43848.565416666665</v>
      </c>
      <c r="B871" s="9" t="str">
        <f t="shared" si="95"/>
        <v>@paddy_stan</v>
      </c>
      <c r="C871" s="10" t="s">
        <v>3932</v>
      </c>
      <c r="D871" s="10" t="s">
        <v>3938</v>
      </c>
      <c r="E871" s="9" t="str">
        <f>HYPERLINK("https://twitter.com/paddy_stan/status/1218602505350918149","1218602505350918149")</f>
        <v>1218602505350918149</v>
      </c>
      <c r="F871" s="11" t="s">
        <v>3939</v>
      </c>
      <c r="G871" s="13"/>
      <c r="H871" s="13"/>
      <c r="I871" s="14">
        <v>1.0</v>
      </c>
      <c r="J871" s="14">
        <v>1.0</v>
      </c>
      <c r="K871" s="9" t="str">
        <f t="shared" si="96"/>
        <v>Bitly</v>
      </c>
      <c r="L871" s="15">
        <v>256.0</v>
      </c>
      <c r="M871" s="15">
        <v>170.0</v>
      </c>
      <c r="N871" s="15">
        <v>4.0</v>
      </c>
      <c r="O871" s="16"/>
      <c r="P871" s="17">
        <v>40298.2593287037</v>
      </c>
      <c r="Q871" s="10" t="s">
        <v>3935</v>
      </c>
      <c r="R871" s="10" t="s">
        <v>3936</v>
      </c>
      <c r="S871" s="11" t="s">
        <v>3937</v>
      </c>
      <c r="T871" s="13"/>
      <c r="U871" s="18" t="str">
        <f t="shared" si="97"/>
        <v>View</v>
      </c>
      <c r="V871" s="13"/>
      <c r="W871" s="13"/>
      <c r="X871" s="13"/>
      <c r="Y871" s="13"/>
      <c r="Z871" s="13"/>
    </row>
    <row r="872">
      <c r="A872" s="8">
        <v>43848.56512731481</v>
      </c>
      <c r="B872" s="9" t="str">
        <f t="shared" si="95"/>
        <v>@paddy_stan</v>
      </c>
      <c r="C872" s="10" t="s">
        <v>3932</v>
      </c>
      <c r="D872" s="10" t="s">
        <v>3940</v>
      </c>
      <c r="E872" s="9" t="str">
        <f>HYPERLINK("https://twitter.com/paddy_stan/status/1218602401533431808","1218602401533431808")</f>
        <v>1218602401533431808</v>
      </c>
      <c r="F872" s="11" t="s">
        <v>3941</v>
      </c>
      <c r="G872" s="13"/>
      <c r="H872" s="13"/>
      <c r="I872" s="14">
        <v>1.0</v>
      </c>
      <c r="J872" s="14">
        <v>1.0</v>
      </c>
      <c r="K872" s="9" t="str">
        <f t="shared" si="96"/>
        <v>Bitly</v>
      </c>
      <c r="L872" s="15">
        <v>256.0</v>
      </c>
      <c r="M872" s="15">
        <v>170.0</v>
      </c>
      <c r="N872" s="15">
        <v>4.0</v>
      </c>
      <c r="O872" s="16"/>
      <c r="P872" s="17">
        <v>40298.2593287037</v>
      </c>
      <c r="Q872" s="10" t="s">
        <v>3935</v>
      </c>
      <c r="R872" s="10" t="s">
        <v>3936</v>
      </c>
      <c r="S872" s="11" t="s">
        <v>3937</v>
      </c>
      <c r="T872" s="13"/>
      <c r="U872" s="18" t="str">
        <f t="shared" si="97"/>
        <v>View</v>
      </c>
      <c r="V872" s="13"/>
      <c r="W872" s="13"/>
      <c r="X872" s="13"/>
      <c r="Y872" s="13"/>
      <c r="Z872" s="13"/>
    </row>
    <row r="873">
      <c r="A873" s="8">
        <v>43848.56511574074</v>
      </c>
      <c r="B873" s="9" t="str">
        <f>HYPERLINK("https://twitter.com/StaceyBingLtd","@StaceyBingLtd")</f>
        <v>@StaceyBingLtd</v>
      </c>
      <c r="C873" s="10" t="s">
        <v>3942</v>
      </c>
      <c r="D873" s="10" t="s">
        <v>3943</v>
      </c>
      <c r="E873" s="9" t="str">
        <f>HYPERLINK("https://twitter.com/StaceyBingLtd/status/1218602395225219073","1218602395225219073")</f>
        <v>1218602395225219073</v>
      </c>
      <c r="F873" s="11" t="s">
        <v>3944</v>
      </c>
      <c r="G873" s="13"/>
      <c r="H873" s="13"/>
      <c r="I873" s="14">
        <v>0.0</v>
      </c>
      <c r="J873" s="14">
        <v>0.0</v>
      </c>
      <c r="K873" s="9" t="str">
        <f>HYPERLINK("https://mobile.twitter.com","Twitter Web App")</f>
        <v>Twitter Web App</v>
      </c>
      <c r="L873" s="15">
        <v>320.0</v>
      </c>
      <c r="M873" s="15">
        <v>1133.0</v>
      </c>
      <c r="N873" s="15">
        <v>1.0</v>
      </c>
      <c r="O873" s="16"/>
      <c r="P873" s="17">
        <v>43556.586064814815</v>
      </c>
      <c r="Q873" s="13"/>
      <c r="R873" s="10" t="s">
        <v>3945</v>
      </c>
      <c r="S873" s="11" t="s">
        <v>3946</v>
      </c>
      <c r="T873" s="13"/>
      <c r="U873" s="18" t="str">
        <f>HYPERLINK("https://pbs.twimg.com/profile_images/1115642345322614784/vvGK5Lwh.png","View")</f>
        <v>View</v>
      </c>
      <c r="V873" s="13"/>
      <c r="W873" s="13"/>
      <c r="X873" s="13"/>
      <c r="Y873" s="13"/>
      <c r="Z873" s="13"/>
    </row>
    <row r="874">
      <c r="A874" s="8">
        <v>43848.564930555556</v>
      </c>
      <c r="B874" s="9" t="str">
        <f>HYPERLINK("https://twitter.com/Pandas_uk","@Pandas_uk")</f>
        <v>@Pandas_uk</v>
      </c>
      <c r="C874" s="10" t="s">
        <v>3947</v>
      </c>
      <c r="D874" s="10" t="s">
        <v>3948</v>
      </c>
      <c r="E874" s="9" t="str">
        <f>HYPERLINK("https://twitter.com/Pandas_uk/status/1218602329882222593","1218602329882222593")</f>
        <v>1218602329882222593</v>
      </c>
      <c r="F874" s="13"/>
      <c r="G874" s="11" t="s">
        <v>3949</v>
      </c>
      <c r="H874" s="13"/>
      <c r="I874" s="14">
        <v>3.0</v>
      </c>
      <c r="J874" s="14">
        <v>6.0</v>
      </c>
      <c r="K874" s="9" t="str">
        <f>HYPERLINK("http://twitter.com/download/android","Twitter for Android")</f>
        <v>Twitter for Android</v>
      </c>
      <c r="L874" s="15">
        <v>7917.0</v>
      </c>
      <c r="M874" s="15">
        <v>2458.0</v>
      </c>
      <c r="N874" s="15">
        <v>142.0</v>
      </c>
      <c r="O874" s="16"/>
      <c r="P874" s="17">
        <v>40725.34432870371</v>
      </c>
      <c r="Q874" s="10" t="s">
        <v>2323</v>
      </c>
      <c r="R874" s="10" t="s">
        <v>3950</v>
      </c>
      <c r="S874" s="11" t="s">
        <v>3951</v>
      </c>
      <c r="T874" s="13"/>
      <c r="U874" s="18" t="str">
        <f>HYPERLINK("https://pbs.twimg.com/profile_images/1093427397536464896/lkD3OEV7.jpg","View")</f>
        <v>View</v>
      </c>
      <c r="V874" s="13"/>
      <c r="W874" s="13"/>
      <c r="X874" s="13"/>
      <c r="Y874" s="13"/>
      <c r="Z874" s="13"/>
    </row>
    <row r="875">
      <c r="A875" s="8">
        <v>43848.564837962964</v>
      </c>
      <c r="B875" s="9" t="str">
        <f t="shared" ref="B875:B876" si="98">HYPERLINK("https://twitter.com/paddy_stan","@paddy_stan")</f>
        <v>@paddy_stan</v>
      </c>
      <c r="C875" s="10" t="s">
        <v>3932</v>
      </c>
      <c r="D875" s="10" t="s">
        <v>3952</v>
      </c>
      <c r="E875" s="9" t="str">
        <f>HYPERLINK("https://twitter.com/paddy_stan/status/1218602297544126464","1218602297544126464")</f>
        <v>1218602297544126464</v>
      </c>
      <c r="F875" s="11" t="s">
        <v>3953</v>
      </c>
      <c r="G875" s="13"/>
      <c r="H875" s="13"/>
      <c r="I875" s="14">
        <v>1.0</v>
      </c>
      <c r="J875" s="14">
        <v>1.0</v>
      </c>
      <c r="K875" s="9" t="str">
        <f t="shared" ref="K875:K876" si="99">HYPERLINK("https://bitly.com/","Bitly")</f>
        <v>Bitly</v>
      </c>
      <c r="L875" s="15">
        <v>256.0</v>
      </c>
      <c r="M875" s="15">
        <v>170.0</v>
      </c>
      <c r="N875" s="15">
        <v>4.0</v>
      </c>
      <c r="O875" s="16"/>
      <c r="P875" s="17">
        <v>40298.2593287037</v>
      </c>
      <c r="Q875" s="10" t="s">
        <v>3935</v>
      </c>
      <c r="R875" s="10" t="s">
        <v>3936</v>
      </c>
      <c r="S875" s="11" t="s">
        <v>3937</v>
      </c>
      <c r="T875" s="13"/>
      <c r="U875" s="18" t="str">
        <f t="shared" ref="U875:U876" si="100">HYPERLINK("https://pbs.twimg.com/profile_images/1131186189015363584/vM_GiNC5.png","View")</f>
        <v>View</v>
      </c>
      <c r="V875" s="13"/>
      <c r="W875" s="13"/>
      <c r="X875" s="13"/>
      <c r="Y875" s="13"/>
      <c r="Z875" s="13"/>
    </row>
    <row r="876">
      <c r="A876" s="8">
        <v>43848.56458333333</v>
      </c>
      <c r="B876" s="9" t="str">
        <f t="shared" si="98"/>
        <v>@paddy_stan</v>
      </c>
      <c r="C876" s="10" t="s">
        <v>3932</v>
      </c>
      <c r="D876" s="10" t="s">
        <v>3954</v>
      </c>
      <c r="E876" s="9" t="str">
        <f>HYPERLINK("https://twitter.com/paddy_stan/status/1218602204673777671","1218602204673777671")</f>
        <v>1218602204673777671</v>
      </c>
      <c r="F876" s="11" t="s">
        <v>3955</v>
      </c>
      <c r="G876" s="13"/>
      <c r="H876" s="13"/>
      <c r="I876" s="14">
        <v>1.0</v>
      </c>
      <c r="J876" s="14">
        <v>2.0</v>
      </c>
      <c r="K876" s="9" t="str">
        <f t="shared" si="99"/>
        <v>Bitly</v>
      </c>
      <c r="L876" s="15">
        <v>256.0</v>
      </c>
      <c r="M876" s="15">
        <v>170.0</v>
      </c>
      <c r="N876" s="15">
        <v>4.0</v>
      </c>
      <c r="O876" s="16"/>
      <c r="P876" s="17">
        <v>40298.2593287037</v>
      </c>
      <c r="Q876" s="10" t="s">
        <v>3935</v>
      </c>
      <c r="R876" s="10" t="s">
        <v>3936</v>
      </c>
      <c r="S876" s="11" t="s">
        <v>3937</v>
      </c>
      <c r="T876" s="13"/>
      <c r="U876" s="18" t="str">
        <f t="shared" si="100"/>
        <v>View</v>
      </c>
      <c r="V876" s="13"/>
      <c r="W876" s="13"/>
      <c r="X876" s="13"/>
      <c r="Y876" s="13"/>
      <c r="Z876" s="13"/>
    </row>
    <row r="877">
      <c r="A877" s="8">
        <v>43848.56408564815</v>
      </c>
      <c r="B877" s="9" t="str">
        <f>HYPERLINK("https://twitter.com/HarnessMag","@HarnessMag")</f>
        <v>@HarnessMag</v>
      </c>
      <c r="C877" s="10" t="s">
        <v>391</v>
      </c>
      <c r="D877" s="10" t="s">
        <v>3956</v>
      </c>
      <c r="E877" s="9" t="str">
        <f>HYPERLINK("https://twitter.com/HarnessMag/status/1218602022100000776","1218602022100000776")</f>
        <v>1218602022100000776</v>
      </c>
      <c r="F877" s="11" t="s">
        <v>3957</v>
      </c>
      <c r="G877" s="13"/>
      <c r="H877" s="13"/>
      <c r="I877" s="14">
        <v>1.0</v>
      </c>
      <c r="J877" s="14">
        <v>0.0</v>
      </c>
      <c r="K877" s="9" t="str">
        <f>HYPERLINK("https://mobile.twitter.com","Twitter Web App")</f>
        <v>Twitter Web App</v>
      </c>
      <c r="L877" s="15">
        <v>954.0</v>
      </c>
      <c r="M877" s="15">
        <v>2132.0</v>
      </c>
      <c r="N877" s="15">
        <v>12.0</v>
      </c>
      <c r="O877" s="16"/>
      <c r="P877" s="17">
        <v>42611.40864583333</v>
      </c>
      <c r="Q877" s="10" t="s">
        <v>394</v>
      </c>
      <c r="R877" s="10" t="s">
        <v>395</v>
      </c>
      <c r="S877" s="11" t="s">
        <v>396</v>
      </c>
      <c r="T877" s="13"/>
      <c r="U877" s="18" t="str">
        <f>HYPERLINK("https://pbs.twimg.com/profile_images/1196984170137968647/TytkdtMz.jpg","View")</f>
        <v>View</v>
      </c>
      <c r="V877" s="13"/>
      <c r="W877" s="13"/>
      <c r="X877" s="13"/>
      <c r="Y877" s="13"/>
      <c r="Z877" s="13"/>
    </row>
    <row r="878">
      <c r="A878" s="8">
        <v>43848.563796296294</v>
      </c>
      <c r="B878" s="9" t="str">
        <f>HYPERLINK("https://twitter.com/Katie03599244","@Katie03599244")</f>
        <v>@Katie03599244</v>
      </c>
      <c r="C878" s="10" t="s">
        <v>667</v>
      </c>
      <c r="D878" s="10" t="s">
        <v>3958</v>
      </c>
      <c r="E878" s="9" t="str">
        <f>HYPERLINK("https://twitter.com/Katie03599244/status/1218601917196259330","1218601917196259330")</f>
        <v>1218601917196259330</v>
      </c>
      <c r="F878" s="13"/>
      <c r="G878" s="13"/>
      <c r="H878" s="13"/>
      <c r="I878" s="14">
        <v>0.0</v>
      </c>
      <c r="J878" s="14">
        <v>0.0</v>
      </c>
      <c r="K878" s="9" t="str">
        <f>HYPERLINK("http://twitter.com/download/android","Twitter for Android")</f>
        <v>Twitter for Android</v>
      </c>
      <c r="L878" s="15">
        <v>2.0</v>
      </c>
      <c r="M878" s="15">
        <v>9.0</v>
      </c>
      <c r="N878" s="15">
        <v>0.0</v>
      </c>
      <c r="O878" s="16"/>
      <c r="P878" s="17">
        <v>43846.71482638889</v>
      </c>
      <c r="Q878" s="10" t="s">
        <v>3079</v>
      </c>
      <c r="R878" s="10" t="s">
        <v>3959</v>
      </c>
      <c r="S878" s="13"/>
      <c r="T878" s="13"/>
      <c r="U878" s="18" t="str">
        <f>HYPERLINK("https://pbs.twimg.com/profile_images/1217933676119457792/tjPcUWa7.jpg","View")</f>
        <v>View</v>
      </c>
      <c r="V878" s="13"/>
      <c r="W878" s="13"/>
      <c r="X878" s="13"/>
      <c r="Y878" s="13"/>
      <c r="Z878" s="13"/>
    </row>
    <row r="879">
      <c r="A879" s="8">
        <v>43848.56321759259</v>
      </c>
      <c r="B879" s="9" t="str">
        <f>HYPERLINK("https://twitter.com/DrMarshaTweets","@DrMarshaTweets")</f>
        <v>@DrMarshaTweets</v>
      </c>
      <c r="C879" s="10" t="s">
        <v>3960</v>
      </c>
      <c r="D879" s="10" t="s">
        <v>3961</v>
      </c>
      <c r="E879" s="9" t="str">
        <f>HYPERLINK("https://twitter.com/DrMarshaTweets/status/1218601708248608772","1218601708248608772")</f>
        <v>1218601708248608772</v>
      </c>
      <c r="F879" s="11" t="s">
        <v>3962</v>
      </c>
      <c r="G879" s="11" t="s">
        <v>3963</v>
      </c>
      <c r="H879" s="13"/>
      <c r="I879" s="14">
        <v>0.0</v>
      </c>
      <c r="J879" s="14">
        <v>1.0</v>
      </c>
      <c r="K879" s="9" t="str">
        <f>HYPERLINK("https://buffer.com","Buffer")</f>
        <v>Buffer</v>
      </c>
      <c r="L879" s="15">
        <v>2231.0</v>
      </c>
      <c r="M879" s="15">
        <v>2662.0</v>
      </c>
      <c r="N879" s="15">
        <v>73.0</v>
      </c>
      <c r="O879" s="16"/>
      <c r="P879" s="17">
        <v>39989.02297453704</v>
      </c>
      <c r="Q879" s="10" t="s">
        <v>3964</v>
      </c>
      <c r="R879" s="10" t="s">
        <v>3965</v>
      </c>
      <c r="S879" s="11" t="s">
        <v>3966</v>
      </c>
      <c r="T879" s="13"/>
      <c r="U879" s="18" t="str">
        <f>HYPERLINK("https://pbs.twimg.com/profile_images/2869137851/bd84fdb80d9dcb074ad280554662da06.png","View")</f>
        <v>View</v>
      </c>
      <c r="V879" s="13"/>
      <c r="W879" s="13"/>
      <c r="X879" s="13"/>
      <c r="Y879" s="13"/>
      <c r="Z879" s="13"/>
    </row>
    <row r="880">
      <c r="A880" s="8">
        <v>43848.563055555554</v>
      </c>
      <c r="B880" s="9" t="str">
        <f>HYPERLINK("https://twitter.com/thetechsurgeon","@thetechsurgeon")</f>
        <v>@thetechsurgeon</v>
      </c>
      <c r="C880" s="10" t="s">
        <v>3967</v>
      </c>
      <c r="D880" s="10" t="s">
        <v>3968</v>
      </c>
      <c r="E880" s="9" t="str">
        <f>HYPERLINK("https://twitter.com/thetechsurgeon/status/1218601651021537280","1218601651021537280")</f>
        <v>1218601651021537280</v>
      </c>
      <c r="F880" s="13"/>
      <c r="G880" s="13"/>
      <c r="H880" s="13"/>
      <c r="I880" s="14">
        <v>0.0</v>
      </c>
      <c r="J880" s="14">
        <v>3.0</v>
      </c>
      <c r="K880" s="9" t="str">
        <f>HYPERLINK("https://restream.io/","Restream.io")</f>
        <v>Restream.io</v>
      </c>
      <c r="L880" s="15">
        <v>89.0</v>
      </c>
      <c r="M880" s="15">
        <v>135.0</v>
      </c>
      <c r="N880" s="15">
        <v>1.0</v>
      </c>
      <c r="O880" s="16"/>
      <c r="P880" s="17">
        <v>43576.29523148148</v>
      </c>
      <c r="Q880" s="10" t="s">
        <v>3969</v>
      </c>
      <c r="R880" s="10" t="s">
        <v>3970</v>
      </c>
      <c r="S880" s="13"/>
      <c r="T880" s="13"/>
      <c r="U880" s="18" t="str">
        <f>HYPERLINK("https://pbs.twimg.com/profile_images/1170314833314680836/rIKSeVFX.jpg","View")</f>
        <v>View</v>
      </c>
      <c r="V880" s="13"/>
      <c r="W880" s="13"/>
      <c r="X880" s="13"/>
      <c r="Y880" s="13"/>
      <c r="Z880" s="13"/>
    </row>
    <row r="881">
      <c r="A881" s="8">
        <v>43848.563055555554</v>
      </c>
      <c r="B881" s="9" t="str">
        <f>HYPERLINK("https://twitter.com/gerrinnesmac","@gerrinnesmac")</f>
        <v>@gerrinnesmac</v>
      </c>
      <c r="C881" s="10" t="s">
        <v>3971</v>
      </c>
      <c r="D881" s="10" t="s">
        <v>3972</v>
      </c>
      <c r="E881" s="9" t="str">
        <f>HYPERLINK("https://twitter.com/gerrinnesmac/status/1218601650790785024","1218601650790785024")</f>
        <v>1218601650790785024</v>
      </c>
      <c r="F881" s="11" t="s">
        <v>3973</v>
      </c>
      <c r="G881" s="11" t="s">
        <v>3974</v>
      </c>
      <c r="H881" s="13"/>
      <c r="I881" s="14">
        <v>2.0</v>
      </c>
      <c r="J881" s="14">
        <v>1.0</v>
      </c>
      <c r="K881" s="9" t="str">
        <f t="shared" ref="K881:K882" si="101">HYPERLINK("http://twitter.com/download/iphone","Twitter for iPhone")</f>
        <v>Twitter for iPhone</v>
      </c>
      <c r="L881" s="15">
        <v>16131.0</v>
      </c>
      <c r="M881" s="15">
        <v>14826.0</v>
      </c>
      <c r="N881" s="15">
        <v>87.0</v>
      </c>
      <c r="O881" s="16"/>
      <c r="P881" s="17">
        <v>40645.96525462963</v>
      </c>
      <c r="Q881" s="10" t="s">
        <v>3975</v>
      </c>
      <c r="R881" s="10" t="s">
        <v>3976</v>
      </c>
      <c r="S881" s="13"/>
      <c r="T881" s="13"/>
      <c r="U881" s="18" t="str">
        <f>HYPERLINK("https://pbs.twimg.com/profile_images/767446927440961536/424waAOM.jpg","View")</f>
        <v>View</v>
      </c>
      <c r="V881" s="13"/>
      <c r="W881" s="13"/>
      <c r="X881" s="13"/>
      <c r="Y881" s="13"/>
      <c r="Z881" s="13"/>
    </row>
    <row r="882">
      <c r="A882" s="8">
        <v>43848.562939814816</v>
      </c>
      <c r="B882" s="9" t="str">
        <f>HYPERLINK("https://twitter.com/astrisoeparyono","@astrisoeparyono")</f>
        <v>@astrisoeparyono</v>
      </c>
      <c r="C882" s="10" t="s">
        <v>3977</v>
      </c>
      <c r="D882" s="10" t="s">
        <v>3978</v>
      </c>
      <c r="E882" s="9" t="str">
        <f>HYPERLINK("https://twitter.com/astrisoeparyono/status/1218601605798301696","1218601605798301696")</f>
        <v>1218601605798301696</v>
      </c>
      <c r="F882" s="13"/>
      <c r="G882" s="13"/>
      <c r="H882" s="13"/>
      <c r="I882" s="14">
        <v>0.0</v>
      </c>
      <c r="J882" s="14">
        <v>0.0</v>
      </c>
      <c r="K882" s="9" t="str">
        <f t="shared" si="101"/>
        <v>Twitter for iPhone</v>
      </c>
      <c r="L882" s="15">
        <v>909.0</v>
      </c>
      <c r="M882" s="15">
        <v>322.0</v>
      </c>
      <c r="N882" s="15">
        <v>18.0</v>
      </c>
      <c r="O882" s="16"/>
      <c r="P882" s="17">
        <v>39701.43892361111</v>
      </c>
      <c r="Q882" s="10" t="s">
        <v>3979</v>
      </c>
      <c r="R882" s="10" t="s">
        <v>3980</v>
      </c>
      <c r="S882" s="11" t="s">
        <v>3981</v>
      </c>
      <c r="T882" s="13"/>
      <c r="U882" s="18" t="str">
        <f>HYPERLINK("https://pbs.twimg.com/profile_images/1181945870746411008/64B0tMAU.jpg","View")</f>
        <v>View</v>
      </c>
      <c r="V882" s="13"/>
      <c r="W882" s="13"/>
      <c r="X882" s="13"/>
      <c r="Y882" s="13"/>
      <c r="Z882" s="13"/>
    </row>
    <row r="883">
      <c r="A883" s="8">
        <v>43848.5628587963</v>
      </c>
      <c r="B883" s="9" t="str">
        <f>HYPERLINK("https://twitter.com/ahiddenlife1985","@ahiddenlife1985")</f>
        <v>@ahiddenlife1985</v>
      </c>
      <c r="C883" s="10" t="s">
        <v>3982</v>
      </c>
      <c r="D883" s="10" t="s">
        <v>3983</v>
      </c>
      <c r="E883" s="9" t="str">
        <f>HYPERLINK("https://twitter.com/ahiddenlife1985/status/1218601579634470913","1218601579634470913")</f>
        <v>1218601579634470913</v>
      </c>
      <c r="F883" s="13"/>
      <c r="G883" s="13"/>
      <c r="H883" s="13"/>
      <c r="I883" s="14">
        <v>0.0</v>
      </c>
      <c r="J883" s="14">
        <v>0.0</v>
      </c>
      <c r="K883" s="9" t="str">
        <f>HYPERLINK("http://twitter.com/download/android","Twitter for Android")</f>
        <v>Twitter for Android</v>
      </c>
      <c r="L883" s="15">
        <v>1110.0</v>
      </c>
      <c r="M883" s="15">
        <v>4177.0</v>
      </c>
      <c r="N883" s="15">
        <v>23.0</v>
      </c>
      <c r="O883" s="16"/>
      <c r="P883" s="17">
        <v>41463.88238425926</v>
      </c>
      <c r="Q883" s="10" t="s">
        <v>245</v>
      </c>
      <c r="R883" s="10" t="s">
        <v>3984</v>
      </c>
      <c r="S883" s="11" t="s">
        <v>3985</v>
      </c>
      <c r="T883" s="13"/>
      <c r="U883" s="18" t="str">
        <f>HYPERLINK("https://pbs.twimg.com/profile_images/1079839247488569345/0GbST-df.jpg","View")</f>
        <v>View</v>
      </c>
      <c r="V883" s="13"/>
      <c r="W883" s="13"/>
      <c r="X883" s="13"/>
      <c r="Y883" s="13"/>
      <c r="Z883" s="13"/>
    </row>
    <row r="884">
      <c r="A884" s="8">
        <v>43848.56282407408</v>
      </c>
      <c r="B884" s="9" t="str">
        <f>HYPERLINK("https://twitter.com/ParentingMH","@ParentingMH")</f>
        <v>@ParentingMH</v>
      </c>
      <c r="C884" s="10" t="s">
        <v>3058</v>
      </c>
      <c r="D884" s="10" t="s">
        <v>3986</v>
      </c>
      <c r="E884" s="9" t="str">
        <f>HYPERLINK("https://twitter.com/ParentingMH/status/1218601565789003777","1218601565789003777")</f>
        <v>1218601565789003777</v>
      </c>
      <c r="F884" s="11" t="s">
        <v>3060</v>
      </c>
      <c r="G884" s="11" t="s">
        <v>3987</v>
      </c>
      <c r="H884" s="13"/>
      <c r="I884" s="14">
        <v>0.0</v>
      </c>
      <c r="J884" s="14">
        <v>0.0</v>
      </c>
      <c r="K884" s="9" t="str">
        <f t="shared" ref="K884:K886" si="102">HYPERLINK("https://www.hootsuite.com","Hootsuite Inc.")</f>
        <v>Hootsuite Inc.</v>
      </c>
      <c r="L884" s="15">
        <v>482.0</v>
      </c>
      <c r="M884" s="15">
        <v>583.0</v>
      </c>
      <c r="N884" s="15">
        <v>6.0</v>
      </c>
      <c r="O884" s="16"/>
      <c r="P884" s="17">
        <v>41937.3233449074</v>
      </c>
      <c r="Q884" s="10" t="s">
        <v>2050</v>
      </c>
      <c r="R884" s="10" t="s">
        <v>3062</v>
      </c>
      <c r="S884" s="11" t="s">
        <v>3063</v>
      </c>
      <c r="T884" s="13"/>
      <c r="U884" s="18" t="str">
        <f>HYPERLINK("https://pbs.twimg.com/profile_images/1102956134246289409/Z6rSYrfM.png","View")</f>
        <v>View</v>
      </c>
      <c r="V884" s="13"/>
      <c r="W884" s="13"/>
      <c r="X884" s="13"/>
      <c r="Y884" s="13"/>
      <c r="Z884" s="13"/>
    </row>
    <row r="885">
      <c r="A885" s="8">
        <v>43848.5628125</v>
      </c>
      <c r="B885" s="9" t="str">
        <f>HYPERLINK("https://twitter.com/GEFCC","@GEFCC")</f>
        <v>@GEFCC</v>
      </c>
      <c r="C885" s="10" t="s">
        <v>3988</v>
      </c>
      <c r="D885" s="10" t="s">
        <v>3989</v>
      </c>
      <c r="E885" s="9" t="str">
        <f>HYPERLINK("https://twitter.com/GEFCC/status/1218601562123264002","1218601562123264002")</f>
        <v>1218601562123264002</v>
      </c>
      <c r="F885" s="11" t="s">
        <v>3990</v>
      </c>
      <c r="G885" s="11" t="s">
        <v>3991</v>
      </c>
      <c r="H885" s="13"/>
      <c r="I885" s="14">
        <v>1.0</v>
      </c>
      <c r="J885" s="14">
        <v>0.0</v>
      </c>
      <c r="K885" s="9" t="str">
        <f t="shared" si="102"/>
        <v>Hootsuite Inc.</v>
      </c>
      <c r="L885" s="15">
        <v>283.0</v>
      </c>
      <c r="M885" s="15">
        <v>464.0</v>
      </c>
      <c r="N885" s="15">
        <v>28.0</v>
      </c>
      <c r="O885" s="16"/>
      <c r="P885" s="17">
        <v>40892.650509259256</v>
      </c>
      <c r="Q885" s="10" t="s">
        <v>3992</v>
      </c>
      <c r="R885" s="10" t="s">
        <v>3993</v>
      </c>
      <c r="S885" s="11" t="s">
        <v>3994</v>
      </c>
      <c r="T885" s="13"/>
      <c r="U885" s="18" t="str">
        <f>HYPERLINK("https://pbs.twimg.com/profile_images/1695473478/gefcc_icon_logo.png","View")</f>
        <v>View</v>
      </c>
      <c r="V885" s="13"/>
      <c r="W885" s="13"/>
      <c r="X885" s="13"/>
      <c r="Y885" s="13"/>
      <c r="Z885" s="13"/>
    </row>
    <row r="886">
      <c r="A886" s="8">
        <v>43848.56275462963</v>
      </c>
      <c r="B886" s="9" t="str">
        <f>HYPERLINK("https://twitter.com/AdHealthCenter","@AdHealthCenter")</f>
        <v>@AdHealthCenter</v>
      </c>
      <c r="C886" s="10" t="s">
        <v>3995</v>
      </c>
      <c r="D886" s="10" t="s">
        <v>3996</v>
      </c>
      <c r="E886" s="9" t="str">
        <f>HYPERLINK("https://twitter.com/AdHealthCenter/status/1218601538723229696","1218601538723229696")</f>
        <v>1218601538723229696</v>
      </c>
      <c r="F886" s="11" t="s">
        <v>3997</v>
      </c>
      <c r="G886" s="13"/>
      <c r="H886" s="13"/>
      <c r="I886" s="14">
        <v>1.0</v>
      </c>
      <c r="J886" s="14">
        <v>1.0</v>
      </c>
      <c r="K886" s="9" t="str">
        <f t="shared" si="102"/>
        <v>Hootsuite Inc.</v>
      </c>
      <c r="L886" s="15">
        <v>1847.0</v>
      </c>
      <c r="M886" s="15">
        <v>2075.0</v>
      </c>
      <c r="N886" s="15">
        <v>79.0</v>
      </c>
      <c r="O886" s="16"/>
      <c r="P886" s="17">
        <v>40365.42381944445</v>
      </c>
      <c r="Q886" s="10" t="s">
        <v>3998</v>
      </c>
      <c r="R886" s="10" t="s">
        <v>3999</v>
      </c>
      <c r="S886" s="11" t="s">
        <v>4000</v>
      </c>
      <c r="T886" s="13"/>
      <c r="U886" s="18" t="str">
        <f>HYPERLINK("https://pbs.twimg.com/profile_images/972138586752430081/ROawx8bv.jpg","View")</f>
        <v>View</v>
      </c>
      <c r="V886" s="13"/>
      <c r="W886" s="13"/>
      <c r="X886" s="13"/>
      <c r="Y886" s="13"/>
      <c r="Z886" s="13"/>
    </row>
    <row r="887">
      <c r="A887" s="8">
        <v>43848.56271990741</v>
      </c>
      <c r="B887" s="9" t="str">
        <f>HYPERLINK("https://twitter.com/mrshsfavthings","@mrshsfavthings")</f>
        <v>@mrshsfavthings</v>
      </c>
      <c r="C887" s="10" t="s">
        <v>3087</v>
      </c>
      <c r="D887" s="10" t="s">
        <v>4001</v>
      </c>
      <c r="E887" s="9" t="str">
        <f>HYPERLINK("https://twitter.com/mrshsfavthings/status/1218601526291247104","1218601526291247104")</f>
        <v>1218601526291247104</v>
      </c>
      <c r="F887" s="11" t="s">
        <v>4002</v>
      </c>
      <c r="G887" s="11" t="s">
        <v>4003</v>
      </c>
      <c r="H887" s="13"/>
      <c r="I887" s="14">
        <v>0.0</v>
      </c>
      <c r="J887" s="14">
        <v>0.0</v>
      </c>
      <c r="K887" s="9" t="str">
        <f>HYPERLINK("https://www.socialoomph.com","SocialOomph")</f>
        <v>SocialOomph</v>
      </c>
      <c r="L887" s="15">
        <v>13229.0</v>
      </c>
      <c r="M887" s="15">
        <v>5676.0</v>
      </c>
      <c r="N887" s="15">
        <v>294.0</v>
      </c>
      <c r="O887" s="16"/>
      <c r="P887" s="17">
        <v>40730.73159722222</v>
      </c>
      <c r="Q887" s="10" t="s">
        <v>3091</v>
      </c>
      <c r="R887" s="10" t="s">
        <v>3092</v>
      </c>
      <c r="S887" s="11" t="s">
        <v>3093</v>
      </c>
      <c r="T887" s="13"/>
      <c r="U887" s="18" t="str">
        <f>HYPERLINK("https://pbs.twimg.com/profile_images/1038188406445096965/YtYZSF2H.jpg","View")</f>
        <v>View</v>
      </c>
      <c r="V887" s="13"/>
      <c r="W887" s="13"/>
      <c r="X887" s="13"/>
      <c r="Y887" s="13"/>
      <c r="Z887" s="13"/>
    </row>
    <row r="888">
      <c r="A888" s="8">
        <v>43848.56260416667</v>
      </c>
      <c r="B888" s="9" t="str">
        <f>HYPERLINK("https://twitter.com/MortimersEA","@MortimersEA")</f>
        <v>@MortimersEA</v>
      </c>
      <c r="C888" s="10" t="s">
        <v>4004</v>
      </c>
      <c r="D888" s="10" t="s">
        <v>4005</v>
      </c>
      <c r="E888" s="9" t="str">
        <f>HYPERLINK("https://twitter.com/MortimersEA/status/1218601486244098050","1218601486244098050")</f>
        <v>1218601486244098050</v>
      </c>
      <c r="F888" s="11" t="s">
        <v>4006</v>
      </c>
      <c r="G888" s="11" t="s">
        <v>4007</v>
      </c>
      <c r="H888" s="13"/>
      <c r="I888" s="14">
        <v>0.0</v>
      </c>
      <c r="J888" s="14">
        <v>0.0</v>
      </c>
      <c r="K888" s="9" t="str">
        <f>HYPERLINK("https://www.hootsuite.com","Hootsuite Inc.")</f>
        <v>Hootsuite Inc.</v>
      </c>
      <c r="L888" s="15">
        <v>2061.0</v>
      </c>
      <c r="M888" s="15">
        <v>1547.0</v>
      </c>
      <c r="N888" s="15">
        <v>22.0</v>
      </c>
      <c r="O888" s="16"/>
      <c r="P888" s="17">
        <v>40744.146840277775</v>
      </c>
      <c r="Q888" s="10" t="s">
        <v>4008</v>
      </c>
      <c r="R888" s="10" t="s">
        <v>4009</v>
      </c>
      <c r="S888" s="11" t="s">
        <v>4010</v>
      </c>
      <c r="T888" s="13"/>
      <c r="U888" s="18" t="str">
        <f>HYPERLINK("https://pbs.twimg.com/profile_images/1211577345494134784/5gVyYaBd.jpg","View")</f>
        <v>View</v>
      </c>
      <c r="V888" s="13"/>
      <c r="W888" s="13"/>
      <c r="X888" s="13"/>
      <c r="Y888" s="13"/>
      <c r="Z888" s="13"/>
    </row>
    <row r="889">
      <c r="A889" s="8">
        <v>43848.56259259259</v>
      </c>
      <c r="B889" s="9" t="str">
        <f>HYPERLINK("https://twitter.com/TCSHealthcare","@TCSHealthcare")</f>
        <v>@TCSHealthcare</v>
      </c>
      <c r="C889" s="10" t="s">
        <v>4011</v>
      </c>
      <c r="D889" s="10" t="s">
        <v>4012</v>
      </c>
      <c r="E889" s="9" t="str">
        <f>HYPERLINK("https://twitter.com/TCSHealthcare/status/1218601483962183680","1218601483962183680")</f>
        <v>1218601483962183680</v>
      </c>
      <c r="F889" s="11" t="s">
        <v>4013</v>
      </c>
      <c r="G889" s="13"/>
      <c r="H889" s="13"/>
      <c r="I889" s="14">
        <v>0.0</v>
      </c>
      <c r="J889" s="14">
        <v>0.0</v>
      </c>
      <c r="K889" s="9" t="str">
        <f>HYPERLINK("https://social.zoho.com","Zoho Social")</f>
        <v>Zoho Social</v>
      </c>
      <c r="L889" s="15">
        <v>2522.0</v>
      </c>
      <c r="M889" s="15">
        <v>1155.0</v>
      </c>
      <c r="N889" s="15">
        <v>81.0</v>
      </c>
      <c r="O889" s="21" t="s">
        <v>522</v>
      </c>
      <c r="P889" s="17">
        <v>41827.41730324074</v>
      </c>
      <c r="Q889" s="10" t="s">
        <v>634</v>
      </c>
      <c r="R889" s="10" t="s">
        <v>4014</v>
      </c>
      <c r="S889" s="11" t="s">
        <v>4015</v>
      </c>
      <c r="T889" s="13"/>
      <c r="U889" s="18" t="str">
        <f>HYPERLINK("https://pbs.twimg.com/profile_images/949062031415549952/HTaanxcL.jpg","View")</f>
        <v>View</v>
      </c>
      <c r="V889" s="13"/>
      <c r="W889" s="13"/>
      <c r="X889" s="13"/>
      <c r="Y889" s="13"/>
      <c r="Z889" s="13"/>
    </row>
    <row r="890">
      <c r="A890" s="8">
        <v>43848.56254629629</v>
      </c>
      <c r="B890" s="9" t="str">
        <f>HYPERLINK("https://twitter.com/HealthyPlace","@HealthyPlace")</f>
        <v>@HealthyPlace</v>
      </c>
      <c r="C890" s="10" t="s">
        <v>1457</v>
      </c>
      <c r="D890" s="10" t="s">
        <v>4016</v>
      </c>
      <c r="E890" s="9" t="str">
        <f>HYPERLINK("https://twitter.com/HealthyPlace/status/1218601463561248775","1218601463561248775")</f>
        <v>1218601463561248775</v>
      </c>
      <c r="F890" s="11" t="s">
        <v>4017</v>
      </c>
      <c r="G890" s="13"/>
      <c r="H890" s="13"/>
      <c r="I890" s="14">
        <v>3.0</v>
      </c>
      <c r="J890" s="14">
        <v>1.0</v>
      </c>
      <c r="K890" s="9" t="str">
        <f>HYPERLINK("https://sproutsocial.com","Sprout Social")</f>
        <v>Sprout Social</v>
      </c>
      <c r="L890" s="15">
        <v>64943.0</v>
      </c>
      <c r="M890" s="15">
        <v>25049.0</v>
      </c>
      <c r="N890" s="15">
        <v>1710.0</v>
      </c>
      <c r="O890" s="16"/>
      <c r="P890" s="17">
        <v>39681.03928240741</v>
      </c>
      <c r="Q890" s="10" t="s">
        <v>1460</v>
      </c>
      <c r="R890" s="10" t="s">
        <v>1461</v>
      </c>
      <c r="S890" s="11" t="s">
        <v>1462</v>
      </c>
      <c r="T890" s="13"/>
      <c r="U890" s="18" t="str">
        <f>HYPERLINK("https://pbs.twimg.com/profile_images/753613454083252225/i5pr2xny.jpg","View")</f>
        <v>View</v>
      </c>
      <c r="V890" s="13"/>
      <c r="W890" s="13"/>
      <c r="X890" s="13"/>
      <c r="Y890" s="13"/>
      <c r="Z890" s="13"/>
    </row>
    <row r="891">
      <c r="A891" s="8">
        <v>43848.561678240745</v>
      </c>
      <c r="B891" s="9" t="str">
        <f>HYPERLINK("https://twitter.com/AlbertNavira","@AlbertNavira")</f>
        <v>@AlbertNavira</v>
      </c>
      <c r="C891" s="10" t="s">
        <v>4018</v>
      </c>
      <c r="D891" s="10" t="s">
        <v>238</v>
      </c>
      <c r="E891" s="9" t="str">
        <f>HYPERLINK("https://twitter.com/AlbertNavira/status/1218601148715819009","1218601148715819009")</f>
        <v>1218601148715819009</v>
      </c>
      <c r="F891" s="13"/>
      <c r="G891" s="13"/>
      <c r="H891" s="13"/>
      <c r="I891" s="14">
        <v>0.0</v>
      </c>
      <c r="J891" s="14">
        <v>0.0</v>
      </c>
      <c r="K891" s="9" t="str">
        <f>HYPERLINK("http://twitter.com/download/android","Twitter for Android")</f>
        <v>Twitter for Android</v>
      </c>
      <c r="L891" s="15">
        <v>43.0</v>
      </c>
      <c r="M891" s="15">
        <v>153.0</v>
      </c>
      <c r="N891" s="15">
        <v>0.0</v>
      </c>
      <c r="O891" s="16"/>
      <c r="P891" s="17">
        <v>43323.44840277778</v>
      </c>
      <c r="Q891" s="10" t="s">
        <v>4019</v>
      </c>
      <c r="R891" s="10" t="s">
        <v>4020</v>
      </c>
      <c r="S891" s="13"/>
      <c r="T891" s="13"/>
      <c r="U891" s="18" t="str">
        <f>HYPERLINK("https://pbs.twimg.com/profile_images/1210205171587911683/T-86afNW.jpg","View")</f>
        <v>View</v>
      </c>
      <c r="V891" s="13"/>
      <c r="W891" s="13"/>
      <c r="X891" s="13"/>
      <c r="Y891" s="13"/>
      <c r="Z891" s="13"/>
    </row>
    <row r="892">
      <c r="A892" s="8">
        <v>43848.5616087963</v>
      </c>
      <c r="B892" s="9" t="str">
        <f>HYPERLINK("https://twitter.com/CatherineZahn","@CatherineZahn")</f>
        <v>@CatherineZahn</v>
      </c>
      <c r="C892" s="10" t="s">
        <v>4021</v>
      </c>
      <c r="D892" s="10" t="s">
        <v>4022</v>
      </c>
      <c r="E892" s="9" t="str">
        <f>HYPERLINK("https://twitter.com/CatherineZahn/status/1218601126922260482","1218601126922260482")</f>
        <v>1218601126922260482</v>
      </c>
      <c r="F892" s="10" t="s">
        <v>4023</v>
      </c>
      <c r="G892" s="11" t="s">
        <v>4024</v>
      </c>
      <c r="H892" s="13"/>
      <c r="I892" s="14">
        <v>13.0</v>
      </c>
      <c r="J892" s="14">
        <v>34.0</v>
      </c>
      <c r="K892" s="9" t="str">
        <f>HYPERLINK("http://twitter.com/download/iphone","Twitter for iPhone")</f>
        <v>Twitter for iPhone</v>
      </c>
      <c r="L892" s="15">
        <v>5409.0</v>
      </c>
      <c r="M892" s="15">
        <v>650.0</v>
      </c>
      <c r="N892" s="15">
        <v>135.0</v>
      </c>
      <c r="O892" s="16"/>
      <c r="P892" s="17">
        <v>40130.59391203704</v>
      </c>
      <c r="Q892" s="10" t="s">
        <v>73</v>
      </c>
      <c r="R892" s="10" t="s">
        <v>4025</v>
      </c>
      <c r="S892" s="11" t="s">
        <v>4026</v>
      </c>
      <c r="T892" s="13"/>
      <c r="U892" s="18" t="str">
        <f>HYPERLINK("https://pbs.twimg.com/profile_images/1144331232437776384/SmiY9NRG.png","View")</f>
        <v>View</v>
      </c>
      <c r="V892" s="13"/>
      <c r="W892" s="13"/>
      <c r="X892" s="13"/>
      <c r="Y892" s="13"/>
      <c r="Z892" s="13"/>
    </row>
    <row r="893">
      <c r="A893" s="8">
        <v>43848.56141203704</v>
      </c>
      <c r="B893" s="9" t="str">
        <f>HYPERLINK("https://twitter.com/MensTalkSpace1","@MensTalkSpace1")</f>
        <v>@MensTalkSpace1</v>
      </c>
      <c r="C893" s="10" t="s">
        <v>4027</v>
      </c>
      <c r="D893" s="10" t="s">
        <v>4028</v>
      </c>
      <c r="E893" s="9" t="str">
        <f>HYPERLINK("https://twitter.com/MensTalkSpace1/status/1218601053920337921","1218601053920337921")</f>
        <v>1218601053920337921</v>
      </c>
      <c r="F893" s="11" t="s">
        <v>4029</v>
      </c>
      <c r="G893" s="13"/>
      <c r="H893" s="13"/>
      <c r="I893" s="14">
        <v>0.0</v>
      </c>
      <c r="J893" s="14">
        <v>1.0</v>
      </c>
      <c r="K893" s="9" t="str">
        <f>HYPERLINK("https://mobile.twitter.com","Mobile Web (M2)")</f>
        <v>Mobile Web (M2)</v>
      </c>
      <c r="L893" s="15">
        <v>14.0</v>
      </c>
      <c r="M893" s="15">
        <v>39.0</v>
      </c>
      <c r="N893" s="15">
        <v>0.0</v>
      </c>
      <c r="O893" s="16"/>
      <c r="P893" s="17">
        <v>43441.13342592593</v>
      </c>
      <c r="Q893" s="10" t="s">
        <v>4030</v>
      </c>
      <c r="R893" s="10" t="s">
        <v>4031</v>
      </c>
      <c r="S893" s="13"/>
      <c r="T893" s="13"/>
      <c r="U893" s="21" t="s">
        <v>292</v>
      </c>
      <c r="V893" s="13"/>
      <c r="W893" s="13"/>
      <c r="X893" s="13"/>
      <c r="Y893" s="13"/>
      <c r="Z893" s="13"/>
    </row>
    <row r="894">
      <c r="A894" s="8">
        <v>43848.56138888889</v>
      </c>
      <c r="B894" s="9" t="str">
        <f>HYPERLINK("https://twitter.com/thezee55","@thezee55")</f>
        <v>@thezee55</v>
      </c>
      <c r="C894" s="10" t="s">
        <v>4032</v>
      </c>
      <c r="D894" s="10" t="s">
        <v>4033</v>
      </c>
      <c r="E894" s="9" t="str">
        <f>HYPERLINK("https://twitter.com/thezee55/status/1218601047880372224","1218601047880372224")</f>
        <v>1218601047880372224</v>
      </c>
      <c r="F894" s="13"/>
      <c r="G894" s="13"/>
      <c r="H894" s="13"/>
      <c r="I894" s="14">
        <v>0.0</v>
      </c>
      <c r="J894" s="14">
        <v>0.0</v>
      </c>
      <c r="K894" s="9" t="str">
        <f t="shared" ref="K894:K895" si="103">HYPERLINK("http://twitter.com/download/android","Twitter for Android")</f>
        <v>Twitter for Android</v>
      </c>
      <c r="L894" s="15">
        <v>3.0</v>
      </c>
      <c r="M894" s="15">
        <v>31.0</v>
      </c>
      <c r="N894" s="15">
        <v>0.0</v>
      </c>
      <c r="O894" s="16"/>
      <c r="P894" s="17">
        <v>43844.074479166666</v>
      </c>
      <c r="Q894" s="10" t="s">
        <v>3829</v>
      </c>
      <c r="R894" s="13"/>
      <c r="S894" s="13"/>
      <c r="T894" s="13"/>
      <c r="U894" s="18" t="str">
        <f>HYPERLINK("https://pbs.twimg.com/profile_images/1216975106867548160/aBITpQ0Z.jpg","View")</f>
        <v>View</v>
      </c>
      <c r="V894" s="13"/>
      <c r="W894" s="13"/>
      <c r="X894" s="13"/>
      <c r="Y894" s="13"/>
      <c r="Z894" s="13"/>
    </row>
    <row r="895">
      <c r="A895" s="8">
        <v>43848.56083333334</v>
      </c>
      <c r="B895" s="9" t="str">
        <f>HYPERLINK("https://twitter.com/UnityEft","@UnityEft")</f>
        <v>@UnityEft</v>
      </c>
      <c r="C895" s="10" t="s">
        <v>4034</v>
      </c>
      <c r="D895" s="10" t="s">
        <v>4035</v>
      </c>
      <c r="E895" s="9" t="str">
        <f>HYPERLINK("https://twitter.com/UnityEft/status/1218600844033216513","1218600844033216513")</f>
        <v>1218600844033216513</v>
      </c>
      <c r="F895" s="11" t="s">
        <v>4036</v>
      </c>
      <c r="G895" s="13"/>
      <c r="H895" s="13"/>
      <c r="I895" s="14">
        <v>0.0</v>
      </c>
      <c r="J895" s="14">
        <v>1.0</v>
      </c>
      <c r="K895" s="9" t="str">
        <f t="shared" si="103"/>
        <v>Twitter for Android</v>
      </c>
      <c r="L895" s="15">
        <v>94.0</v>
      </c>
      <c r="M895" s="15">
        <v>221.0</v>
      </c>
      <c r="N895" s="15">
        <v>0.0</v>
      </c>
      <c r="O895" s="16"/>
      <c r="P895" s="17">
        <v>43394.284409722226</v>
      </c>
      <c r="Q895" s="10" t="s">
        <v>4037</v>
      </c>
      <c r="R895" s="10" t="s">
        <v>4038</v>
      </c>
      <c r="S895" s="13"/>
      <c r="T895" s="13"/>
      <c r="U895" s="18" t="str">
        <f>HYPERLINK("https://pbs.twimg.com/profile_images/1058844392512020481/hekTHdXK.jpg","View")</f>
        <v>View</v>
      </c>
      <c r="V895" s="13"/>
      <c r="W895" s="13"/>
      <c r="X895" s="13"/>
      <c r="Y895" s="13"/>
      <c r="Z895" s="13"/>
    </row>
    <row r="896">
      <c r="A896" s="8">
        <v>43848.56078703704</v>
      </c>
      <c r="B896" s="9" t="str">
        <f>HYPERLINK("https://twitter.com/TheCraigenGroup","@TheCraigenGroup")</f>
        <v>@TheCraigenGroup</v>
      </c>
      <c r="C896" s="10" t="s">
        <v>4039</v>
      </c>
      <c r="D896" s="10" t="s">
        <v>4040</v>
      </c>
      <c r="E896" s="9" t="str">
        <f>HYPERLINK("https://twitter.com/TheCraigenGroup/status/1218600826849067008","1218600826849067008")</f>
        <v>1218600826849067008</v>
      </c>
      <c r="F896" s="11" t="s">
        <v>4041</v>
      </c>
      <c r="G896" s="13"/>
      <c r="H896" s="13"/>
      <c r="I896" s="14">
        <v>0.0</v>
      </c>
      <c r="J896" s="14">
        <v>0.0</v>
      </c>
      <c r="K896" s="9" t="str">
        <f>HYPERLINK("https://recurpost.com","RecurPost - Social Scheduler App")</f>
        <v>RecurPost - Social Scheduler App</v>
      </c>
      <c r="L896" s="15">
        <v>1301.0</v>
      </c>
      <c r="M896" s="15">
        <v>1278.0</v>
      </c>
      <c r="N896" s="15">
        <v>5.0</v>
      </c>
      <c r="O896" s="16"/>
      <c r="P896" s="17">
        <v>43187.80334490741</v>
      </c>
      <c r="Q896" s="13"/>
      <c r="R896" s="10" t="s">
        <v>4042</v>
      </c>
      <c r="S896" s="11" t="s">
        <v>4043</v>
      </c>
      <c r="T896" s="13"/>
      <c r="U896" s="18" t="str">
        <f>HYPERLINK("https://pbs.twimg.com/profile_images/979138516444729345/SlsV1oYM.jpg","View")</f>
        <v>View</v>
      </c>
      <c r="V896" s="13"/>
      <c r="W896" s="13"/>
      <c r="X896" s="13"/>
      <c r="Y896" s="13"/>
      <c r="Z896" s="13"/>
    </row>
    <row r="897">
      <c r="A897" s="8">
        <v>43848.56074074074</v>
      </c>
      <c r="B897" s="9" t="str">
        <f>HYPERLINK("https://twitter.com/BlackoutBlizza1","@BlackoutBlizza1")</f>
        <v>@BlackoutBlizza1</v>
      </c>
      <c r="C897" s="10" t="s">
        <v>4044</v>
      </c>
      <c r="D897" s="10" t="s">
        <v>4045</v>
      </c>
      <c r="E897" s="9" t="str">
        <f>HYPERLINK("https://twitter.com/BlackoutBlizza1/status/1218600809925160968","1218600809925160968")</f>
        <v>1218600809925160968</v>
      </c>
      <c r="F897" s="13"/>
      <c r="G897" s="13"/>
      <c r="H897" s="13"/>
      <c r="I897" s="14">
        <v>0.0</v>
      </c>
      <c r="J897" s="14">
        <v>3.0</v>
      </c>
      <c r="K897" s="9" t="str">
        <f t="shared" ref="K897:K898" si="104">HYPERLINK("http://twitter.com/download/android","Twitter for Android")</f>
        <v>Twitter for Android</v>
      </c>
      <c r="L897" s="15">
        <v>8.0</v>
      </c>
      <c r="M897" s="15">
        <v>37.0</v>
      </c>
      <c r="N897" s="15">
        <v>0.0</v>
      </c>
      <c r="O897" s="16"/>
      <c r="P897" s="17">
        <v>43794.14471064815</v>
      </c>
      <c r="Q897" s="13"/>
      <c r="R897" s="10" t="s">
        <v>4046</v>
      </c>
      <c r="S897" s="13"/>
      <c r="T897" s="13"/>
      <c r="U897" s="18" t="str">
        <f>HYPERLINK("https://pbs.twimg.com/profile_images/1199694554275942400/1snUHYRN.jpg","View")</f>
        <v>View</v>
      </c>
      <c r="V897" s="13"/>
      <c r="W897" s="13"/>
      <c r="X897" s="13"/>
      <c r="Y897" s="13"/>
      <c r="Z897" s="13"/>
    </row>
    <row r="898">
      <c r="A898" s="8">
        <v>43848.56054398148</v>
      </c>
      <c r="B898" s="9" t="str">
        <f>HYPERLINK("https://twitter.com/ShakaBrownComic","@ShakaBrownComic")</f>
        <v>@ShakaBrownComic</v>
      </c>
      <c r="C898" s="10" t="s">
        <v>974</v>
      </c>
      <c r="D898" s="10" t="s">
        <v>4047</v>
      </c>
      <c r="E898" s="9" t="str">
        <f>HYPERLINK("https://twitter.com/ShakaBrownComic/status/1218600738286379008","1218600738286379008")</f>
        <v>1218600738286379008</v>
      </c>
      <c r="F898" s="13"/>
      <c r="G898" s="13"/>
      <c r="H898" s="13"/>
      <c r="I898" s="14">
        <v>0.0</v>
      </c>
      <c r="J898" s="14">
        <v>0.0</v>
      </c>
      <c r="K898" s="9" t="str">
        <f t="shared" si="104"/>
        <v>Twitter for Android</v>
      </c>
      <c r="L898" s="15">
        <v>136.0</v>
      </c>
      <c r="M898" s="15">
        <v>39.0</v>
      </c>
      <c r="N898" s="15">
        <v>4.0</v>
      </c>
      <c r="O898" s="16"/>
      <c r="P898" s="17">
        <v>41995.06672453704</v>
      </c>
      <c r="Q898" s="10" t="s">
        <v>976</v>
      </c>
      <c r="R898" s="10" t="s">
        <v>977</v>
      </c>
      <c r="S898" s="11" t="s">
        <v>978</v>
      </c>
      <c r="T898" s="13"/>
      <c r="U898" s="18" t="str">
        <f>HYPERLINK("https://pbs.twimg.com/profile_images/1195420809277427713/cLFbEoBk.jpg","View")</f>
        <v>View</v>
      </c>
      <c r="V898" s="13"/>
      <c r="W898" s="13"/>
      <c r="X898" s="13"/>
      <c r="Y898" s="13"/>
      <c r="Z898" s="13"/>
    </row>
    <row r="899">
      <c r="A899" s="8">
        <v>43848.56041666667</v>
      </c>
      <c r="B899" s="9" t="str">
        <f>HYPERLINK("https://twitter.com/mprenshaw","@mprenshaw")</f>
        <v>@mprenshaw</v>
      </c>
      <c r="C899" s="10" t="s">
        <v>4048</v>
      </c>
      <c r="D899" s="10" t="s">
        <v>4049</v>
      </c>
      <c r="E899" s="9" t="str">
        <f>HYPERLINK("https://twitter.com/mprenshaw/status/1218600694241992704","1218600694241992704")</f>
        <v>1218600694241992704</v>
      </c>
      <c r="F899" s="11" t="s">
        <v>4050</v>
      </c>
      <c r="G899" s="13"/>
      <c r="H899" s="13"/>
      <c r="I899" s="14">
        <v>0.0</v>
      </c>
      <c r="J899" s="14">
        <v>1.0</v>
      </c>
      <c r="K899" s="9" t="str">
        <f>HYPERLINK("http://instagram.com","Instagram")</f>
        <v>Instagram</v>
      </c>
      <c r="L899" s="15">
        <v>332.0</v>
      </c>
      <c r="M899" s="15">
        <v>683.0</v>
      </c>
      <c r="N899" s="15">
        <v>24.0</v>
      </c>
      <c r="O899" s="16"/>
      <c r="P899" s="17">
        <v>40057.54791666666</v>
      </c>
      <c r="Q899" s="10" t="s">
        <v>4051</v>
      </c>
      <c r="R899" s="10" t="s">
        <v>4052</v>
      </c>
      <c r="S899" s="13"/>
      <c r="T899" s="13"/>
      <c r="U899" s="18" t="str">
        <f>HYPERLINK("https://pbs.twimg.com/profile_images/3356523189/a3873d1ea1447613c600974d258a0797.jpeg","View")</f>
        <v>View</v>
      </c>
      <c r="V899" s="13"/>
      <c r="W899" s="13"/>
      <c r="X899" s="13"/>
      <c r="Y899" s="13"/>
      <c r="Z899" s="13"/>
    </row>
    <row r="900">
      <c r="A900" s="8">
        <v>43848.560324074075</v>
      </c>
      <c r="B900" s="9" t="str">
        <f>HYPERLINK("https://twitter.com/Ninirquia","@Ninirquia")</f>
        <v>@Ninirquia</v>
      </c>
      <c r="C900" s="10" t="s">
        <v>4053</v>
      </c>
      <c r="D900" s="10" t="s">
        <v>238</v>
      </c>
      <c r="E900" s="9" t="str">
        <f>HYPERLINK("https://twitter.com/Ninirquia/status/1218600661429952512","1218600661429952512")</f>
        <v>1218600661429952512</v>
      </c>
      <c r="F900" s="13"/>
      <c r="G900" s="13"/>
      <c r="H900" s="13"/>
      <c r="I900" s="14">
        <v>0.0</v>
      </c>
      <c r="J900" s="14">
        <v>0.0</v>
      </c>
      <c r="K900" s="9" t="str">
        <f>HYPERLINK("http://twitter.com/download/android","Twitter for Android")</f>
        <v>Twitter for Android</v>
      </c>
      <c r="L900" s="15">
        <v>148.0</v>
      </c>
      <c r="M900" s="15">
        <v>692.0</v>
      </c>
      <c r="N900" s="15">
        <v>0.0</v>
      </c>
      <c r="O900" s="16"/>
      <c r="P900" s="17">
        <v>41697.80168981481</v>
      </c>
      <c r="Q900" s="13"/>
      <c r="R900" s="13"/>
      <c r="S900" s="13"/>
      <c r="T900" s="13"/>
      <c r="U900" s="18" t="str">
        <f>HYPERLINK("https://pbs.twimg.com/profile_images/1011053010116579329/q-7Q2c-2.jpg","View")</f>
        <v>View</v>
      </c>
      <c r="V900" s="13"/>
      <c r="W900" s="13"/>
      <c r="X900" s="13"/>
      <c r="Y900" s="13"/>
      <c r="Z900" s="13"/>
    </row>
    <row r="901">
      <c r="A901" s="8">
        <v>43848.56028935185</v>
      </c>
      <c r="B901" s="9" t="str">
        <f>HYPERLINK("https://twitter.com/grouptherapy33","@grouptherapy33")</f>
        <v>@grouptherapy33</v>
      </c>
      <c r="C901" s="10" t="s">
        <v>831</v>
      </c>
      <c r="D901" s="10" t="s">
        <v>4054</v>
      </c>
      <c r="E901" s="9" t="str">
        <f>HYPERLINK("https://twitter.com/grouptherapy33/status/1218600647618179072","1218600647618179072")</f>
        <v>1218600647618179072</v>
      </c>
      <c r="F901" s="13"/>
      <c r="G901" s="13"/>
      <c r="H901" s="13"/>
      <c r="I901" s="14">
        <v>0.0</v>
      </c>
      <c r="J901" s="14">
        <v>0.0</v>
      </c>
      <c r="K901" s="9" t="str">
        <f>HYPERLINK("http://www.DynamicTweets.com","Dynamic Tweets")</f>
        <v>Dynamic Tweets</v>
      </c>
      <c r="L901" s="15">
        <v>4053.0</v>
      </c>
      <c r="M901" s="15">
        <v>3517.0</v>
      </c>
      <c r="N901" s="15">
        <v>74.0</v>
      </c>
      <c r="O901" s="16"/>
      <c r="P901" s="17">
        <v>42375.45542824074</v>
      </c>
      <c r="Q901" s="13"/>
      <c r="R901" s="13"/>
      <c r="S901" s="11" t="s">
        <v>833</v>
      </c>
      <c r="T901" s="13"/>
      <c r="U901" s="18" t="str">
        <f>HYPERLINK("https://pbs.twimg.com/profile_images/773354507157671941/wE10yy8j.jpg","View")</f>
        <v>View</v>
      </c>
      <c r="V901" s="13"/>
      <c r="W901" s="13"/>
      <c r="X901" s="13"/>
      <c r="Y901" s="13"/>
      <c r="Z901" s="13"/>
    </row>
    <row r="902">
      <c r="A902" s="8">
        <v>43848.56018518518</v>
      </c>
      <c r="B902" s="9" t="str">
        <f>HYPERLINK("https://twitter.com/genderlesswitch","@genderlesswitch")</f>
        <v>@genderlesswitch</v>
      </c>
      <c r="C902" s="10" t="s">
        <v>4055</v>
      </c>
      <c r="D902" s="10" t="s">
        <v>4056</v>
      </c>
      <c r="E902" s="9" t="str">
        <f>HYPERLINK("https://twitter.com/genderlesswitch/status/1218600611408744451","1218600611408744451")</f>
        <v>1218600611408744451</v>
      </c>
      <c r="F902" s="13"/>
      <c r="G902" s="11" t="s">
        <v>4057</v>
      </c>
      <c r="H902" s="13"/>
      <c r="I902" s="14">
        <v>0.0</v>
      </c>
      <c r="J902" s="14">
        <v>0.0</v>
      </c>
      <c r="K902" s="9" t="str">
        <f>HYPERLINK("https://mobile.twitter.com","Twitter Web App")</f>
        <v>Twitter Web App</v>
      </c>
      <c r="L902" s="15">
        <v>13.0</v>
      </c>
      <c r="M902" s="15">
        <v>72.0</v>
      </c>
      <c r="N902" s="15">
        <v>0.0</v>
      </c>
      <c r="O902" s="16"/>
      <c r="P902" s="17">
        <v>43733.51262731482</v>
      </c>
      <c r="Q902" s="10" t="s">
        <v>4058</v>
      </c>
      <c r="R902" s="10" t="s">
        <v>4059</v>
      </c>
      <c r="S902" s="11" t="s">
        <v>4060</v>
      </c>
      <c r="T902" s="13"/>
      <c r="U902" s="18" t="str">
        <f>HYPERLINK("https://pbs.twimg.com/profile_images/1218364213392896000/OLkwybqf.jpg","View")</f>
        <v>View</v>
      </c>
      <c r="V902" s="13"/>
      <c r="W902" s="13"/>
      <c r="X902" s="13"/>
      <c r="Y902" s="13"/>
      <c r="Z902" s="13"/>
    </row>
    <row r="903">
      <c r="A903" s="8">
        <v>43848.56003472222</v>
      </c>
      <c r="B903" s="9" t="str">
        <f>HYPERLINK("https://twitter.com/trutheresme","@trutheresme")</f>
        <v>@trutheresme</v>
      </c>
      <c r="C903" s="10" t="s">
        <v>4061</v>
      </c>
      <c r="D903" s="10" t="s">
        <v>4062</v>
      </c>
      <c r="E903" s="9" t="str">
        <f>HYPERLINK("https://twitter.com/trutheresme/status/1218600554529771526","1218600554529771526")</f>
        <v>1218600554529771526</v>
      </c>
      <c r="F903" s="13"/>
      <c r="G903" s="11" t="s">
        <v>4063</v>
      </c>
      <c r="H903" s="13"/>
      <c r="I903" s="14">
        <v>0.0</v>
      </c>
      <c r="J903" s="14">
        <v>1.0</v>
      </c>
      <c r="K903" s="9" t="str">
        <f t="shared" ref="K903:K904" si="105">HYPERLINK("http://twitter.com/download/android","Twitter for Android")</f>
        <v>Twitter for Android</v>
      </c>
      <c r="L903" s="15">
        <v>204.0</v>
      </c>
      <c r="M903" s="15">
        <v>158.0</v>
      </c>
      <c r="N903" s="15">
        <v>2.0</v>
      </c>
      <c r="O903" s="16"/>
      <c r="P903" s="17">
        <v>39940.85565972222</v>
      </c>
      <c r="Q903" s="10" t="s">
        <v>4064</v>
      </c>
      <c r="R903" s="10" t="s">
        <v>4065</v>
      </c>
      <c r="S903" s="13"/>
      <c r="T903" s="13"/>
      <c r="U903" s="18" t="str">
        <f>HYPERLINK("https://pbs.twimg.com/profile_images/1194054704688488448/t8BFV3VS.jpg","View")</f>
        <v>View</v>
      </c>
      <c r="V903" s="13"/>
      <c r="W903" s="13"/>
      <c r="X903" s="13"/>
      <c r="Y903" s="13"/>
      <c r="Z903" s="13"/>
    </row>
    <row r="904">
      <c r="A904" s="8">
        <v>43848.55988425926</v>
      </c>
      <c r="B904" s="9" t="str">
        <f>HYPERLINK("https://twitter.com/StewartHastie","@StewartHastie")</f>
        <v>@StewartHastie</v>
      </c>
      <c r="C904" s="10" t="s">
        <v>4066</v>
      </c>
      <c r="D904" s="10" t="s">
        <v>4067</v>
      </c>
      <c r="E904" s="9" t="str">
        <f>HYPERLINK("https://twitter.com/StewartHastie/status/1218600502675550208","1218600502675550208")</f>
        <v>1218600502675550208</v>
      </c>
      <c r="F904" s="13"/>
      <c r="G904" s="11" t="s">
        <v>4068</v>
      </c>
      <c r="H904" s="13"/>
      <c r="I904" s="14">
        <v>0.0</v>
      </c>
      <c r="J904" s="14">
        <v>3.0</v>
      </c>
      <c r="K904" s="9" t="str">
        <f t="shared" si="105"/>
        <v>Twitter for Android</v>
      </c>
      <c r="L904" s="15">
        <v>901.0</v>
      </c>
      <c r="M904" s="15">
        <v>1545.0</v>
      </c>
      <c r="N904" s="15">
        <v>18.0</v>
      </c>
      <c r="O904" s="16"/>
      <c r="P904" s="17">
        <v>40823.23672453704</v>
      </c>
      <c r="Q904" s="10" t="s">
        <v>1324</v>
      </c>
      <c r="R904" s="10" t="s">
        <v>4069</v>
      </c>
      <c r="S904" s="13"/>
      <c r="T904" s="13"/>
      <c r="U904" s="18" t="str">
        <f>HYPERLINK("https://pbs.twimg.com/profile_images/926386017891995648/d3ule7FV.jpg","View")</f>
        <v>View</v>
      </c>
      <c r="V904" s="13"/>
      <c r="W904" s="13"/>
      <c r="X904" s="13"/>
      <c r="Y904" s="13"/>
      <c r="Z904" s="13"/>
    </row>
    <row r="905">
      <c r="A905" s="8">
        <v>43848.55905092593</v>
      </c>
      <c r="B905" s="9" t="str">
        <f>HYPERLINK("https://twitter.com/RajendrRamBhakt","@RajendrRamBhakt")</f>
        <v>@RajendrRamBhakt</v>
      </c>
      <c r="C905" s="10" t="s">
        <v>4070</v>
      </c>
      <c r="D905" s="10" t="s">
        <v>238</v>
      </c>
      <c r="E905" s="9" t="str">
        <f>HYPERLINK("https://twitter.com/RajendrRamBhakt/status/1218600196948381696","1218600196948381696")</f>
        <v>1218600196948381696</v>
      </c>
      <c r="F905" s="13"/>
      <c r="G905" s="13"/>
      <c r="H905" s="13"/>
      <c r="I905" s="14">
        <v>0.0</v>
      </c>
      <c r="J905" s="14">
        <v>0.0</v>
      </c>
      <c r="K905" s="9" t="str">
        <f>HYPERLINK("https://mobile.twitter.com","Twitter Web App")</f>
        <v>Twitter Web App</v>
      </c>
      <c r="L905" s="15">
        <v>814.0</v>
      </c>
      <c r="M905" s="15">
        <v>904.0</v>
      </c>
      <c r="N905" s="15">
        <v>1.0</v>
      </c>
      <c r="O905" s="16"/>
      <c r="P905" s="17">
        <v>42305.01640046296</v>
      </c>
      <c r="Q905" s="13"/>
      <c r="R905" s="10" t="s">
        <v>4071</v>
      </c>
      <c r="S905" s="13"/>
      <c r="T905" s="13"/>
      <c r="U905" s="18" t="str">
        <f>HYPERLINK("https://pbs.twimg.com/profile_images/1206759049900908545/qhqWxnUJ.jpg","View")</f>
        <v>View</v>
      </c>
      <c r="V905" s="13"/>
      <c r="W905" s="13"/>
      <c r="X905" s="13"/>
      <c r="Y905" s="13"/>
      <c r="Z905" s="13"/>
    </row>
    <row r="906">
      <c r="A906" s="8">
        <v>43848.558391203704</v>
      </c>
      <c r="B906" s="9" t="str">
        <f>HYPERLINK("https://twitter.com/MattGolby","@MattGolby")</f>
        <v>@MattGolby</v>
      </c>
      <c r="C906" s="10" t="s">
        <v>4072</v>
      </c>
      <c r="D906" s="10" t="s">
        <v>4073</v>
      </c>
      <c r="E906" s="9" t="str">
        <f>HYPERLINK("https://twitter.com/MattGolby/status/1218599959211249664","1218599959211249664")</f>
        <v>1218599959211249664</v>
      </c>
      <c r="F906" s="11" t="s">
        <v>4074</v>
      </c>
      <c r="G906" s="11" t="s">
        <v>4075</v>
      </c>
      <c r="H906" s="13"/>
      <c r="I906" s="14">
        <v>4.0</v>
      </c>
      <c r="J906" s="14">
        <v>11.0</v>
      </c>
      <c r="K906" s="9" t="str">
        <f>HYPERLINK("http://twitter.com/download/android","Twitter for Android")</f>
        <v>Twitter for Android</v>
      </c>
      <c r="L906" s="15">
        <v>846.0</v>
      </c>
      <c r="M906" s="15">
        <v>320.0</v>
      </c>
      <c r="N906" s="15">
        <v>17.0</v>
      </c>
      <c r="O906" s="16"/>
      <c r="P906" s="17">
        <v>40336.29991898148</v>
      </c>
      <c r="Q906" s="10" t="s">
        <v>4076</v>
      </c>
      <c r="R906" s="10" t="s">
        <v>4077</v>
      </c>
      <c r="S906" s="13"/>
      <c r="T906" s="13"/>
      <c r="U906" s="18" t="str">
        <f>HYPERLINK("https://pbs.twimg.com/profile_images/580118346835849216/YSSRqAH-.png","View")</f>
        <v>View</v>
      </c>
      <c r="V906" s="13"/>
      <c r="W906" s="13"/>
      <c r="X906" s="13"/>
      <c r="Y906" s="13"/>
      <c r="Z906" s="13"/>
    </row>
    <row r="907">
      <c r="A907" s="8">
        <v>43848.55773148148</v>
      </c>
      <c r="B907" s="9" t="str">
        <f>HYPERLINK("https://twitter.com/dramybowers","@dramybowers")</f>
        <v>@dramybowers</v>
      </c>
      <c r="C907" s="10" t="s">
        <v>4078</v>
      </c>
      <c r="D907" s="10" t="s">
        <v>4079</v>
      </c>
      <c r="E907" s="9" t="str">
        <f>HYPERLINK("https://twitter.com/dramybowers/status/1218599718642704390","1218599718642704390")</f>
        <v>1218599718642704390</v>
      </c>
      <c r="F907" s="10" t="s">
        <v>4080</v>
      </c>
      <c r="G907" s="13"/>
      <c r="H907" s="13"/>
      <c r="I907" s="14">
        <v>0.0</v>
      </c>
      <c r="J907" s="14">
        <v>0.0</v>
      </c>
      <c r="K907" s="9" t="str">
        <f t="shared" ref="K907:K908" si="106">HYPERLINK("https://mobile.twitter.com","Twitter Web App")</f>
        <v>Twitter Web App</v>
      </c>
      <c r="L907" s="15">
        <v>59.0</v>
      </c>
      <c r="M907" s="15">
        <v>148.0</v>
      </c>
      <c r="N907" s="15">
        <v>0.0</v>
      </c>
      <c r="O907" s="16"/>
      <c r="P907" s="17">
        <v>42623.32490740741</v>
      </c>
      <c r="Q907" s="10" t="s">
        <v>4081</v>
      </c>
      <c r="R907" s="10" t="s">
        <v>4082</v>
      </c>
      <c r="S907" s="11" t="s">
        <v>4083</v>
      </c>
      <c r="T907" s="13"/>
      <c r="U907" s="18" t="str">
        <f>HYPERLINK("https://pbs.twimg.com/profile_images/774657621102067713/qCdMSLMO.jpg","View")</f>
        <v>View</v>
      </c>
      <c r="V907" s="13"/>
      <c r="W907" s="13"/>
      <c r="X907" s="13"/>
      <c r="Y907" s="13"/>
      <c r="Z907" s="13"/>
    </row>
    <row r="908">
      <c r="A908" s="8">
        <v>43848.55719907407</v>
      </c>
      <c r="B908" s="9" t="str">
        <f>HYPERLINK("https://twitter.com/harlow_art","@harlow_art")</f>
        <v>@harlow_art</v>
      </c>
      <c r="C908" s="10" t="s">
        <v>4084</v>
      </c>
      <c r="D908" s="10" t="s">
        <v>4085</v>
      </c>
      <c r="E908" s="9" t="str">
        <f>HYPERLINK("https://twitter.com/harlow_art/status/1218599529542496256","1218599529542496256")</f>
        <v>1218599529542496256</v>
      </c>
      <c r="F908" s="13"/>
      <c r="G908" s="13"/>
      <c r="H908" s="13"/>
      <c r="I908" s="14">
        <v>0.0</v>
      </c>
      <c r="J908" s="14">
        <v>0.0</v>
      </c>
      <c r="K908" s="9" t="str">
        <f t="shared" si="106"/>
        <v>Twitter Web App</v>
      </c>
      <c r="L908" s="15">
        <v>121.0</v>
      </c>
      <c r="M908" s="15">
        <v>154.0</v>
      </c>
      <c r="N908" s="15">
        <v>1.0</v>
      </c>
      <c r="O908" s="16"/>
      <c r="P908" s="17">
        <v>43834.6124537037</v>
      </c>
      <c r="Q908" s="10" t="s">
        <v>4086</v>
      </c>
      <c r="R908" s="10" t="s">
        <v>4087</v>
      </c>
      <c r="S908" s="11" t="s">
        <v>4088</v>
      </c>
      <c r="T908" s="13"/>
      <c r="U908" s="18" t="str">
        <f>HYPERLINK("https://pbs.twimg.com/profile_images/1213574673189031938/nlBtJ8_5.jpg","View")</f>
        <v>View</v>
      </c>
      <c r="V908" s="13"/>
      <c r="W908" s="13"/>
      <c r="X908" s="13"/>
      <c r="Y908" s="13"/>
      <c r="Z908" s="13"/>
    </row>
    <row r="909">
      <c r="A909" s="8">
        <v>43848.556874999995</v>
      </c>
      <c r="B909" s="9" t="str">
        <f>HYPERLINK("https://twitter.com/17Rebel17","@17Rebel17")</f>
        <v>@17Rebel17</v>
      </c>
      <c r="C909" s="10" t="s">
        <v>4089</v>
      </c>
      <c r="D909" s="10" t="s">
        <v>4090</v>
      </c>
      <c r="E909" s="9" t="str">
        <f>HYPERLINK("https://twitter.com/17Rebel17/status/1218599408419270657","1218599408419270657")</f>
        <v>1218599408419270657</v>
      </c>
      <c r="F909" s="13"/>
      <c r="G909" s="13"/>
      <c r="H909" s="13"/>
      <c r="I909" s="14">
        <v>0.0</v>
      </c>
      <c r="J909" s="14">
        <v>0.0</v>
      </c>
      <c r="K909" s="9" t="str">
        <f>HYPERLINK("http://twitter.com/download/android","Twitter for Android")</f>
        <v>Twitter for Android</v>
      </c>
      <c r="L909" s="15">
        <v>0.0</v>
      </c>
      <c r="M909" s="15">
        <v>21.0</v>
      </c>
      <c r="N909" s="15">
        <v>0.0</v>
      </c>
      <c r="O909" s="16"/>
      <c r="P909" s="17">
        <v>43847.899097222224</v>
      </c>
      <c r="Q909" s="13"/>
      <c r="R909" s="10" t="s">
        <v>4091</v>
      </c>
      <c r="S909" s="13"/>
      <c r="T909" s="13"/>
      <c r="U909" s="18" t="str">
        <f>HYPERLINK("https://pbs.twimg.com/profile_images/1218361179380207617/Dix47YyU.jpg","View")</f>
        <v>View</v>
      </c>
      <c r="V909" s="13"/>
      <c r="W909" s="13"/>
      <c r="X909" s="13"/>
      <c r="Y909" s="13"/>
      <c r="Z909" s="13"/>
    </row>
    <row r="910">
      <c r="A910" s="8">
        <v>43848.5565162037</v>
      </c>
      <c r="B910" s="9" t="str">
        <f>HYPERLINK("https://twitter.com/Tkarera","@Tkarera")</f>
        <v>@Tkarera</v>
      </c>
      <c r="C910" s="10" t="s">
        <v>4092</v>
      </c>
      <c r="D910" s="10" t="s">
        <v>4093</v>
      </c>
      <c r="E910" s="9" t="str">
        <f>HYPERLINK("https://twitter.com/Tkarera/status/1218599281017475074","1218599281017475074")</f>
        <v>1218599281017475074</v>
      </c>
      <c r="F910" s="11" t="s">
        <v>4094</v>
      </c>
      <c r="G910" s="13"/>
      <c r="H910" s="13"/>
      <c r="I910" s="14">
        <v>0.0</v>
      </c>
      <c r="J910" s="14">
        <v>0.0</v>
      </c>
      <c r="K910" s="9" t="str">
        <f>HYPERLINK("https://mobile.twitter.com","Twitter Web App")</f>
        <v>Twitter Web App</v>
      </c>
      <c r="L910" s="15">
        <v>16108.0</v>
      </c>
      <c r="M910" s="15">
        <v>7756.0</v>
      </c>
      <c r="N910" s="15">
        <v>1508.0</v>
      </c>
      <c r="O910" s="16"/>
      <c r="P910" s="17">
        <v>40631.894155092596</v>
      </c>
      <c r="Q910" s="10" t="s">
        <v>4095</v>
      </c>
      <c r="R910" s="10" t="s">
        <v>4096</v>
      </c>
      <c r="S910" s="13"/>
      <c r="T910" s="13"/>
      <c r="U910" s="18" t="str">
        <f>HYPERLINK("https://pbs.twimg.com/profile_images/2678224876/e0d50fddebcbb0ae56734edce9d553a0.jpeg","View")</f>
        <v>View</v>
      </c>
      <c r="V910" s="13"/>
      <c r="W910" s="13"/>
      <c r="X910" s="13"/>
      <c r="Y910" s="13"/>
      <c r="Z910" s="13"/>
    </row>
    <row r="911">
      <c r="A911" s="8">
        <v>43848.556481481486</v>
      </c>
      <c r="B911" s="9" t="str">
        <f>HYPERLINK("https://twitter.com/WeAreKetka","@WeAreKetka")</f>
        <v>@WeAreKetka</v>
      </c>
      <c r="C911" s="10" t="s">
        <v>3521</v>
      </c>
      <c r="D911" s="10" t="s">
        <v>4097</v>
      </c>
      <c r="E911" s="9" t="str">
        <f>HYPERLINK("https://twitter.com/WeAreKetka/status/1218599268291956736","1218599268291956736")</f>
        <v>1218599268291956736</v>
      </c>
      <c r="F911" s="11" t="s">
        <v>4098</v>
      </c>
      <c r="G911" s="13"/>
      <c r="H911" s="13"/>
      <c r="I911" s="14">
        <v>0.0</v>
      </c>
      <c r="J911" s="14">
        <v>0.0</v>
      </c>
      <c r="K911" s="9" t="str">
        <f>HYPERLINK("http://twitter.com","Twitter Web Client")</f>
        <v>Twitter Web Client</v>
      </c>
      <c r="L911" s="15">
        <v>51.0</v>
      </c>
      <c r="M911" s="15">
        <v>90.0</v>
      </c>
      <c r="N911" s="15">
        <v>0.0</v>
      </c>
      <c r="O911" s="16"/>
      <c r="P911" s="17">
        <v>43600.30873842593</v>
      </c>
      <c r="Q911" s="10" t="s">
        <v>2805</v>
      </c>
      <c r="R911" s="10" t="s">
        <v>3524</v>
      </c>
      <c r="S911" s="11" t="s">
        <v>3525</v>
      </c>
      <c r="T911" s="13"/>
      <c r="U911" s="18" t="str">
        <f>HYPERLINK("https://pbs.twimg.com/profile_images/1158701343806251009/rdK8KA7w.png","View")</f>
        <v>View</v>
      </c>
      <c r="V911" s="13"/>
      <c r="W911" s="13"/>
      <c r="X911" s="13"/>
      <c r="Y911" s="13"/>
      <c r="Z911" s="13"/>
    </row>
    <row r="912">
      <c r="A912" s="8">
        <v>43848.555879629625</v>
      </c>
      <c r="B912" s="9" t="str">
        <f>HYPERLINK("https://twitter.com/fion_law06","@fion_law06")</f>
        <v>@fion_law06</v>
      </c>
      <c r="C912" s="10" t="s">
        <v>4099</v>
      </c>
      <c r="D912" s="10" t="s">
        <v>4100</v>
      </c>
      <c r="E912" s="9" t="str">
        <f>HYPERLINK("https://twitter.com/fion_law06/status/1218599050292973569","1218599050292973569")</f>
        <v>1218599050292973569</v>
      </c>
      <c r="F912" s="13"/>
      <c r="G912" s="13"/>
      <c r="H912" s="13"/>
      <c r="I912" s="14">
        <v>0.0</v>
      </c>
      <c r="J912" s="14">
        <v>1.0</v>
      </c>
      <c r="K912" s="9" t="str">
        <f t="shared" ref="K912:K915" si="107">HYPERLINK("http://twitter.com/download/iphone","Twitter for iPhone")</f>
        <v>Twitter for iPhone</v>
      </c>
      <c r="L912" s="15">
        <v>221.0</v>
      </c>
      <c r="M912" s="15">
        <v>263.0</v>
      </c>
      <c r="N912" s="15">
        <v>4.0</v>
      </c>
      <c r="O912" s="16"/>
      <c r="P912" s="17">
        <v>41663.313622685186</v>
      </c>
      <c r="Q912" s="10" t="s">
        <v>91</v>
      </c>
      <c r="R912" s="10" t="s">
        <v>4101</v>
      </c>
      <c r="S912" s="11" t="s">
        <v>4102</v>
      </c>
      <c r="T912" s="13"/>
      <c r="U912" s="18" t="str">
        <f>HYPERLINK("https://pbs.twimg.com/profile_images/1201264956483784705/HV_RoBk0.jpg","View")</f>
        <v>View</v>
      </c>
      <c r="V912" s="13"/>
      <c r="W912" s="13"/>
      <c r="X912" s="13"/>
      <c r="Y912" s="13"/>
      <c r="Z912" s="13"/>
    </row>
    <row r="913">
      <c r="A913" s="8">
        <v>43848.55584490741</v>
      </c>
      <c r="B913" s="9" t="str">
        <f>HYPERLINK("https://twitter.com/JFClaude","@JFClaude")</f>
        <v>@JFClaude</v>
      </c>
      <c r="C913" s="10" t="s">
        <v>4103</v>
      </c>
      <c r="D913" s="10" t="s">
        <v>4104</v>
      </c>
      <c r="E913" s="9" t="str">
        <f>HYPERLINK("https://twitter.com/JFClaude/status/1218599036783091713","1218599036783091713")</f>
        <v>1218599036783091713</v>
      </c>
      <c r="F913" s="13"/>
      <c r="G913" s="13"/>
      <c r="H913" s="13"/>
      <c r="I913" s="14">
        <v>1.0</v>
      </c>
      <c r="J913" s="14">
        <v>4.0</v>
      </c>
      <c r="K913" s="9" t="str">
        <f t="shared" si="107"/>
        <v>Twitter for iPhone</v>
      </c>
      <c r="L913" s="15">
        <v>10309.0</v>
      </c>
      <c r="M913" s="15">
        <v>2213.0</v>
      </c>
      <c r="N913" s="15">
        <v>595.0</v>
      </c>
      <c r="O913" s="16"/>
      <c r="P913" s="17">
        <v>41204.36869212963</v>
      </c>
      <c r="Q913" s="10" t="s">
        <v>4105</v>
      </c>
      <c r="R913" s="10" t="s">
        <v>4106</v>
      </c>
      <c r="S913" s="11" t="s">
        <v>4107</v>
      </c>
      <c r="T913" s="13"/>
      <c r="U913" s="18" t="str">
        <f>HYPERLINK("https://pbs.twimg.com/profile_images/1203805087648358402/5Nh7DqYY.jpg","View")</f>
        <v>View</v>
      </c>
      <c r="V913" s="13"/>
      <c r="W913" s="13"/>
      <c r="X913" s="13"/>
      <c r="Y913" s="13"/>
      <c r="Z913" s="13"/>
    </row>
    <row r="914">
      <c r="A914" s="8">
        <v>43848.55584490741</v>
      </c>
      <c r="B914" s="9" t="str">
        <f>HYPERLINK("https://twitter.com/RepLauraHallD19","@RepLauraHallD19")</f>
        <v>@RepLauraHallD19</v>
      </c>
      <c r="C914" s="10" t="s">
        <v>4108</v>
      </c>
      <c r="D914" s="10" t="s">
        <v>4109</v>
      </c>
      <c r="E914" s="9" t="str">
        <f>HYPERLINK("https://twitter.com/RepLauraHallD19/status/1218599035457634309","1218599035457634309")</f>
        <v>1218599035457634309</v>
      </c>
      <c r="F914" s="11" t="s">
        <v>4110</v>
      </c>
      <c r="G914" s="13"/>
      <c r="H914" s="13"/>
      <c r="I914" s="14">
        <v>1.0</v>
      </c>
      <c r="J914" s="14">
        <v>0.0</v>
      </c>
      <c r="K914" s="9" t="str">
        <f t="shared" si="107"/>
        <v>Twitter for iPhone</v>
      </c>
      <c r="L914" s="15">
        <v>3400.0</v>
      </c>
      <c r="M914" s="15">
        <v>4800.0</v>
      </c>
      <c r="N914" s="15">
        <v>91.0</v>
      </c>
      <c r="O914" s="21" t="s">
        <v>522</v>
      </c>
      <c r="P914" s="17">
        <v>41923.40217592593</v>
      </c>
      <c r="Q914" s="10" t="s">
        <v>3643</v>
      </c>
      <c r="R914" s="10" t="s">
        <v>4111</v>
      </c>
      <c r="S914" s="11" t="s">
        <v>4112</v>
      </c>
      <c r="T914" s="13"/>
      <c r="U914" s="18" t="str">
        <f>HYPERLINK("https://pbs.twimg.com/profile_images/839570604055531534/5LEDVjt5.jpg","View")</f>
        <v>View</v>
      </c>
      <c r="V914" s="13"/>
      <c r="W914" s="13"/>
      <c r="X914" s="13"/>
      <c r="Y914" s="13"/>
      <c r="Z914" s="13"/>
    </row>
    <row r="915">
      <c r="A915" s="8">
        <v>43848.555763888886</v>
      </c>
      <c r="B915" s="9" t="str">
        <f>HYPERLINK("https://twitter.com/GTime4change","@GTime4change")</f>
        <v>@GTime4change</v>
      </c>
      <c r="C915" s="10" t="s">
        <v>4113</v>
      </c>
      <c r="D915" s="10" t="s">
        <v>4114</v>
      </c>
      <c r="E915" s="9" t="str">
        <f>HYPERLINK("https://twitter.com/GTime4change/status/1218599006256926723","1218599006256926723")</f>
        <v>1218599006256926723</v>
      </c>
      <c r="F915" s="13"/>
      <c r="G915" s="13"/>
      <c r="H915" s="13"/>
      <c r="I915" s="14">
        <v>0.0</v>
      </c>
      <c r="J915" s="14">
        <v>0.0</v>
      </c>
      <c r="K915" s="9" t="str">
        <f t="shared" si="107"/>
        <v>Twitter for iPhone</v>
      </c>
      <c r="L915" s="15">
        <v>708.0</v>
      </c>
      <c r="M915" s="15">
        <v>2150.0</v>
      </c>
      <c r="N915" s="15">
        <v>3.0</v>
      </c>
      <c r="O915" s="16"/>
      <c r="P915" s="17">
        <v>43636.615694444445</v>
      </c>
      <c r="Q915" s="10" t="s">
        <v>4115</v>
      </c>
      <c r="R915" s="10" t="s">
        <v>4116</v>
      </c>
      <c r="S915" s="13"/>
      <c r="T915" s="13"/>
      <c r="U915" s="18" t="str">
        <f>HYPERLINK("https://pbs.twimg.com/profile_images/1149085224988487681/wDz-izce.jpg","View")</f>
        <v>View</v>
      </c>
      <c r="V915" s="13"/>
      <c r="W915" s="13"/>
      <c r="X915" s="13"/>
      <c r="Y915" s="13"/>
      <c r="Z915" s="13"/>
    </row>
    <row r="916">
      <c r="A916" s="8">
        <v>43848.55564814815</v>
      </c>
      <c r="B916" s="9" t="str">
        <f>HYPERLINK("https://twitter.com/NAMIWalksLAC","@NAMIWalksLAC")</f>
        <v>@NAMIWalksLAC</v>
      </c>
      <c r="C916" s="10" t="s">
        <v>4117</v>
      </c>
      <c r="D916" s="10" t="s">
        <v>4118</v>
      </c>
      <c r="E916" s="9" t="str">
        <f>HYPERLINK("https://twitter.com/NAMIWalksLAC/status/1218598963445686272","1218598963445686272")</f>
        <v>1218598963445686272</v>
      </c>
      <c r="F916" s="11" t="s">
        <v>4119</v>
      </c>
      <c r="G916" s="11" t="s">
        <v>4120</v>
      </c>
      <c r="H916" s="13"/>
      <c r="I916" s="14">
        <v>0.0</v>
      </c>
      <c r="J916" s="14">
        <v>0.0</v>
      </c>
      <c r="K916" s="9" t="str">
        <f t="shared" ref="K916:K917" si="108">HYPERLINK("https://www.hootsuite.com","Hootsuite Inc.")</f>
        <v>Hootsuite Inc.</v>
      </c>
      <c r="L916" s="15">
        <v>670.0</v>
      </c>
      <c r="M916" s="15">
        <v>550.0</v>
      </c>
      <c r="N916" s="15">
        <v>14.0</v>
      </c>
      <c r="O916" s="16"/>
      <c r="P916" s="17">
        <v>41435.59585648148</v>
      </c>
      <c r="Q916" s="10" t="s">
        <v>382</v>
      </c>
      <c r="R916" s="10" t="s">
        <v>4121</v>
      </c>
      <c r="S916" s="11" t="s">
        <v>4122</v>
      </c>
      <c r="T916" s="13"/>
      <c r="U916" s="18" t="str">
        <f>HYPERLINK("https://pbs.twimg.com/profile_images/1108785248634990592/saEhq8s6.png","View")</f>
        <v>View</v>
      </c>
      <c r="V916" s="13"/>
      <c r="W916" s="13"/>
      <c r="X916" s="13"/>
      <c r="Y916" s="13"/>
      <c r="Z916" s="13"/>
    </row>
    <row r="917">
      <c r="A917" s="8">
        <v>43848.555625</v>
      </c>
      <c r="B917" s="9" t="str">
        <f>HYPERLINK("https://twitter.com/TIOttawa","@TIOttawa")</f>
        <v>@TIOttawa</v>
      </c>
      <c r="C917" s="10" t="s">
        <v>4123</v>
      </c>
      <c r="D917" s="10" t="s">
        <v>4124</v>
      </c>
      <c r="E917" s="9" t="str">
        <f>HYPERLINK("https://twitter.com/TIOttawa/status/1218598957200310274","1218598957200310274")</f>
        <v>1218598957200310274</v>
      </c>
      <c r="F917" s="13"/>
      <c r="G917" s="11" t="s">
        <v>4125</v>
      </c>
      <c r="H917" s="13"/>
      <c r="I917" s="14">
        <v>0.0</v>
      </c>
      <c r="J917" s="14">
        <v>0.0</v>
      </c>
      <c r="K917" s="9" t="str">
        <f t="shared" si="108"/>
        <v>Hootsuite Inc.</v>
      </c>
      <c r="L917" s="15">
        <v>718.0</v>
      </c>
      <c r="M917" s="15">
        <v>303.0</v>
      </c>
      <c r="N917" s="15">
        <v>12.0</v>
      </c>
      <c r="O917" s="16"/>
      <c r="P917" s="17">
        <v>41193.97798611111</v>
      </c>
      <c r="Q917" s="10" t="s">
        <v>650</v>
      </c>
      <c r="R917" s="10" t="s">
        <v>4126</v>
      </c>
      <c r="S917" s="11" t="s">
        <v>4127</v>
      </c>
      <c r="T917" s="13"/>
      <c r="U917" s="18" t="str">
        <f>HYPERLINK("https://pbs.twimg.com/profile_images/1131962291044454402/UIe34E5S.png","View")</f>
        <v>View</v>
      </c>
      <c r="V917" s="13"/>
      <c r="W917" s="13"/>
      <c r="X917" s="13"/>
      <c r="Y917" s="13"/>
      <c r="Z917" s="13"/>
    </row>
    <row r="918">
      <c r="A918" s="8">
        <v>43848.5555787037</v>
      </c>
      <c r="B918" s="9" t="str">
        <f>HYPERLINK("https://twitter.com/SamaritansIRL","@SamaritansIRL")</f>
        <v>@SamaritansIRL</v>
      </c>
      <c r="C918" s="10" t="s">
        <v>4128</v>
      </c>
      <c r="D918" s="10" t="s">
        <v>4129</v>
      </c>
      <c r="E918" s="9" t="str">
        <f>HYPERLINK("https://twitter.com/SamaritansIRL/status/1218598941626896384","1218598941626896384")</f>
        <v>1218598941626896384</v>
      </c>
      <c r="F918" s="11" t="s">
        <v>4130</v>
      </c>
      <c r="G918" s="11" t="s">
        <v>4131</v>
      </c>
      <c r="H918" s="13"/>
      <c r="I918" s="14">
        <v>6.0</v>
      </c>
      <c r="J918" s="14">
        <v>8.0</v>
      </c>
      <c r="K918" s="9" t="str">
        <f t="shared" ref="K918:K919" si="109">HYPERLINK("https://mobile.twitter.com","Twitter Web App")</f>
        <v>Twitter Web App</v>
      </c>
      <c r="L918" s="15">
        <v>7921.0</v>
      </c>
      <c r="M918" s="15">
        <v>1613.0</v>
      </c>
      <c r="N918" s="15">
        <v>72.0</v>
      </c>
      <c r="O918" s="21" t="s">
        <v>522</v>
      </c>
      <c r="P918" s="17">
        <v>41266.49983796296</v>
      </c>
      <c r="Q918" s="10" t="s">
        <v>4132</v>
      </c>
      <c r="R918" s="10" t="s">
        <v>4133</v>
      </c>
      <c r="S918" s="11" t="s">
        <v>4134</v>
      </c>
      <c r="T918" s="13"/>
      <c r="U918" s="18" t="str">
        <f>HYPERLINK("https://pbs.twimg.com/profile_images/1105464042741739520/5IA0u1P6.png","View")</f>
        <v>View</v>
      </c>
      <c r="V918" s="13"/>
      <c r="W918" s="13"/>
      <c r="X918" s="13"/>
      <c r="Y918" s="13"/>
      <c r="Z918" s="13"/>
    </row>
    <row r="919">
      <c r="A919" s="8">
        <v>43848.55530092593</v>
      </c>
      <c r="B919" s="9" t="str">
        <f>HYPERLINK("https://twitter.com/sheldonbailey","@sheldonbailey")</f>
        <v>@sheldonbailey</v>
      </c>
      <c r="C919" s="10" t="s">
        <v>2110</v>
      </c>
      <c r="D919" s="10" t="s">
        <v>4135</v>
      </c>
      <c r="E919" s="9" t="str">
        <f>HYPERLINK("https://twitter.com/sheldonbailey/status/1218598840996990976","1218598840996990976")</f>
        <v>1218598840996990976</v>
      </c>
      <c r="F919" s="10" t="s">
        <v>4136</v>
      </c>
      <c r="G919" s="13"/>
      <c r="H919" s="13"/>
      <c r="I919" s="14">
        <v>2.0</v>
      </c>
      <c r="J919" s="14">
        <v>5.0</v>
      </c>
      <c r="K919" s="9" t="str">
        <f t="shared" si="109"/>
        <v>Twitter Web App</v>
      </c>
      <c r="L919" s="15">
        <v>1261.0</v>
      </c>
      <c r="M919" s="15">
        <v>1257.0</v>
      </c>
      <c r="N919" s="15">
        <v>28.0</v>
      </c>
      <c r="O919" s="16"/>
      <c r="P919" s="17">
        <v>39743.79922453704</v>
      </c>
      <c r="Q919" s="10" t="s">
        <v>2113</v>
      </c>
      <c r="R919" s="10" t="s">
        <v>2114</v>
      </c>
      <c r="S919" s="13"/>
      <c r="T919" s="13"/>
      <c r="U919" s="18" t="str">
        <f>HYPERLINK("https://pbs.twimg.com/profile_images/1022293945764597760/_UgOTs4N.jpg","View")</f>
        <v>View</v>
      </c>
      <c r="V919" s="13"/>
      <c r="W919" s="13"/>
      <c r="X919" s="13"/>
      <c r="Y919" s="13"/>
      <c r="Z919" s="13"/>
    </row>
    <row r="920">
      <c r="A920" s="8">
        <v>43848.55458333333</v>
      </c>
      <c r="B920" s="9" t="str">
        <f>HYPERLINK("https://twitter.com/JFClaude_GC","@JFClaude_GC")</f>
        <v>@JFClaude_GC</v>
      </c>
      <c r="C920" s="10" t="s">
        <v>4137</v>
      </c>
      <c r="D920" s="10" t="s">
        <v>4104</v>
      </c>
      <c r="E920" s="9" t="str">
        <f>HYPERLINK("https://twitter.com/JFClaude_GC/status/1218598579985534976","1218598579985534976")</f>
        <v>1218598579985534976</v>
      </c>
      <c r="F920" s="13"/>
      <c r="G920" s="13"/>
      <c r="H920" s="13"/>
      <c r="I920" s="14">
        <v>0.0</v>
      </c>
      <c r="J920" s="14">
        <v>3.0</v>
      </c>
      <c r="K920" s="9" t="str">
        <f t="shared" ref="K920:K922" si="110">HYPERLINK("http://twitter.com/download/iphone","Twitter for iPhone")</f>
        <v>Twitter for iPhone</v>
      </c>
      <c r="L920" s="15">
        <v>2063.0</v>
      </c>
      <c r="M920" s="15">
        <v>1986.0</v>
      </c>
      <c r="N920" s="15">
        <v>118.0</v>
      </c>
      <c r="O920" s="16"/>
      <c r="P920" s="17">
        <v>42318.347662037035</v>
      </c>
      <c r="Q920" s="10" t="s">
        <v>4138</v>
      </c>
      <c r="R920" s="10" t="s">
        <v>4139</v>
      </c>
      <c r="S920" s="11" t="s">
        <v>4140</v>
      </c>
      <c r="T920" s="13"/>
      <c r="U920" s="18" t="str">
        <f>HYPERLINK("https://pbs.twimg.com/profile_images/1210252503352332289/DipsN4pd.jpg","View")</f>
        <v>View</v>
      </c>
      <c r="V920" s="13"/>
      <c r="W920" s="13"/>
      <c r="X920" s="13"/>
      <c r="Y920" s="13"/>
      <c r="Z920" s="13"/>
    </row>
    <row r="921">
      <c r="A921" s="8">
        <v>43848.55401620371</v>
      </c>
      <c r="B921" s="9" t="str">
        <f>HYPERLINK("https://twitter.com/SueAtkins","@SueAtkins")</f>
        <v>@SueAtkins</v>
      </c>
      <c r="C921" s="10" t="s">
        <v>4141</v>
      </c>
      <c r="D921" s="10" t="s">
        <v>4142</v>
      </c>
      <c r="E921" s="9" t="str">
        <f>HYPERLINK("https://twitter.com/SueAtkins/status/1218598372568903680","1218598372568903680")</f>
        <v>1218598372568903680</v>
      </c>
      <c r="F921" s="11" t="s">
        <v>4143</v>
      </c>
      <c r="G921" s="11" t="s">
        <v>4144</v>
      </c>
      <c r="H921" s="13"/>
      <c r="I921" s="14">
        <v>0.0</v>
      </c>
      <c r="J921" s="14">
        <v>0.0</v>
      </c>
      <c r="K921" s="9" t="str">
        <f t="shared" si="110"/>
        <v>Twitter for iPhone</v>
      </c>
      <c r="L921" s="15">
        <v>31453.0</v>
      </c>
      <c r="M921" s="15">
        <v>2042.0</v>
      </c>
      <c r="N921" s="15">
        <v>1376.0</v>
      </c>
      <c r="O921" s="16"/>
      <c r="P921" s="17">
        <v>39750.51818287037</v>
      </c>
      <c r="Q921" s="10" t="s">
        <v>4145</v>
      </c>
      <c r="R921" s="10" t="s">
        <v>4146</v>
      </c>
      <c r="S921" s="11" t="s">
        <v>4147</v>
      </c>
      <c r="T921" s="13"/>
      <c r="U921" s="18" t="str">
        <f>HYPERLINK("https://pbs.twimg.com/profile_images/1211785057431695361/HqLMQEp0.jpg","View")</f>
        <v>View</v>
      </c>
      <c r="V921" s="13"/>
      <c r="W921" s="13"/>
      <c r="X921" s="13"/>
      <c r="Y921" s="13"/>
      <c r="Z921" s="13"/>
    </row>
    <row r="922">
      <c r="A922" s="8">
        <v>43848.55375</v>
      </c>
      <c r="B922" s="9" t="str">
        <f>HYPERLINK("https://twitter.com/MSchmidt82","@MSchmidt82")</f>
        <v>@MSchmidt82</v>
      </c>
      <c r="C922" s="10" t="s">
        <v>4148</v>
      </c>
      <c r="D922" s="10" t="s">
        <v>4149</v>
      </c>
      <c r="E922" s="9" t="str">
        <f>HYPERLINK("https://twitter.com/MSchmidt82/status/1218598277500809217","1218598277500809217")</f>
        <v>1218598277500809217</v>
      </c>
      <c r="F922" s="13"/>
      <c r="G922" s="13"/>
      <c r="H922" s="13"/>
      <c r="I922" s="14">
        <v>0.0</v>
      </c>
      <c r="J922" s="14">
        <v>1.0</v>
      </c>
      <c r="K922" s="9" t="str">
        <f t="shared" si="110"/>
        <v>Twitter for iPhone</v>
      </c>
      <c r="L922" s="15">
        <v>422.0</v>
      </c>
      <c r="M922" s="15">
        <v>833.0</v>
      </c>
      <c r="N922" s="15">
        <v>87.0</v>
      </c>
      <c r="O922" s="16"/>
      <c r="P922" s="17">
        <v>40998.81421296296</v>
      </c>
      <c r="Q922" s="10" t="s">
        <v>3050</v>
      </c>
      <c r="R922" s="10" t="s">
        <v>4150</v>
      </c>
      <c r="S922" s="11" t="s">
        <v>4151</v>
      </c>
      <c r="T922" s="13"/>
      <c r="U922" s="18" t="str">
        <f>HYPERLINK("https://pbs.twimg.com/profile_images/947339231604760576/KLCPw0G_.jpg","View")</f>
        <v>View</v>
      </c>
      <c r="V922" s="13"/>
      <c r="W922" s="13"/>
      <c r="X922" s="13"/>
      <c r="Y922" s="13"/>
      <c r="Z922" s="13"/>
    </row>
    <row r="923">
      <c r="A923" s="8">
        <v>43848.55353009259</v>
      </c>
      <c r="B923" s="9" t="str">
        <f>HYPERLINK("https://twitter.com/JeffEsTake","@JeffEsTake")</f>
        <v>@JeffEsTake</v>
      </c>
      <c r="C923" s="10" t="s">
        <v>2353</v>
      </c>
      <c r="D923" s="10" t="s">
        <v>2354</v>
      </c>
      <c r="E923" s="9" t="str">
        <f>HYPERLINK("https://twitter.com/JeffEsTake/status/1218598198610186241","1218598198610186241")</f>
        <v>1218598198610186241</v>
      </c>
      <c r="F923" s="13"/>
      <c r="G923" s="11" t="s">
        <v>4152</v>
      </c>
      <c r="H923" s="13"/>
      <c r="I923" s="14">
        <v>1.0</v>
      </c>
      <c r="J923" s="14">
        <v>1.0</v>
      </c>
      <c r="K923" s="9" t="str">
        <f>HYPERLINK("https://crowdfireapp.com","Crowdfire App")</f>
        <v>Crowdfire App</v>
      </c>
      <c r="L923" s="15">
        <v>6245.0</v>
      </c>
      <c r="M923" s="15">
        <v>6852.0</v>
      </c>
      <c r="N923" s="15">
        <v>42.0</v>
      </c>
      <c r="O923" s="16"/>
      <c r="P923" s="17">
        <v>42948.81599537037</v>
      </c>
      <c r="Q923" s="10" t="s">
        <v>171</v>
      </c>
      <c r="R923" s="10" t="s">
        <v>2356</v>
      </c>
      <c r="S923" s="11" t="s">
        <v>2357</v>
      </c>
      <c r="T923" s="13"/>
      <c r="U923" s="18" t="str">
        <f>HYPERLINK("https://pbs.twimg.com/profile_images/1168678746368303104/Oz0bee4D.jpg","View")</f>
        <v>View</v>
      </c>
      <c r="V923" s="13"/>
      <c r="W923" s="13"/>
      <c r="X923" s="13"/>
      <c r="Y923" s="13"/>
      <c r="Z923" s="13"/>
    </row>
    <row r="924">
      <c r="A924" s="8">
        <v>43848.55230324074</v>
      </c>
      <c r="B924" s="9" t="str">
        <f>HYPERLINK("https://twitter.com/jen_beekman","@jen_beekman")</f>
        <v>@jen_beekman</v>
      </c>
      <c r="C924" s="10" t="s">
        <v>4153</v>
      </c>
      <c r="D924" s="10" t="s">
        <v>4154</v>
      </c>
      <c r="E924" s="9" t="str">
        <f>HYPERLINK("https://twitter.com/jen_beekman/status/1218597755255427072","1218597755255427072")</f>
        <v>1218597755255427072</v>
      </c>
      <c r="F924" s="11" t="s">
        <v>4155</v>
      </c>
      <c r="G924" s="13"/>
      <c r="H924" s="13"/>
      <c r="I924" s="14">
        <v>3.0</v>
      </c>
      <c r="J924" s="14">
        <v>4.0</v>
      </c>
      <c r="K924" s="9" t="str">
        <f>HYPERLINK("http://twitter.com/download/iphone","Twitter for iPhone")</f>
        <v>Twitter for iPhone</v>
      </c>
      <c r="L924" s="15">
        <v>657.0</v>
      </c>
      <c r="M924" s="15">
        <v>583.0</v>
      </c>
      <c r="N924" s="15">
        <v>20.0</v>
      </c>
      <c r="O924" s="16"/>
      <c r="P924" s="17">
        <v>40053.56153935185</v>
      </c>
      <c r="Q924" s="13"/>
      <c r="R924" s="10" t="s">
        <v>4156</v>
      </c>
      <c r="S924" s="13"/>
      <c r="T924" s="13"/>
      <c r="U924" s="18" t="str">
        <f>HYPERLINK("https://pbs.twimg.com/profile_images/470997764105437184/bZApo12o.jpeg","View")</f>
        <v>View</v>
      </c>
      <c r="V924" s="13"/>
      <c r="W924" s="13"/>
      <c r="X924" s="13"/>
      <c r="Y924" s="13"/>
      <c r="Z924" s="13"/>
    </row>
    <row r="925">
      <c r="A925" s="8">
        <v>43848.55226851851</v>
      </c>
      <c r="B925" s="9" t="str">
        <f>HYPERLINK("https://twitter.com/chris_hercules","@chris_hercules")</f>
        <v>@chris_hercules</v>
      </c>
      <c r="C925" s="10" t="s">
        <v>4157</v>
      </c>
      <c r="D925" s="10" t="s">
        <v>4158</v>
      </c>
      <c r="E925" s="9" t="str">
        <f>HYPERLINK("https://twitter.com/chris_hercules/status/1218597739447160832","1218597739447160832")</f>
        <v>1218597739447160832</v>
      </c>
      <c r="F925" s="11" t="s">
        <v>4159</v>
      </c>
      <c r="G925" s="13"/>
      <c r="H925" s="13"/>
      <c r="I925" s="14">
        <v>2.0</v>
      </c>
      <c r="J925" s="14">
        <v>2.0</v>
      </c>
      <c r="K925" s="9" t="str">
        <f>HYPERLINK("http://instagram.com","Instagram")</f>
        <v>Instagram</v>
      </c>
      <c r="L925" s="15">
        <v>142.0</v>
      </c>
      <c r="M925" s="15">
        <v>123.0</v>
      </c>
      <c r="N925" s="15">
        <v>16.0</v>
      </c>
      <c r="O925" s="16"/>
      <c r="P925" s="17">
        <v>41270.746770833335</v>
      </c>
      <c r="Q925" s="10" t="s">
        <v>73</v>
      </c>
      <c r="R925" s="10" t="s">
        <v>4160</v>
      </c>
      <c r="S925" s="13"/>
      <c r="T925" s="13"/>
      <c r="U925" s="18" t="str">
        <f>HYPERLINK("https://pbs.twimg.com/profile_images/547702984550125568/Ram7yxrS.png","View")</f>
        <v>View</v>
      </c>
      <c r="V925" s="13"/>
      <c r="W925" s="13"/>
      <c r="X925" s="13"/>
      <c r="Y925" s="13"/>
      <c r="Z925" s="13"/>
    </row>
    <row r="926">
      <c r="A926" s="8">
        <v>43848.552141203705</v>
      </c>
      <c r="B926" s="9" t="str">
        <f>HYPERLINK("https://twitter.com/wearesinch","@wearesinch")</f>
        <v>@wearesinch</v>
      </c>
      <c r="C926" s="10" t="s">
        <v>4161</v>
      </c>
      <c r="D926" s="10" t="s">
        <v>4162</v>
      </c>
      <c r="E926" s="9" t="str">
        <f>HYPERLINK("https://twitter.com/wearesinch/status/1218597693737578498","1218597693737578498")</f>
        <v>1218597693737578498</v>
      </c>
      <c r="F926" s="11" t="s">
        <v>4163</v>
      </c>
      <c r="G926" s="11" t="s">
        <v>4164</v>
      </c>
      <c r="H926" s="13"/>
      <c r="I926" s="14">
        <v>2.0</v>
      </c>
      <c r="J926" s="14">
        <v>2.0</v>
      </c>
      <c r="K926" s="9" t="str">
        <f>HYPERLINK("https://www.hootsuite.com","Hootsuite Inc.")</f>
        <v>Hootsuite Inc.</v>
      </c>
      <c r="L926" s="15">
        <v>2483.0</v>
      </c>
      <c r="M926" s="15">
        <v>2475.0</v>
      </c>
      <c r="N926" s="15">
        <v>156.0</v>
      </c>
      <c r="O926" s="16"/>
      <c r="P926" s="17">
        <v>41762.4443287037</v>
      </c>
      <c r="Q926" s="13"/>
      <c r="R926" s="10" t="s">
        <v>4165</v>
      </c>
      <c r="S926" s="11" t="s">
        <v>4166</v>
      </c>
      <c r="T926" s="13"/>
      <c r="U926" s="18" t="str">
        <f>HYPERLINK("https://pbs.twimg.com/profile_images/1095595731853942785/crtVHvz_.png","View")</f>
        <v>View</v>
      </c>
      <c r="V926" s="13"/>
      <c r="W926" s="13"/>
      <c r="X926" s="13"/>
      <c r="Y926" s="13"/>
      <c r="Z926" s="13"/>
    </row>
    <row r="927">
      <c r="A927" s="8">
        <v>43848.55211805555</v>
      </c>
      <c r="B927" s="9" t="str">
        <f>HYPERLINK("https://twitter.com/HealthyPlace","@HealthyPlace")</f>
        <v>@HealthyPlace</v>
      </c>
      <c r="C927" s="10" t="s">
        <v>1457</v>
      </c>
      <c r="D927" s="10" t="s">
        <v>4167</v>
      </c>
      <c r="E927" s="9" t="str">
        <f>HYPERLINK("https://twitter.com/HealthyPlace/status/1218597687723024391","1218597687723024391")</f>
        <v>1218597687723024391</v>
      </c>
      <c r="F927" s="11" t="s">
        <v>4168</v>
      </c>
      <c r="G927" s="11" t="s">
        <v>4169</v>
      </c>
      <c r="H927" s="13"/>
      <c r="I927" s="14">
        <v>1.0</v>
      </c>
      <c r="J927" s="14">
        <v>0.0</v>
      </c>
      <c r="K927" s="9" t="str">
        <f>HYPERLINK("https://sproutsocial.com","Sprout Social")</f>
        <v>Sprout Social</v>
      </c>
      <c r="L927" s="15">
        <v>64943.0</v>
      </c>
      <c r="M927" s="15">
        <v>25049.0</v>
      </c>
      <c r="N927" s="15">
        <v>1710.0</v>
      </c>
      <c r="O927" s="16"/>
      <c r="P927" s="17">
        <v>39681.03928240741</v>
      </c>
      <c r="Q927" s="10" t="s">
        <v>1460</v>
      </c>
      <c r="R927" s="10" t="s">
        <v>1461</v>
      </c>
      <c r="S927" s="11" t="s">
        <v>1462</v>
      </c>
      <c r="T927" s="13"/>
      <c r="U927" s="18" t="str">
        <f>HYPERLINK("https://pbs.twimg.com/profile_images/753613454083252225/i5pr2xny.jpg","View")</f>
        <v>View</v>
      </c>
      <c r="V927" s="13"/>
      <c r="W927" s="13"/>
      <c r="X927" s="13"/>
      <c r="Y927" s="13"/>
      <c r="Z927" s="13"/>
    </row>
    <row r="928">
      <c r="A928" s="8">
        <v>43848.5516087963</v>
      </c>
      <c r="B928" s="9" t="str">
        <f>HYPERLINK("https://twitter.com/DebzK96","@DebzK96")</f>
        <v>@DebzK96</v>
      </c>
      <c r="C928" s="10" t="s">
        <v>4170</v>
      </c>
      <c r="D928" s="10" t="s">
        <v>4171</v>
      </c>
      <c r="E928" s="9" t="str">
        <f>HYPERLINK("https://twitter.com/DebzK96/status/1218597502250835970","1218597502250835970")</f>
        <v>1218597502250835970</v>
      </c>
      <c r="F928" s="13"/>
      <c r="G928" s="13"/>
      <c r="H928" s="13"/>
      <c r="I928" s="14">
        <v>1.0</v>
      </c>
      <c r="J928" s="14">
        <v>0.0</v>
      </c>
      <c r="K928" s="9" t="str">
        <f t="shared" ref="K928:K929" si="111">HYPERLINK("http://twitter.com/download/android","Twitter for Android")</f>
        <v>Twitter for Android</v>
      </c>
      <c r="L928" s="15">
        <v>718.0</v>
      </c>
      <c r="M928" s="15">
        <v>718.0</v>
      </c>
      <c r="N928" s="15">
        <v>1.0</v>
      </c>
      <c r="O928" s="16"/>
      <c r="P928" s="17">
        <v>42742.49195601852</v>
      </c>
      <c r="Q928" s="10" t="s">
        <v>4172</v>
      </c>
      <c r="R928" s="10" t="s">
        <v>4173</v>
      </c>
      <c r="S928" s="11" t="s">
        <v>4174</v>
      </c>
      <c r="T928" s="13"/>
      <c r="U928" s="18" t="str">
        <f>HYPERLINK("https://pbs.twimg.com/profile_images/1209369505278889984/JlVOc8J9.jpg","View")</f>
        <v>View</v>
      </c>
      <c r="V928" s="13"/>
      <c r="W928" s="13"/>
      <c r="X928" s="13"/>
      <c r="Y928" s="13"/>
      <c r="Z928" s="13"/>
    </row>
    <row r="929">
      <c r="A929" s="8">
        <v>43848.551574074074</v>
      </c>
      <c r="B929" s="9" t="str">
        <f>HYPERLINK("https://twitter.com/Pandey__shivam","@Pandey__shivam")</f>
        <v>@Pandey__shivam</v>
      </c>
      <c r="C929" s="10" t="s">
        <v>4175</v>
      </c>
      <c r="D929" s="10" t="s">
        <v>238</v>
      </c>
      <c r="E929" s="9" t="str">
        <f>HYPERLINK("https://twitter.com/Pandey__shivam/status/1218597489088946177","1218597489088946177")</f>
        <v>1218597489088946177</v>
      </c>
      <c r="F929" s="13"/>
      <c r="G929" s="13"/>
      <c r="H929" s="13"/>
      <c r="I929" s="14">
        <v>1.0</v>
      </c>
      <c r="J929" s="14">
        <v>1.0</v>
      </c>
      <c r="K929" s="9" t="str">
        <f t="shared" si="111"/>
        <v>Twitter for Android</v>
      </c>
      <c r="L929" s="15">
        <v>2348.0</v>
      </c>
      <c r="M929" s="15">
        <v>5001.0</v>
      </c>
      <c r="N929" s="15">
        <v>1.0</v>
      </c>
      <c r="O929" s="16"/>
      <c r="P929" s="17">
        <v>41973.013078703705</v>
      </c>
      <c r="Q929" s="10" t="s">
        <v>4176</v>
      </c>
      <c r="R929" s="10" t="s">
        <v>4177</v>
      </c>
      <c r="S929" s="13"/>
      <c r="T929" s="13"/>
      <c r="U929" s="18" t="str">
        <f>HYPERLINK("https://pbs.twimg.com/profile_images/1206921085045768192/8nhNw9jO.jpg","View")</f>
        <v>View</v>
      </c>
      <c r="V929" s="13"/>
      <c r="W929" s="13"/>
      <c r="X929" s="13"/>
      <c r="Y929" s="13"/>
      <c r="Z929" s="13"/>
    </row>
    <row r="930">
      <c r="A930" s="8">
        <v>43848.5515625</v>
      </c>
      <c r="B930" s="9" t="str">
        <f>HYPERLINK("https://twitter.com/JulieBurkeWatts","@JulieBurkeWatts")</f>
        <v>@JulieBurkeWatts</v>
      </c>
      <c r="C930" s="10" t="s">
        <v>4178</v>
      </c>
      <c r="D930" s="10" t="s">
        <v>4179</v>
      </c>
      <c r="E930" s="9" t="str">
        <f>HYPERLINK("https://twitter.com/JulieBurkeWatts/status/1218597485612060673","1218597485612060673")</f>
        <v>1218597485612060673</v>
      </c>
      <c r="F930" s="11" t="s">
        <v>4180</v>
      </c>
      <c r="G930" s="13"/>
      <c r="H930" s="13"/>
      <c r="I930" s="14">
        <v>1.0</v>
      </c>
      <c r="J930" s="14">
        <v>1.0</v>
      </c>
      <c r="K930" s="9" t="str">
        <f>HYPERLINK("http://www.facebook.com/twitter","Facebook")</f>
        <v>Facebook</v>
      </c>
      <c r="L930" s="15">
        <v>1005.0</v>
      </c>
      <c r="M930" s="15">
        <v>4408.0</v>
      </c>
      <c r="N930" s="15">
        <v>23.0</v>
      </c>
      <c r="O930" s="16"/>
      <c r="P930" s="17">
        <v>41720.329039351855</v>
      </c>
      <c r="Q930" s="10" t="s">
        <v>95</v>
      </c>
      <c r="R930" s="10" t="s">
        <v>4181</v>
      </c>
      <c r="S930" s="11" t="s">
        <v>4182</v>
      </c>
      <c r="T930" s="13"/>
      <c r="U930" s="18" t="str">
        <f>HYPERLINK("https://pbs.twimg.com/profile_images/1185876004872564738/zBtBq_iB.jpg","View")</f>
        <v>View</v>
      </c>
      <c r="V930" s="13"/>
      <c r="W930" s="13"/>
      <c r="X930" s="13"/>
      <c r="Y930" s="13"/>
      <c r="Z930" s="13"/>
    </row>
    <row r="931">
      <c r="A931" s="8">
        <v>43848.550833333335</v>
      </c>
      <c r="B931" s="9" t="str">
        <f>HYPERLINK("https://twitter.com/IzzyBolden","@IzzyBolden")</f>
        <v>@IzzyBolden</v>
      </c>
      <c r="C931" s="10" t="s">
        <v>4183</v>
      </c>
      <c r="D931" s="10" t="s">
        <v>4184</v>
      </c>
      <c r="E931" s="9" t="str">
        <f>HYPERLINK("https://twitter.com/IzzyBolden/status/1218597219789672449","1218597219789672449")</f>
        <v>1218597219789672449</v>
      </c>
      <c r="F931" s="11" t="s">
        <v>4185</v>
      </c>
      <c r="G931" s="11" t="s">
        <v>4186</v>
      </c>
      <c r="H931" s="13"/>
      <c r="I931" s="14">
        <v>0.0</v>
      </c>
      <c r="J931" s="14">
        <v>1.0</v>
      </c>
      <c r="K931" s="9" t="str">
        <f>HYPERLINK("http://twitter.com/download/iphone","Twitter for iPhone")</f>
        <v>Twitter for iPhone</v>
      </c>
      <c r="L931" s="15">
        <v>574.0</v>
      </c>
      <c r="M931" s="15">
        <v>408.0</v>
      </c>
      <c r="N931" s="15">
        <v>1.0</v>
      </c>
      <c r="O931" s="16"/>
      <c r="P931" s="17">
        <v>40800.91778935185</v>
      </c>
      <c r="Q931" s="10" t="s">
        <v>4187</v>
      </c>
      <c r="R931" s="10" t="s">
        <v>4188</v>
      </c>
      <c r="S931" s="11" t="s">
        <v>4189</v>
      </c>
      <c r="T931" s="13"/>
      <c r="U931" s="18" t="str">
        <f>HYPERLINK("https://pbs.twimg.com/profile_images/1215545151944298496/0bbAdjya.jpg","View")</f>
        <v>View</v>
      </c>
      <c r="V931" s="13"/>
      <c r="W931" s="13"/>
      <c r="X931" s="13"/>
      <c r="Y931" s="13"/>
      <c r="Z931" s="13"/>
    </row>
    <row r="932">
      <c r="A932" s="8">
        <v>43848.55038194444</v>
      </c>
      <c r="B932" s="9" t="str">
        <f>HYPERLINK("https://twitter.com/ChrisBroNext","@ChrisBroNext")</f>
        <v>@ChrisBroNext</v>
      </c>
      <c r="C932" s="10" t="s">
        <v>4190</v>
      </c>
      <c r="D932" s="10" t="s">
        <v>4191</v>
      </c>
      <c r="E932" s="9" t="str">
        <f>HYPERLINK("https://twitter.com/ChrisBroNext/status/1218597055913918464","1218597055913918464")</f>
        <v>1218597055913918464</v>
      </c>
      <c r="F932" s="11" t="s">
        <v>4192</v>
      </c>
      <c r="G932" s="11" t="s">
        <v>4193</v>
      </c>
      <c r="H932" s="13"/>
      <c r="I932" s="14">
        <v>1.0</v>
      </c>
      <c r="J932" s="14">
        <v>0.0</v>
      </c>
      <c r="K932" s="9" t="str">
        <f>HYPERLINK("https://trylately.com/","TryLately")</f>
        <v>TryLately</v>
      </c>
      <c r="L932" s="15">
        <v>2555.0</v>
      </c>
      <c r="M932" s="15">
        <v>907.0</v>
      </c>
      <c r="N932" s="15">
        <v>96.0</v>
      </c>
      <c r="O932" s="16"/>
      <c r="P932" s="17">
        <v>39918.59305555555</v>
      </c>
      <c r="Q932" s="10" t="s">
        <v>4194</v>
      </c>
      <c r="R932" s="10" t="s">
        <v>4195</v>
      </c>
      <c r="S932" s="11" t="s">
        <v>4196</v>
      </c>
      <c r="T932" s="13"/>
      <c r="U932" s="18" t="str">
        <f>HYPERLINK("https://pbs.twimg.com/profile_images/553660301950717952/gANJ6tCo.jpeg","View")</f>
        <v>View</v>
      </c>
      <c r="V932" s="13"/>
      <c r="W932" s="13"/>
      <c r="X932" s="13"/>
      <c r="Y932" s="13"/>
      <c r="Z932" s="13"/>
    </row>
    <row r="933">
      <c r="A933" s="8">
        <v>43848.549895833334</v>
      </c>
      <c r="B933" s="9" t="str">
        <f>HYPERLINK("https://twitter.com/Demograffix","@Demograffix")</f>
        <v>@Demograffix</v>
      </c>
      <c r="C933" s="10" t="s">
        <v>4197</v>
      </c>
      <c r="D933" s="10" t="s">
        <v>4198</v>
      </c>
      <c r="E933" s="9" t="str">
        <f>HYPERLINK("https://twitter.com/Demograffix/status/1218596881691021312","1218596881691021312")</f>
        <v>1218596881691021312</v>
      </c>
      <c r="F933" s="11" t="s">
        <v>4199</v>
      </c>
      <c r="G933" s="13"/>
      <c r="H933" s="13"/>
      <c r="I933" s="14">
        <v>2.0</v>
      </c>
      <c r="J933" s="14">
        <v>0.0</v>
      </c>
      <c r="K933" s="9" t="str">
        <f>HYPERLINK("http://instagram.com","Instagram")</f>
        <v>Instagram</v>
      </c>
      <c r="L933" s="15">
        <v>122.0</v>
      </c>
      <c r="M933" s="15">
        <v>180.0</v>
      </c>
      <c r="N933" s="15">
        <v>32.0</v>
      </c>
      <c r="O933" s="16"/>
      <c r="P933" s="17">
        <v>40216.188935185186</v>
      </c>
      <c r="Q933" s="10" t="s">
        <v>95</v>
      </c>
      <c r="R933" s="10" t="s">
        <v>4200</v>
      </c>
      <c r="S933" s="11" t="s">
        <v>4201</v>
      </c>
      <c r="T933" s="13"/>
      <c r="U933" s="18" t="str">
        <f>HYPERLINK("https://pbs.twimg.com/profile_images/1131280667/50097_1090380323_2092_q.jpg","View")</f>
        <v>View</v>
      </c>
      <c r="V933" s="13"/>
      <c r="W933" s="13"/>
      <c r="X933" s="13"/>
      <c r="Y933" s="13"/>
      <c r="Z933" s="13"/>
    </row>
    <row r="934">
      <c r="A934" s="8">
        <v>43848.54980324074</v>
      </c>
      <c r="B934" s="9" t="str">
        <f>HYPERLINK("https://twitter.com/alfamafie","@alfamafie")</f>
        <v>@alfamafie</v>
      </c>
      <c r="C934" s="10" t="s">
        <v>4202</v>
      </c>
      <c r="D934" s="10" t="s">
        <v>4203</v>
      </c>
      <c r="E934" s="9" t="str">
        <f>HYPERLINK("https://twitter.com/alfamafie/status/1218596846819598342","1218596846819598342")</f>
        <v>1218596846819598342</v>
      </c>
      <c r="F934" s="11" t="s">
        <v>4204</v>
      </c>
      <c r="G934" s="11" t="s">
        <v>4205</v>
      </c>
      <c r="H934" s="13"/>
      <c r="I934" s="14">
        <v>0.0</v>
      </c>
      <c r="J934" s="14">
        <v>0.0</v>
      </c>
      <c r="K934" s="9" t="str">
        <f>HYPERLINK("https://mobile.twitter.com","Twitter Web App")</f>
        <v>Twitter Web App</v>
      </c>
      <c r="L934" s="15">
        <v>86.0</v>
      </c>
      <c r="M934" s="15">
        <v>365.0</v>
      </c>
      <c r="N934" s="15">
        <v>0.0</v>
      </c>
      <c r="O934" s="16"/>
      <c r="P934" s="17">
        <v>42567.581504629634</v>
      </c>
      <c r="Q934" s="13"/>
      <c r="R934" s="10" t="s">
        <v>4206</v>
      </c>
      <c r="S934" s="11" t="s">
        <v>4207</v>
      </c>
      <c r="T934" s="13"/>
      <c r="U934" s="18" t="str">
        <f>HYPERLINK("https://pbs.twimg.com/profile_images/754390262252707842/HJwlLQjY.jpg","View")</f>
        <v>View</v>
      </c>
      <c r="V934" s="13"/>
      <c r="W934" s="13"/>
      <c r="X934" s="13"/>
      <c r="Y934" s="13"/>
      <c r="Z934" s="13"/>
    </row>
    <row r="935">
      <c r="A935" s="8">
        <v>43848.549525462964</v>
      </c>
      <c r="B935" s="9" t="str">
        <f>HYPERLINK("https://twitter.com/bharatvdeshmukh","@bharatvdeshmukh")</f>
        <v>@bharatvdeshmukh</v>
      </c>
      <c r="C935" s="10" t="s">
        <v>4208</v>
      </c>
      <c r="D935" s="10" t="s">
        <v>238</v>
      </c>
      <c r="E935" s="9" t="str">
        <f>HYPERLINK("https://twitter.com/bharatvdeshmukh/status/1218596746764226560","1218596746764226560")</f>
        <v>1218596746764226560</v>
      </c>
      <c r="F935" s="13"/>
      <c r="G935" s="13"/>
      <c r="H935" s="13"/>
      <c r="I935" s="14">
        <v>0.0</v>
      </c>
      <c r="J935" s="14">
        <v>0.0</v>
      </c>
      <c r="K935" s="9" t="str">
        <f>HYPERLINK("http://twitter.com/download/iphone","Twitter for iPhone")</f>
        <v>Twitter for iPhone</v>
      </c>
      <c r="L935" s="15">
        <v>359.0</v>
      </c>
      <c r="M935" s="15">
        <v>3507.0</v>
      </c>
      <c r="N935" s="15">
        <v>1.0</v>
      </c>
      <c r="O935" s="16"/>
      <c r="P935" s="17">
        <v>42123.52512731482</v>
      </c>
      <c r="Q935" s="13"/>
      <c r="R935" s="13"/>
      <c r="S935" s="13"/>
      <c r="T935" s="13"/>
      <c r="U935" s="18" t="str">
        <f>HYPERLINK("https://pbs.twimg.com/profile_images/596707464604594176/m19twPyG.jpg","View")</f>
        <v>View</v>
      </c>
      <c r="V935" s="13"/>
      <c r="W935" s="13"/>
      <c r="X935" s="13"/>
      <c r="Y935" s="13"/>
      <c r="Z935" s="13"/>
    </row>
    <row r="936">
      <c r="A936" s="8">
        <v>43848.549155092594</v>
      </c>
      <c r="B936" s="9" t="str">
        <f>HYPERLINK("https://twitter.com/animal_paws","@animal_paws")</f>
        <v>@animal_paws</v>
      </c>
      <c r="C936" s="10" t="s">
        <v>4209</v>
      </c>
      <c r="D936" s="10" t="s">
        <v>4210</v>
      </c>
      <c r="E936" s="9" t="str">
        <f>HYPERLINK("https://twitter.com/animal_paws/status/1218596610910932992","1218596610910932992")</f>
        <v>1218596610910932992</v>
      </c>
      <c r="F936" s="13"/>
      <c r="G936" s="11" t="s">
        <v>4211</v>
      </c>
      <c r="H936" s="13"/>
      <c r="I936" s="14">
        <v>1.0</v>
      </c>
      <c r="J936" s="14">
        <v>0.0</v>
      </c>
      <c r="K936" s="9" t="str">
        <f>HYPERLINK("https://mobile.twitter.com","Twitter Web App")</f>
        <v>Twitter Web App</v>
      </c>
      <c r="L936" s="15">
        <v>240.0</v>
      </c>
      <c r="M936" s="15">
        <v>275.0</v>
      </c>
      <c r="N936" s="15">
        <v>4.0</v>
      </c>
      <c r="O936" s="16"/>
      <c r="P936" s="17">
        <v>40322.73923611111</v>
      </c>
      <c r="Q936" s="10" t="s">
        <v>3868</v>
      </c>
      <c r="R936" s="10" t="s">
        <v>4212</v>
      </c>
      <c r="S936" s="13"/>
      <c r="T936" s="13"/>
      <c r="U936" s="18" t="str">
        <f>HYPERLINK("https://pbs.twimg.com/profile_images/1128245380397916161/L4lQoil6.jpg","View")</f>
        <v>View</v>
      </c>
      <c r="V936" s="13"/>
      <c r="W936" s="13"/>
      <c r="X936" s="13"/>
      <c r="Y936" s="13"/>
      <c r="Z936" s="13"/>
    </row>
    <row r="937">
      <c r="A937" s="8">
        <v>43848.54907407408</v>
      </c>
      <c r="B937" s="9" t="str">
        <f>HYPERLINK("https://twitter.com/KevinGoldman10","@KevinGoldman10")</f>
        <v>@KevinGoldman10</v>
      </c>
      <c r="C937" s="10" t="s">
        <v>4213</v>
      </c>
      <c r="D937" s="10" t="s">
        <v>4214</v>
      </c>
      <c r="E937" s="9" t="str">
        <f>HYPERLINK("https://twitter.com/KevinGoldman10/status/1218596585178894338","1218596585178894338")</f>
        <v>1218596585178894338</v>
      </c>
      <c r="F937" s="11" t="s">
        <v>4215</v>
      </c>
      <c r="G937" s="13"/>
      <c r="H937" s="13"/>
      <c r="I937" s="14">
        <v>0.0</v>
      </c>
      <c r="J937" s="14">
        <v>0.0</v>
      </c>
      <c r="K937" s="9" t="str">
        <f>HYPERLINK("http://twitter.com/download/iphone","Twitter for iPhone")</f>
        <v>Twitter for iPhone</v>
      </c>
      <c r="L937" s="15">
        <v>58.0</v>
      </c>
      <c r="M937" s="15">
        <v>272.0</v>
      </c>
      <c r="N937" s="15">
        <v>1.0</v>
      </c>
      <c r="O937" s="16"/>
      <c r="P937" s="17">
        <v>43017.60934027778</v>
      </c>
      <c r="Q937" s="10" t="s">
        <v>4216</v>
      </c>
      <c r="R937" s="10" t="s">
        <v>4217</v>
      </c>
      <c r="S937" s="13"/>
      <c r="T937" s="13"/>
      <c r="U937" s="18" t="str">
        <f>HYPERLINK("https://pbs.twimg.com/profile_images/1087104338424721408/pkwJgE6j.jpg","View")</f>
        <v>View</v>
      </c>
      <c r="V937" s="13"/>
      <c r="W937" s="13"/>
      <c r="X937" s="13"/>
      <c r="Y937" s="13"/>
      <c r="Z937" s="13"/>
    </row>
    <row r="938">
      <c r="A938" s="8">
        <v>43848.54859953704</v>
      </c>
      <c r="B938" s="9" t="str">
        <f>HYPERLINK("https://twitter.com/AnnikenHaga","@AnnikenHaga")</f>
        <v>@AnnikenHaga</v>
      </c>
      <c r="C938" s="10" t="s">
        <v>4218</v>
      </c>
      <c r="D938" s="10" t="s">
        <v>4219</v>
      </c>
      <c r="E938" s="9" t="str">
        <f>HYPERLINK("https://twitter.com/AnnikenHaga/status/1218596409286459394","1218596409286459394")</f>
        <v>1218596409286459394</v>
      </c>
      <c r="F938" s="13"/>
      <c r="G938" s="11" t="s">
        <v>4220</v>
      </c>
      <c r="H938" s="13"/>
      <c r="I938" s="14">
        <v>1.0</v>
      </c>
      <c r="J938" s="14">
        <v>4.0</v>
      </c>
      <c r="K938" s="9" t="str">
        <f>HYPERLINK("http://twitter.com/download/android","Twitter for Android")</f>
        <v>Twitter for Android</v>
      </c>
      <c r="L938" s="15">
        <v>511.0</v>
      </c>
      <c r="M938" s="15">
        <v>194.0</v>
      </c>
      <c r="N938" s="15">
        <v>163.0</v>
      </c>
      <c r="O938" s="16"/>
      <c r="P938" s="17">
        <v>42275.69180555556</v>
      </c>
      <c r="Q938" s="10" t="s">
        <v>4221</v>
      </c>
      <c r="R938" s="10" t="s">
        <v>4222</v>
      </c>
      <c r="S938" s="11" t="s">
        <v>4223</v>
      </c>
      <c r="T938" s="13"/>
      <c r="U938" s="18" t="str">
        <f>HYPERLINK("https://pbs.twimg.com/profile_images/1178335873215209477/cRxi02Xt.jpg","View")</f>
        <v>View</v>
      </c>
      <c r="V938" s="13"/>
      <c r="W938" s="13"/>
      <c r="X938" s="13"/>
      <c r="Y938" s="13"/>
      <c r="Z938" s="13"/>
    </row>
    <row r="939">
      <c r="A939" s="8">
        <v>43848.548113425924</v>
      </c>
      <c r="B939" s="9" t="str">
        <f>HYPERLINK("https://twitter.com/parentfamilysol","@parentfamilysol")</f>
        <v>@parentfamilysol</v>
      </c>
      <c r="C939" s="10" t="s">
        <v>4224</v>
      </c>
      <c r="D939" s="10" t="s">
        <v>4225</v>
      </c>
      <c r="E939" s="9" t="str">
        <f>HYPERLINK("https://twitter.com/parentfamilysol/status/1218596235352977414","1218596235352977414")</f>
        <v>1218596235352977414</v>
      </c>
      <c r="F939" s="13"/>
      <c r="G939" s="11" t="s">
        <v>4226</v>
      </c>
      <c r="H939" s="13"/>
      <c r="I939" s="14">
        <v>0.0</v>
      </c>
      <c r="J939" s="14">
        <v>0.0</v>
      </c>
      <c r="K939" s="9" t="str">
        <f>HYPERLINK("http://twitter.com/download/iphone","Twitter for iPhone")</f>
        <v>Twitter for iPhone</v>
      </c>
      <c r="L939" s="15">
        <v>42.0</v>
      </c>
      <c r="M939" s="15">
        <v>39.0</v>
      </c>
      <c r="N939" s="15">
        <v>0.0</v>
      </c>
      <c r="O939" s="16"/>
      <c r="P939" s="17">
        <v>40968.890173611115</v>
      </c>
      <c r="Q939" s="10" t="s">
        <v>1099</v>
      </c>
      <c r="R939" s="10" t="s">
        <v>4227</v>
      </c>
      <c r="S939" s="11" t="s">
        <v>4228</v>
      </c>
      <c r="T939" s="13"/>
      <c r="U939" s="18" t="str">
        <f>HYPERLINK("https://pbs.twimg.com/profile_images/938059387998035968/NBdJ4Lsu.jpg","View")</f>
        <v>View</v>
      </c>
      <c r="V939" s="13"/>
      <c r="W939" s="13"/>
      <c r="X939" s="13"/>
      <c r="Y939" s="13"/>
      <c r="Z939" s="13"/>
    </row>
    <row r="940">
      <c r="A940" s="8">
        <v>43848.54810185185</v>
      </c>
      <c r="B940" s="9" t="str">
        <f>HYPERLINK("https://twitter.com/EssexACF","@EssexACF")</f>
        <v>@EssexACF</v>
      </c>
      <c r="C940" s="10" t="s">
        <v>4229</v>
      </c>
      <c r="D940" s="10" t="s">
        <v>4230</v>
      </c>
      <c r="E940" s="9" t="str">
        <f>HYPERLINK("https://twitter.com/EssexACF/status/1218596232819544064","1218596232819544064")</f>
        <v>1218596232819544064</v>
      </c>
      <c r="F940" s="13"/>
      <c r="G940" s="11" t="s">
        <v>4231</v>
      </c>
      <c r="H940" s="13"/>
      <c r="I940" s="14">
        <v>0.0</v>
      </c>
      <c r="J940" s="14">
        <v>3.0</v>
      </c>
      <c r="K940" s="9" t="str">
        <f>HYPERLINK("https://mobile.twitter.com","Twitter Web App")</f>
        <v>Twitter Web App</v>
      </c>
      <c r="L940" s="15">
        <v>777.0</v>
      </c>
      <c r="M940" s="15">
        <v>415.0</v>
      </c>
      <c r="N940" s="15">
        <v>7.0</v>
      </c>
      <c r="O940" s="16"/>
      <c r="P940" s="17">
        <v>42248.44408564815</v>
      </c>
      <c r="Q940" s="10" t="s">
        <v>3849</v>
      </c>
      <c r="R940" s="10" t="s">
        <v>4232</v>
      </c>
      <c r="S940" s="11" t="s">
        <v>4233</v>
      </c>
      <c r="T940" s="13"/>
      <c r="U940" s="18" t="str">
        <f>HYPERLINK("https://pbs.twimg.com/profile_images/968612126276444160/N0l-X9cQ.jpg","View")</f>
        <v>View</v>
      </c>
      <c r="V940" s="13"/>
      <c r="W940" s="13"/>
      <c r="X940" s="13"/>
      <c r="Y940" s="13"/>
      <c r="Z940" s="13"/>
    </row>
    <row r="941">
      <c r="A941" s="8">
        <v>43848.54790509259</v>
      </c>
      <c r="B941" s="9" t="str">
        <f>HYPERLINK("https://twitter.com/FancyandTheCity","@FancyandTheCity")</f>
        <v>@FancyandTheCity</v>
      </c>
      <c r="C941" s="10" t="s">
        <v>4234</v>
      </c>
      <c r="D941" s="10" t="s">
        <v>238</v>
      </c>
      <c r="E941" s="9" t="str">
        <f>HYPERLINK("https://twitter.com/FancyandTheCity/status/1218596158429204481","1218596158429204481")</f>
        <v>1218596158429204481</v>
      </c>
      <c r="F941" s="13"/>
      <c r="G941" s="13"/>
      <c r="H941" s="13"/>
      <c r="I941" s="14">
        <v>0.0</v>
      </c>
      <c r="J941" s="14">
        <v>0.0</v>
      </c>
      <c r="K941" s="9" t="str">
        <f>HYPERLINK("http://twitter.com/download/android","Twitter for Android")</f>
        <v>Twitter for Android</v>
      </c>
      <c r="L941" s="15">
        <v>483.0</v>
      </c>
      <c r="M941" s="15">
        <v>1004.0</v>
      </c>
      <c r="N941" s="15">
        <v>4.0</v>
      </c>
      <c r="O941" s="16"/>
      <c r="P941" s="17">
        <v>39932.53291666666</v>
      </c>
      <c r="Q941" s="10" t="s">
        <v>4235</v>
      </c>
      <c r="R941" s="10" t="s">
        <v>4236</v>
      </c>
      <c r="S941" s="13"/>
      <c r="T941" s="13"/>
      <c r="U941" s="18" t="str">
        <f>HYPERLINK("https://pbs.twimg.com/profile_images/927665223065993216/OLE3D0fd.jpg","View")</f>
        <v>View</v>
      </c>
      <c r="V941" s="13"/>
      <c r="W941" s="13"/>
      <c r="X941" s="13"/>
      <c r="Y941" s="13"/>
      <c r="Z941" s="13"/>
    </row>
    <row r="942">
      <c r="A942" s="8">
        <v>43848.547893518524</v>
      </c>
      <c r="B942" s="9" t="str">
        <f>HYPERLINK("https://twitter.com/alicekubiske","@alicekubiske")</f>
        <v>@alicekubiske</v>
      </c>
      <c r="C942" s="10" t="s">
        <v>4237</v>
      </c>
      <c r="D942" s="10" t="s">
        <v>4238</v>
      </c>
      <c r="E942" s="9" t="str">
        <f>HYPERLINK("https://twitter.com/alicekubiske/status/1218596155107479552","1218596155107479552")</f>
        <v>1218596155107479552</v>
      </c>
      <c r="F942" s="11" t="s">
        <v>4239</v>
      </c>
      <c r="G942" s="13"/>
      <c r="H942" s="13"/>
      <c r="I942" s="14">
        <v>0.0</v>
      </c>
      <c r="J942" s="14">
        <v>0.0</v>
      </c>
      <c r="K942" s="9" t="str">
        <f>HYPERLINK("http://twitter.com","Twitter Web Client")</f>
        <v>Twitter Web Client</v>
      </c>
      <c r="L942" s="15">
        <v>125.0</v>
      </c>
      <c r="M942" s="15">
        <v>157.0</v>
      </c>
      <c r="N942" s="15">
        <v>1.0</v>
      </c>
      <c r="O942" s="16"/>
      <c r="P942" s="17">
        <v>40021.885775462964</v>
      </c>
      <c r="Q942" s="10" t="s">
        <v>4240</v>
      </c>
      <c r="R942" s="10" t="s">
        <v>4241</v>
      </c>
      <c r="S942" s="11" t="s">
        <v>4242</v>
      </c>
      <c r="T942" s="13"/>
      <c r="U942" s="18" t="str">
        <f>HYPERLINK("https://pbs.twimg.com/profile_images/1104903222853095425/ZyzX7eE_.png","View")</f>
        <v>View</v>
      </c>
      <c r="V942" s="13"/>
      <c r="W942" s="13"/>
      <c r="X942" s="13"/>
      <c r="Y942" s="13"/>
      <c r="Z942" s="13"/>
    </row>
    <row r="943">
      <c r="A943" s="8">
        <v>43848.547534722224</v>
      </c>
      <c r="B943" s="9" t="str">
        <f>HYPERLINK("https://twitter.com/_wastingspace_","@_wastingspace_")</f>
        <v>@_wastingspace_</v>
      </c>
      <c r="C943" s="10" t="s">
        <v>4243</v>
      </c>
      <c r="D943" s="10" t="s">
        <v>4244</v>
      </c>
      <c r="E943" s="9" t="str">
        <f>HYPERLINK("https://twitter.com/_wastingspace_/status/1218596026141024256","1218596026141024256")</f>
        <v>1218596026141024256</v>
      </c>
      <c r="F943" s="13"/>
      <c r="G943" s="11" t="s">
        <v>4245</v>
      </c>
      <c r="H943" s="13"/>
      <c r="I943" s="14">
        <v>0.0</v>
      </c>
      <c r="J943" s="14">
        <v>0.0</v>
      </c>
      <c r="K943" s="9" t="str">
        <f>HYPERLINK("https://buffer.com","Buffer")</f>
        <v>Buffer</v>
      </c>
      <c r="L943" s="15">
        <v>18.0</v>
      </c>
      <c r="M943" s="15">
        <v>24.0</v>
      </c>
      <c r="N943" s="15">
        <v>0.0</v>
      </c>
      <c r="O943" s="16"/>
      <c r="P943" s="17">
        <v>43767.814409722225</v>
      </c>
      <c r="Q943" s="13"/>
      <c r="R943" s="10" t="s">
        <v>4246</v>
      </c>
      <c r="S943" s="11" t="s">
        <v>4247</v>
      </c>
      <c r="T943" s="13"/>
      <c r="U943" s="18" t="str">
        <f>HYPERLINK("https://pbs.twimg.com/profile_images/1189324357916643328/pN_J5tcN.jpg","View")</f>
        <v>View</v>
      </c>
      <c r="V943" s="13"/>
      <c r="W943" s="13"/>
      <c r="X943" s="13"/>
      <c r="Y943" s="13"/>
      <c r="Z943" s="13"/>
    </row>
    <row r="944">
      <c r="A944" s="8">
        <v>43848.54722222222</v>
      </c>
      <c r="B944" s="9" t="str">
        <f>HYPERLINK("https://twitter.com/JPBrown5","@JPBrown5")</f>
        <v>@JPBrown5</v>
      </c>
      <c r="C944" s="10" t="s">
        <v>1364</v>
      </c>
      <c r="D944" s="10" t="s">
        <v>4248</v>
      </c>
      <c r="E944" s="9" t="str">
        <f>HYPERLINK("https://twitter.com/JPBrown5/status/1218595910885621760","1218595910885621760")</f>
        <v>1218595910885621760</v>
      </c>
      <c r="F944" s="13"/>
      <c r="G944" s="13"/>
      <c r="H944" s="13"/>
      <c r="I944" s="14">
        <v>16.0</v>
      </c>
      <c r="J944" s="14">
        <v>68.0</v>
      </c>
      <c r="K944" s="9" t="str">
        <f>HYPERLINK("https://about.twitter.com/products/tweetdeck","TweetDeck")</f>
        <v>TweetDeck</v>
      </c>
      <c r="L944" s="15">
        <v>28522.0</v>
      </c>
      <c r="M944" s="15">
        <v>26101.0</v>
      </c>
      <c r="N944" s="15">
        <v>222.0</v>
      </c>
      <c r="O944" s="16"/>
      <c r="P944" s="17">
        <v>39707.93163194445</v>
      </c>
      <c r="Q944" s="10" t="s">
        <v>1367</v>
      </c>
      <c r="R944" s="10" t="s">
        <v>1368</v>
      </c>
      <c r="S944" s="11" t="s">
        <v>1369</v>
      </c>
      <c r="T944" s="13"/>
      <c r="U944" s="18" t="str">
        <f>HYPERLINK("https://pbs.twimg.com/profile_images/922806990602153984/CW3aVdVL.jpg","View")</f>
        <v>View</v>
      </c>
      <c r="V944" s="13"/>
      <c r="W944" s="13"/>
      <c r="X944" s="13"/>
      <c r="Y944" s="13"/>
      <c r="Z944" s="13"/>
    </row>
    <row r="945">
      <c r="A945" s="8">
        <v>43848.5471875</v>
      </c>
      <c r="B945" s="9" t="str">
        <f>HYPERLINK("https://twitter.com/SapphireRose786","@SapphireRose786")</f>
        <v>@SapphireRose786</v>
      </c>
      <c r="C945" s="10" t="s">
        <v>4249</v>
      </c>
      <c r="D945" s="10" t="s">
        <v>4250</v>
      </c>
      <c r="E945" s="9" t="str">
        <f>HYPERLINK("https://twitter.com/SapphireRose786/status/1218595900546781184","1218595900546781184")</f>
        <v>1218595900546781184</v>
      </c>
      <c r="F945" s="13"/>
      <c r="G945" s="13"/>
      <c r="H945" s="13"/>
      <c r="I945" s="14">
        <v>0.0</v>
      </c>
      <c r="J945" s="14">
        <v>0.0</v>
      </c>
      <c r="K945" s="9" t="str">
        <f>HYPERLINK("http://twitter.com/download/android","Twitter for Android")</f>
        <v>Twitter for Android</v>
      </c>
      <c r="L945" s="15">
        <v>462.0</v>
      </c>
      <c r="M945" s="15">
        <v>671.0</v>
      </c>
      <c r="N945" s="15">
        <v>1.0</v>
      </c>
      <c r="O945" s="16"/>
      <c r="P945" s="17">
        <v>43268.46417824074</v>
      </c>
      <c r="Q945" s="10" t="s">
        <v>4251</v>
      </c>
      <c r="R945" s="10" t="s">
        <v>4252</v>
      </c>
      <c r="S945" s="11" t="s">
        <v>4253</v>
      </c>
      <c r="T945" s="13"/>
      <c r="U945" s="18" t="str">
        <f>HYPERLINK("https://pbs.twimg.com/profile_images/1194300330101657601/CFYWjyan.png","View")</f>
        <v>View</v>
      </c>
      <c r="V945" s="13"/>
      <c r="W945" s="13"/>
      <c r="X945" s="13"/>
      <c r="Y945" s="13"/>
      <c r="Z945" s="13"/>
    </row>
    <row r="946">
      <c r="A946" s="8">
        <v>43848.547164351854</v>
      </c>
      <c r="B946" s="9" t="str">
        <f>HYPERLINK("https://twitter.com/lillyannecullum","@lillyannecullum")</f>
        <v>@lillyannecullum</v>
      </c>
      <c r="C946" s="10" t="s">
        <v>4254</v>
      </c>
      <c r="D946" s="10" t="s">
        <v>4255</v>
      </c>
      <c r="E946" s="9" t="str">
        <f>HYPERLINK("https://twitter.com/lillyannecullum/status/1218595890623107072","1218595890623107072")</f>
        <v>1218595890623107072</v>
      </c>
      <c r="F946" s="10" t="s">
        <v>4256</v>
      </c>
      <c r="G946" s="13"/>
      <c r="H946" s="13"/>
      <c r="I946" s="14">
        <v>0.0</v>
      </c>
      <c r="J946" s="14">
        <v>0.0</v>
      </c>
      <c r="K946" s="9" t="str">
        <f>HYPERLINK("https://mobile.twitter.com","Twitter Web App")</f>
        <v>Twitter Web App</v>
      </c>
      <c r="L946" s="15">
        <v>3469.0</v>
      </c>
      <c r="M946" s="15">
        <v>3276.0</v>
      </c>
      <c r="N946" s="15">
        <v>106.0</v>
      </c>
      <c r="O946" s="16"/>
      <c r="P946" s="17">
        <v>42673.67391203703</v>
      </c>
      <c r="Q946" s="13"/>
      <c r="R946" s="10" t="s">
        <v>4257</v>
      </c>
      <c r="S946" s="13"/>
      <c r="T946" s="13"/>
      <c r="U946" s="18" t="str">
        <f>HYPERLINK("https://pbs.twimg.com/profile_images/843436551086387200/N-OfVecV.jpg","View")</f>
        <v>View</v>
      </c>
      <c r="V946" s="13"/>
      <c r="W946" s="13"/>
      <c r="X946" s="13"/>
      <c r="Y946" s="13"/>
      <c r="Z946" s="13"/>
    </row>
    <row r="947">
      <c r="A947" s="8">
        <v>43848.546319444446</v>
      </c>
      <c r="B947" s="9" t="str">
        <f>HYPERLINK("https://twitter.com/IntangibleMoti1","@IntangibleMoti1")</f>
        <v>@IntangibleMoti1</v>
      </c>
      <c r="C947" s="10" t="s">
        <v>4258</v>
      </c>
      <c r="D947" s="10" t="s">
        <v>4259</v>
      </c>
      <c r="E947" s="9" t="str">
        <f>HYPERLINK("https://twitter.com/IntangibleMoti1/status/1218595583990079494","1218595583990079494")</f>
        <v>1218595583990079494</v>
      </c>
      <c r="F947" s="11" t="s">
        <v>4260</v>
      </c>
      <c r="G947" s="13"/>
      <c r="H947" s="13"/>
      <c r="I947" s="14">
        <v>0.0</v>
      </c>
      <c r="J947" s="14">
        <v>0.0</v>
      </c>
      <c r="K947" s="9" t="str">
        <f>HYPERLINK("http://twitter.com/download/iphone","Twitter for iPhone")</f>
        <v>Twitter for iPhone</v>
      </c>
      <c r="L947" s="15">
        <v>532.0</v>
      </c>
      <c r="M947" s="15">
        <v>487.0</v>
      </c>
      <c r="N947" s="15">
        <v>0.0</v>
      </c>
      <c r="O947" s="16"/>
      <c r="P947" s="17">
        <v>43743.92722222222</v>
      </c>
      <c r="Q947" s="13"/>
      <c r="R947" s="10" t="s">
        <v>4261</v>
      </c>
      <c r="S947" s="13"/>
      <c r="T947" s="13"/>
      <c r="U947" s="18" t="str">
        <f>HYPERLINK("https://pbs.twimg.com/profile_images/1180668032768790530/xqEdlGvJ.jpg","View")</f>
        <v>View</v>
      </c>
      <c r="V947" s="13"/>
      <c r="W947" s="13"/>
      <c r="X947" s="13"/>
      <c r="Y947" s="13"/>
      <c r="Z947" s="13"/>
    </row>
    <row r="948">
      <c r="A948" s="8">
        <v>43848.54609953704</v>
      </c>
      <c r="B948" s="9" t="str">
        <f>HYPERLINK("https://twitter.com/Irish71","@Irish71")</f>
        <v>@Irish71</v>
      </c>
      <c r="C948" s="10" t="s">
        <v>4262</v>
      </c>
      <c r="D948" s="10" t="s">
        <v>4263</v>
      </c>
      <c r="E948" s="9" t="str">
        <f>HYPERLINK("https://twitter.com/Irish71/status/1218595505770508294","1218595505770508294")</f>
        <v>1218595505770508294</v>
      </c>
      <c r="F948" s="11" t="s">
        <v>4264</v>
      </c>
      <c r="G948" s="13"/>
      <c r="H948" s="13"/>
      <c r="I948" s="14">
        <v>0.0</v>
      </c>
      <c r="J948" s="14">
        <v>0.0</v>
      </c>
      <c r="K948" s="9" t="str">
        <f>HYPERLINK("http://instagram.com","Instagram")</f>
        <v>Instagram</v>
      </c>
      <c r="L948" s="15">
        <v>69.0</v>
      </c>
      <c r="M948" s="15">
        <v>410.0</v>
      </c>
      <c r="N948" s="15">
        <v>0.0</v>
      </c>
      <c r="O948" s="16"/>
      <c r="P948" s="17">
        <v>39883.65582175926</v>
      </c>
      <c r="Q948" s="10" t="s">
        <v>4265</v>
      </c>
      <c r="R948" s="10" t="s">
        <v>4266</v>
      </c>
      <c r="S948" s="11" t="s">
        <v>4267</v>
      </c>
      <c r="T948" s="13"/>
      <c r="U948" s="18" t="str">
        <f>HYPERLINK("https://pbs.twimg.com/profile_images/2235141296/22aN8YLb","View")</f>
        <v>View</v>
      </c>
      <c r="V948" s="13"/>
      <c r="W948" s="13"/>
      <c r="X948" s="13"/>
      <c r="Y948" s="13"/>
      <c r="Z948" s="13"/>
    </row>
    <row r="949">
      <c r="A949" s="8">
        <v>43848.546076388884</v>
      </c>
      <c r="B949" s="9" t="str">
        <f>HYPERLINK("https://twitter.com/BensSimpleLife","@BensSimpleLife")</f>
        <v>@BensSimpleLife</v>
      </c>
      <c r="C949" s="10" t="s">
        <v>4268</v>
      </c>
      <c r="D949" s="10" t="s">
        <v>4269</v>
      </c>
      <c r="E949" s="9" t="str">
        <f>HYPERLINK("https://twitter.com/BensSimpleLife/status/1218595496958275586","1218595496958275586")</f>
        <v>1218595496958275586</v>
      </c>
      <c r="F949" s="11" t="s">
        <v>4270</v>
      </c>
      <c r="G949" s="13"/>
      <c r="H949" s="13"/>
      <c r="I949" s="14">
        <v>0.0</v>
      </c>
      <c r="J949" s="14">
        <v>0.0</v>
      </c>
      <c r="K949" s="9" t="str">
        <f>HYPERLINK("https://mobile.twitter.com","Twitter Web App")</f>
        <v>Twitter Web App</v>
      </c>
      <c r="L949" s="15">
        <v>13.0</v>
      </c>
      <c r="M949" s="15">
        <v>71.0</v>
      </c>
      <c r="N949" s="15">
        <v>0.0</v>
      </c>
      <c r="O949" s="16"/>
      <c r="P949" s="17">
        <v>43843.46690972222</v>
      </c>
      <c r="Q949" s="10" t="s">
        <v>4271</v>
      </c>
      <c r="R949" s="10" t="s">
        <v>4272</v>
      </c>
      <c r="S949" s="11" t="s">
        <v>4273</v>
      </c>
      <c r="T949" s="13"/>
      <c r="U949" s="18" t="str">
        <f>HYPERLINK("https://pbs.twimg.com/profile_images/1216754899934990343/DA3pV2Md.jpg","View")</f>
        <v>View</v>
      </c>
      <c r="V949" s="13"/>
      <c r="W949" s="13"/>
      <c r="X949" s="13"/>
      <c r="Y949" s="13"/>
      <c r="Z949" s="13"/>
    </row>
    <row r="950">
      <c r="A950" s="8">
        <v>43848.5459837963</v>
      </c>
      <c r="B950" s="9" t="str">
        <f>HYPERLINK("https://twitter.com/jene_dupre","@jene_dupre")</f>
        <v>@jene_dupre</v>
      </c>
      <c r="C950" s="10" t="s">
        <v>4274</v>
      </c>
      <c r="D950" s="10" t="s">
        <v>4275</v>
      </c>
      <c r="E950" s="9" t="str">
        <f>HYPERLINK("https://twitter.com/jene_dupre/status/1218595463114436608","1218595463114436608")</f>
        <v>1218595463114436608</v>
      </c>
      <c r="F950" s="13"/>
      <c r="G950" s="13"/>
      <c r="H950" s="13"/>
      <c r="I950" s="14">
        <v>0.0</v>
      </c>
      <c r="J950" s="14">
        <v>0.0</v>
      </c>
      <c r="K950" s="9" t="str">
        <f t="shared" ref="K950:K951" si="112">HYPERLINK("http://twitter.com/download/iphone","Twitter for iPhone")</f>
        <v>Twitter for iPhone</v>
      </c>
      <c r="L950" s="15">
        <v>316.0</v>
      </c>
      <c r="M950" s="15">
        <v>621.0</v>
      </c>
      <c r="N950" s="15">
        <v>1.0</v>
      </c>
      <c r="O950" s="16"/>
      <c r="P950" s="17">
        <v>43162.857835648145</v>
      </c>
      <c r="Q950" s="13"/>
      <c r="R950" s="10" t="s">
        <v>4276</v>
      </c>
      <c r="S950" s="11" t="s">
        <v>4277</v>
      </c>
      <c r="T950" s="13"/>
      <c r="U950" s="18" t="str">
        <f>HYPERLINK("https://pbs.twimg.com/profile_images/1144924596308721669/YOF_99NN.jpg","View")</f>
        <v>View</v>
      </c>
      <c r="V950" s="13"/>
      <c r="W950" s="13"/>
      <c r="X950" s="13"/>
      <c r="Y950" s="13"/>
      <c r="Z950" s="13"/>
    </row>
    <row r="951">
      <c r="A951" s="8">
        <v>43848.54549768519</v>
      </c>
      <c r="B951" s="9" t="str">
        <f>HYPERLINK("https://twitter.com/IntangibleMoti1","@IntangibleMoti1")</f>
        <v>@IntangibleMoti1</v>
      </c>
      <c r="C951" s="10" t="s">
        <v>4258</v>
      </c>
      <c r="D951" s="10" t="s">
        <v>4278</v>
      </c>
      <c r="E951" s="9" t="str">
        <f>HYPERLINK("https://twitter.com/IntangibleMoti1/status/1218595286580371458","1218595286580371458")</f>
        <v>1218595286580371458</v>
      </c>
      <c r="F951" s="11" t="s">
        <v>4279</v>
      </c>
      <c r="G951" s="13"/>
      <c r="H951" s="13"/>
      <c r="I951" s="14">
        <v>0.0</v>
      </c>
      <c r="J951" s="14">
        <v>0.0</v>
      </c>
      <c r="K951" s="9" t="str">
        <f t="shared" si="112"/>
        <v>Twitter for iPhone</v>
      </c>
      <c r="L951" s="15">
        <v>532.0</v>
      </c>
      <c r="M951" s="15">
        <v>487.0</v>
      </c>
      <c r="N951" s="15">
        <v>0.0</v>
      </c>
      <c r="O951" s="16"/>
      <c r="P951" s="17">
        <v>43743.92722222222</v>
      </c>
      <c r="Q951" s="13"/>
      <c r="R951" s="10" t="s">
        <v>4261</v>
      </c>
      <c r="S951" s="13"/>
      <c r="T951" s="13"/>
      <c r="U951" s="18" t="str">
        <f>HYPERLINK("https://pbs.twimg.com/profile_images/1180668032768790530/xqEdlGvJ.jpg","View")</f>
        <v>View</v>
      </c>
      <c r="V951" s="13"/>
      <c r="W951" s="13"/>
      <c r="X951" s="13"/>
      <c r="Y951" s="13"/>
      <c r="Z951" s="13"/>
    </row>
    <row r="952">
      <c r="A952" s="8">
        <v>43848.5453125</v>
      </c>
      <c r="B952" s="9" t="str">
        <f>HYPERLINK("https://twitter.com/DoctorsOnCBD","@DoctorsOnCBD")</f>
        <v>@DoctorsOnCBD</v>
      </c>
      <c r="C952" s="10" t="s">
        <v>4280</v>
      </c>
      <c r="D952" s="10" t="s">
        <v>4281</v>
      </c>
      <c r="E952" s="9" t="str">
        <f>HYPERLINK("https://twitter.com/DoctorsOnCBD/status/1218595220834717696","1218595220834717696")</f>
        <v>1218595220834717696</v>
      </c>
      <c r="F952" s="11" t="s">
        <v>4282</v>
      </c>
      <c r="G952" s="11" t="s">
        <v>4283</v>
      </c>
      <c r="H952" s="13"/>
      <c r="I952" s="14">
        <v>0.0</v>
      </c>
      <c r="J952" s="14">
        <v>3.0</v>
      </c>
      <c r="K952" s="9" t="str">
        <f>HYPERLINK("https://www.socialoomph.com","SocialOomph")</f>
        <v>SocialOomph</v>
      </c>
      <c r="L952" s="15">
        <v>2549.0</v>
      </c>
      <c r="M952" s="15">
        <v>3073.0</v>
      </c>
      <c r="N952" s="15">
        <v>5.0</v>
      </c>
      <c r="O952" s="16"/>
      <c r="P952" s="17">
        <v>43073.65834490741</v>
      </c>
      <c r="Q952" s="10" t="s">
        <v>4284</v>
      </c>
      <c r="R952" s="10" t="s">
        <v>4285</v>
      </c>
      <c r="S952" s="11" t="s">
        <v>4286</v>
      </c>
      <c r="T952" s="13"/>
      <c r="U952" s="18" t="str">
        <f>HYPERLINK("https://pbs.twimg.com/profile_images/937793405849128960/TnzNKd2J.jpg","View")</f>
        <v>View</v>
      </c>
      <c r="V952" s="13"/>
      <c r="W952" s="13"/>
      <c r="X952" s="13"/>
      <c r="Y952" s="13"/>
      <c r="Z952" s="13"/>
    </row>
    <row r="953">
      <c r="A953" s="8">
        <v>43848.54519675926</v>
      </c>
      <c r="B953" s="9" t="str">
        <f>HYPERLINK("https://twitter.com/PickingMeFdn","@PickingMeFdn")</f>
        <v>@PickingMeFdn</v>
      </c>
      <c r="C953" s="10" t="s">
        <v>4287</v>
      </c>
      <c r="D953" s="10" t="s">
        <v>4288</v>
      </c>
      <c r="E953" s="9" t="str">
        <f>HYPERLINK("https://twitter.com/PickingMeFdn/status/1218595176001818624","1218595176001818624")</f>
        <v>1218595176001818624</v>
      </c>
      <c r="F953" s="11" t="s">
        <v>4289</v>
      </c>
      <c r="G953" s="11" t="s">
        <v>4290</v>
      </c>
      <c r="H953" s="13"/>
      <c r="I953" s="14">
        <v>0.0</v>
      </c>
      <c r="J953" s="14">
        <v>1.0</v>
      </c>
      <c r="K953" s="9" t="str">
        <f t="shared" ref="K953:K955" si="113">HYPERLINK("https://www.hootsuite.com","Hootsuite Inc.")</f>
        <v>Hootsuite Inc.</v>
      </c>
      <c r="L953" s="15">
        <v>2638.0</v>
      </c>
      <c r="M953" s="15">
        <v>2672.0</v>
      </c>
      <c r="N953" s="15">
        <v>90.0</v>
      </c>
      <c r="O953" s="16"/>
      <c r="P953" s="17">
        <v>42502.821597222224</v>
      </c>
      <c r="Q953" s="10" t="s">
        <v>1314</v>
      </c>
      <c r="R953" s="10" t="s">
        <v>4291</v>
      </c>
      <c r="S953" s="11" t="s">
        <v>4292</v>
      </c>
      <c r="T953" s="13"/>
      <c r="U953" s="18" t="str">
        <f>HYPERLINK("https://pbs.twimg.com/profile_images/1191845584476479489/9NyUa0t1.jpg","View")</f>
        <v>View</v>
      </c>
      <c r="V953" s="13"/>
      <c r="W953" s="13"/>
      <c r="X953" s="13"/>
      <c r="Y953" s="13"/>
      <c r="Z953" s="13"/>
    </row>
    <row r="954">
      <c r="A954" s="8">
        <v>43848.54518518518</v>
      </c>
      <c r="B954" s="9" t="str">
        <f>HYPERLINK("https://twitter.com/DebbieWaller_","@DebbieWaller_")</f>
        <v>@DebbieWaller_</v>
      </c>
      <c r="C954" s="10" t="s">
        <v>4293</v>
      </c>
      <c r="D954" s="10" t="s">
        <v>4294</v>
      </c>
      <c r="E954" s="9" t="str">
        <f>HYPERLINK("https://twitter.com/DebbieWaller_/status/1218595173636157440","1218595173636157440")</f>
        <v>1218595173636157440</v>
      </c>
      <c r="F954" s="11" t="s">
        <v>4295</v>
      </c>
      <c r="G954" s="13"/>
      <c r="H954" s="13"/>
      <c r="I954" s="14">
        <v>0.0</v>
      </c>
      <c r="J954" s="14">
        <v>0.0</v>
      </c>
      <c r="K954" s="9" t="str">
        <f t="shared" si="113"/>
        <v>Hootsuite Inc.</v>
      </c>
      <c r="L954" s="15">
        <v>904.0</v>
      </c>
      <c r="M954" s="15">
        <v>1522.0</v>
      </c>
      <c r="N954" s="15">
        <v>10.0</v>
      </c>
      <c r="O954" s="16"/>
      <c r="P954" s="17">
        <v>42623.634780092594</v>
      </c>
      <c r="Q954" s="10" t="s">
        <v>4296</v>
      </c>
      <c r="R954" s="10" t="s">
        <v>4297</v>
      </c>
      <c r="S954" s="11" t="s">
        <v>4298</v>
      </c>
      <c r="T954" s="13"/>
      <c r="U954" s="18" t="str">
        <f>HYPERLINK("https://pbs.twimg.com/profile_images/1067724371479994368/lP7n9bZq.jpg","View")</f>
        <v>View</v>
      </c>
      <c r="V954" s="13"/>
      <c r="W954" s="13"/>
      <c r="X954" s="13"/>
      <c r="Y954" s="13"/>
      <c r="Z954" s="13"/>
    </row>
    <row r="955">
      <c r="A955" s="8">
        <v>43848.54517361111</v>
      </c>
      <c r="B955" s="9" t="str">
        <f>HYPERLINK("https://twitter.com/KPDigitalHealth","@KPDigitalHealth")</f>
        <v>@KPDigitalHealth</v>
      </c>
      <c r="C955" s="10" t="s">
        <v>4299</v>
      </c>
      <c r="D955" s="10" t="s">
        <v>4300</v>
      </c>
      <c r="E955" s="9" t="str">
        <f>HYPERLINK("https://twitter.com/KPDigitalHealth/status/1218595170012336129","1218595170012336129")</f>
        <v>1218595170012336129</v>
      </c>
      <c r="F955" s="11" t="s">
        <v>4301</v>
      </c>
      <c r="G955" s="11" t="s">
        <v>4302</v>
      </c>
      <c r="H955" s="13"/>
      <c r="I955" s="14">
        <v>0.0</v>
      </c>
      <c r="J955" s="14">
        <v>0.0</v>
      </c>
      <c r="K955" s="9" t="str">
        <f t="shared" si="113"/>
        <v>Hootsuite Inc.</v>
      </c>
      <c r="L955" s="15">
        <v>3130.0</v>
      </c>
      <c r="M955" s="15">
        <v>400.0</v>
      </c>
      <c r="N955" s="15">
        <v>454.0</v>
      </c>
      <c r="O955" s="16"/>
      <c r="P955" s="17">
        <v>41332.56369212963</v>
      </c>
      <c r="Q955" s="13"/>
      <c r="R955" s="10" t="s">
        <v>4303</v>
      </c>
      <c r="S955" s="11" t="s">
        <v>4304</v>
      </c>
      <c r="T955" s="13"/>
      <c r="U955" s="18" t="str">
        <f>HYPERLINK("https://pbs.twimg.com/profile_images/459817366654705664/q4bXix92.png","View")</f>
        <v>View</v>
      </c>
      <c r="V955" s="13"/>
      <c r="W955" s="13"/>
      <c r="X955" s="13"/>
      <c r="Y955" s="13"/>
      <c r="Z955" s="13"/>
    </row>
    <row r="956">
      <c r="A956" s="8">
        <v>43848.54462962963</v>
      </c>
      <c r="B956" s="9" t="str">
        <f>HYPERLINK("https://twitter.com/Franklohedoc","@Franklohedoc")</f>
        <v>@Franklohedoc</v>
      </c>
      <c r="C956" s="10" t="s">
        <v>4305</v>
      </c>
      <c r="D956" s="10" t="s">
        <v>238</v>
      </c>
      <c r="E956" s="9" t="str">
        <f>HYPERLINK("https://twitter.com/Franklohedoc/status/1218594970556346368","1218594970556346368")</f>
        <v>1218594970556346368</v>
      </c>
      <c r="F956" s="13"/>
      <c r="G956" s="13"/>
      <c r="H956" s="13"/>
      <c r="I956" s="14">
        <v>0.0</v>
      </c>
      <c r="J956" s="14">
        <v>0.0</v>
      </c>
      <c r="K956" s="9" t="str">
        <f>HYPERLINK("http://twitter.com/download/iphone","Twitter for iPhone")</f>
        <v>Twitter for iPhone</v>
      </c>
      <c r="L956" s="15">
        <v>30.0</v>
      </c>
      <c r="M956" s="15">
        <v>84.0</v>
      </c>
      <c r="N956" s="15">
        <v>0.0</v>
      </c>
      <c r="O956" s="16"/>
      <c r="P956" s="17">
        <v>40518.960648148146</v>
      </c>
      <c r="Q956" s="10" t="s">
        <v>4306</v>
      </c>
      <c r="R956" s="10" t="s">
        <v>4307</v>
      </c>
      <c r="S956" s="13"/>
      <c r="T956" s="13"/>
      <c r="U956" s="21" t="s">
        <v>292</v>
      </c>
      <c r="V956" s="13"/>
      <c r="W956" s="13"/>
      <c r="X956" s="13"/>
      <c r="Y956" s="13"/>
      <c r="Z956" s="13"/>
    </row>
    <row r="957">
      <c r="A957" s="8">
        <v>43848.54457175926</v>
      </c>
      <c r="B957" s="9" t="str">
        <f>HYPERLINK("https://twitter.com/DeannaDanger","@DeannaDanger")</f>
        <v>@DeannaDanger</v>
      </c>
      <c r="C957" s="10" t="s">
        <v>4308</v>
      </c>
      <c r="D957" s="10" t="s">
        <v>4309</v>
      </c>
      <c r="E957" s="9" t="str">
        <f>HYPERLINK("https://twitter.com/DeannaDanger/status/1218594949693833217","1218594949693833217")</f>
        <v>1218594949693833217</v>
      </c>
      <c r="F957" s="11" t="s">
        <v>4310</v>
      </c>
      <c r="G957" s="13"/>
      <c r="H957" s="13"/>
      <c r="I957" s="14">
        <v>0.0</v>
      </c>
      <c r="J957" s="14">
        <v>0.0</v>
      </c>
      <c r="K957" s="9" t="str">
        <f>HYPERLINK("http://twitter.com/download/android","Twitter for Android")</f>
        <v>Twitter for Android</v>
      </c>
      <c r="L957" s="15">
        <v>1999.0</v>
      </c>
      <c r="M957" s="15">
        <v>1633.0</v>
      </c>
      <c r="N957" s="15">
        <v>65.0</v>
      </c>
      <c r="O957" s="16"/>
      <c r="P957" s="17">
        <v>40149.469618055555</v>
      </c>
      <c r="Q957" s="10" t="s">
        <v>1774</v>
      </c>
      <c r="R957" s="10" t="s">
        <v>4311</v>
      </c>
      <c r="S957" s="11" t="s">
        <v>4312</v>
      </c>
      <c r="T957" s="13"/>
      <c r="U957" s="18" t="str">
        <f>HYPERLINK("https://pbs.twimg.com/profile_images/1191401402909839368/SVsMZacM.jpg","View")</f>
        <v>View</v>
      </c>
      <c r="V957" s="13"/>
      <c r="W957" s="13"/>
      <c r="X957" s="13"/>
      <c r="Y957" s="13"/>
      <c r="Z957" s="13"/>
    </row>
    <row r="958">
      <c r="A958" s="8">
        <v>43848.54428240741</v>
      </c>
      <c r="B958" s="9" t="str">
        <f>HYPERLINK("https://twitter.com/irfankhaliq","@irfankhaliq")</f>
        <v>@irfankhaliq</v>
      </c>
      <c r="C958" s="10" t="s">
        <v>4313</v>
      </c>
      <c r="D958" s="10" t="s">
        <v>4314</v>
      </c>
      <c r="E958" s="9" t="str">
        <f>HYPERLINK("https://twitter.com/irfankhaliq/status/1218594847352852480","1218594847352852480")</f>
        <v>1218594847352852480</v>
      </c>
      <c r="F958" s="11" t="s">
        <v>4315</v>
      </c>
      <c r="G958" s="13"/>
      <c r="H958" s="13"/>
      <c r="I958" s="14">
        <v>1.0</v>
      </c>
      <c r="J958" s="14">
        <v>0.0</v>
      </c>
      <c r="K958" s="9" t="str">
        <f>HYPERLINK("https://mobile.twitter.com","Twitter Web App")</f>
        <v>Twitter Web App</v>
      </c>
      <c r="L958" s="15">
        <v>249.0</v>
      </c>
      <c r="M958" s="15">
        <v>216.0</v>
      </c>
      <c r="N958" s="15">
        <v>0.0</v>
      </c>
      <c r="O958" s="16"/>
      <c r="P958" s="17">
        <v>40227.23506944445</v>
      </c>
      <c r="Q958" s="10" t="s">
        <v>2050</v>
      </c>
      <c r="R958" s="13"/>
      <c r="S958" s="13"/>
      <c r="T958" s="13"/>
      <c r="U958" s="18" t="str">
        <f>HYPERLINK("https://pbs.twimg.com/profile_images/996008809477918721/nKBwbok4.jpg","View")</f>
        <v>View</v>
      </c>
      <c r="V958" s="13"/>
      <c r="W958" s="13"/>
      <c r="X958" s="13"/>
      <c r="Y958" s="13"/>
      <c r="Z958" s="13"/>
    </row>
    <row r="959">
      <c r="A959" s="8">
        <v>43848.54399305556</v>
      </c>
      <c r="B959" s="9" t="str">
        <f>HYPERLINK("https://twitter.com/PendharkarPsych","@PendharkarPsych")</f>
        <v>@PendharkarPsych</v>
      </c>
      <c r="C959" s="10" t="s">
        <v>4316</v>
      </c>
      <c r="D959" s="10" t="s">
        <v>4317</v>
      </c>
      <c r="E959" s="9" t="str">
        <f>HYPERLINK("https://twitter.com/PendharkarPsych/status/1218594743719841793","1218594743719841793")</f>
        <v>1218594743719841793</v>
      </c>
      <c r="F959" s="11" t="s">
        <v>4318</v>
      </c>
      <c r="G959" s="13"/>
      <c r="H959" s="9" t="str">
        <f>HYPERLINK("https://ctrlq.org/maps/address/#20.70927,77.00748","Map")</f>
        <v>Map</v>
      </c>
      <c r="I959" s="14">
        <v>0.0</v>
      </c>
      <c r="J959" s="14">
        <v>0.0</v>
      </c>
      <c r="K959" s="9" t="str">
        <f>HYPERLINK("http://instagram.com","Instagram")</f>
        <v>Instagram</v>
      </c>
      <c r="L959" s="15">
        <v>91.0</v>
      </c>
      <c r="M959" s="15">
        <v>57.0</v>
      </c>
      <c r="N959" s="15">
        <v>5.0</v>
      </c>
      <c r="O959" s="16"/>
      <c r="P959" s="17">
        <v>42415.503067129626</v>
      </c>
      <c r="Q959" s="10" t="s">
        <v>35</v>
      </c>
      <c r="R959" s="10" t="s">
        <v>4319</v>
      </c>
      <c r="S959" s="11" t="s">
        <v>4320</v>
      </c>
      <c r="T959" s="13"/>
      <c r="U959" s="18" t="str">
        <f>HYPERLINK("https://pbs.twimg.com/profile_images/978869281365659649/hwNWmXPG.jpg","View")</f>
        <v>View</v>
      </c>
      <c r="V959" s="13"/>
      <c r="W959" s="13"/>
      <c r="X959" s="13"/>
      <c r="Y959" s="13"/>
      <c r="Z959" s="13"/>
    </row>
    <row r="960">
      <c r="A960" s="8">
        <v>43848.54373842593</v>
      </c>
      <c r="B960" s="9" t="str">
        <f>HYPERLINK("https://twitter.com/LeeHoldenqigong","@LeeHoldenqigong")</f>
        <v>@LeeHoldenqigong</v>
      </c>
      <c r="C960" s="10" t="s">
        <v>4321</v>
      </c>
      <c r="D960" s="10" t="s">
        <v>4322</v>
      </c>
      <c r="E960" s="9" t="str">
        <f>HYPERLINK("https://twitter.com/LeeHoldenqigong/status/1218594649041985536","1218594649041985536")</f>
        <v>1218594649041985536</v>
      </c>
      <c r="F960" s="11" t="s">
        <v>4323</v>
      </c>
      <c r="G960" s="11" t="s">
        <v>4324</v>
      </c>
      <c r="H960" s="13"/>
      <c r="I960" s="14">
        <v>2.0</v>
      </c>
      <c r="J960" s="14">
        <v>4.0</v>
      </c>
      <c r="K960" s="9" t="str">
        <f>HYPERLINK("https://coschedule.com","CoSchedule")</f>
        <v>CoSchedule</v>
      </c>
      <c r="L960" s="15">
        <v>1294.0</v>
      </c>
      <c r="M960" s="15">
        <v>171.0</v>
      </c>
      <c r="N960" s="15">
        <v>34.0</v>
      </c>
      <c r="O960" s="16"/>
      <c r="P960" s="17">
        <v>40658.955</v>
      </c>
      <c r="Q960" s="10" t="s">
        <v>4325</v>
      </c>
      <c r="R960" s="10" t="s">
        <v>4326</v>
      </c>
      <c r="S960" s="11" t="s">
        <v>4327</v>
      </c>
      <c r="T960" s="13"/>
      <c r="U960" s="18" t="str">
        <f>HYPERLINK("https://pbs.twimg.com/profile_images/1325781476/Lee_Holden.jpeg","View")</f>
        <v>View</v>
      </c>
      <c r="V960" s="13"/>
      <c r="W960" s="13"/>
      <c r="X960" s="13"/>
      <c r="Y960" s="13"/>
      <c r="Z960" s="13"/>
    </row>
    <row r="961">
      <c r="A961" s="8">
        <v>43848.543078703704</v>
      </c>
      <c r="B961" s="9" t="str">
        <f>HYPERLINK("https://twitter.com/BekaLombardo","@BekaLombardo")</f>
        <v>@BekaLombardo</v>
      </c>
      <c r="C961" s="10" t="s">
        <v>4328</v>
      </c>
      <c r="D961" s="10" t="s">
        <v>4329</v>
      </c>
      <c r="E961" s="9" t="str">
        <f>HYPERLINK("https://twitter.com/BekaLombardo/status/1218594412508385280","1218594412508385280")</f>
        <v>1218594412508385280</v>
      </c>
      <c r="F961" s="11" t="s">
        <v>4330</v>
      </c>
      <c r="G961" s="13"/>
      <c r="H961" s="13"/>
      <c r="I961" s="14">
        <v>3.0</v>
      </c>
      <c r="J961" s="14">
        <v>4.0</v>
      </c>
      <c r="K961" s="9" t="str">
        <f>HYPERLINK("http://twitter.com/download/android","Twitter for Android")</f>
        <v>Twitter for Android</v>
      </c>
      <c r="L961" s="15">
        <v>33548.0</v>
      </c>
      <c r="M961" s="15">
        <v>9659.0</v>
      </c>
      <c r="N961" s="15">
        <v>672.0</v>
      </c>
      <c r="O961" s="21" t="s">
        <v>522</v>
      </c>
      <c r="P961" s="17">
        <v>41797.81868055556</v>
      </c>
      <c r="Q961" s="11" t="s">
        <v>4331</v>
      </c>
      <c r="R961" s="10" t="s">
        <v>4332</v>
      </c>
      <c r="S961" s="11" t="s">
        <v>4333</v>
      </c>
      <c r="T961" s="13"/>
      <c r="U961" s="18" t="str">
        <f>HYPERLINK("https://pbs.twimg.com/profile_images/1216557433289691136/VlzpS8o_.jpg","View")</f>
        <v>View</v>
      </c>
      <c r="V961" s="13"/>
      <c r="W961" s="13"/>
      <c r="X961" s="13"/>
      <c r="Y961" s="13"/>
      <c r="Z961" s="13"/>
    </row>
    <row r="962">
      <c r="A962" s="8">
        <v>43848.54305555555</v>
      </c>
      <c r="B962" s="9" t="str">
        <f>HYPERLINK("https://twitter.com/highcountrynews","@highcountrynews")</f>
        <v>@highcountrynews</v>
      </c>
      <c r="C962" s="10" t="s">
        <v>4334</v>
      </c>
      <c r="D962" s="10" t="s">
        <v>4335</v>
      </c>
      <c r="E962" s="9" t="str">
        <f>HYPERLINK("https://twitter.com/highcountrynews/status/1218594401125117953","1218594401125117953")</f>
        <v>1218594401125117953</v>
      </c>
      <c r="F962" s="11" t="s">
        <v>4336</v>
      </c>
      <c r="G962" s="13"/>
      <c r="H962" s="13"/>
      <c r="I962" s="14">
        <v>0.0</v>
      </c>
      <c r="J962" s="14">
        <v>3.0</v>
      </c>
      <c r="K962" s="9" t="str">
        <f>HYPERLINK("https://about.twitter.com/products/tweetdeck","TweetDeck")</f>
        <v>TweetDeck</v>
      </c>
      <c r="L962" s="15">
        <v>34301.0</v>
      </c>
      <c r="M962" s="15">
        <v>1807.0</v>
      </c>
      <c r="N962" s="15">
        <v>1579.0</v>
      </c>
      <c r="O962" s="21" t="s">
        <v>522</v>
      </c>
      <c r="P962" s="17">
        <v>39687.70586805556</v>
      </c>
      <c r="Q962" s="10" t="s">
        <v>4337</v>
      </c>
      <c r="R962" s="10" t="s">
        <v>4338</v>
      </c>
      <c r="S962" s="11" t="s">
        <v>4339</v>
      </c>
      <c r="T962" s="13"/>
      <c r="U962" s="18" t="str">
        <f>HYPERLINK("https://pbs.twimg.com/profile_images/1212774128207441920/jKHbYjfl.jpg","View")</f>
        <v>View</v>
      </c>
      <c r="V962" s="13"/>
      <c r="W962" s="13"/>
      <c r="X962" s="13"/>
      <c r="Y962" s="13"/>
      <c r="Z962" s="13"/>
    </row>
    <row r="963">
      <c r="A963" s="8">
        <v>43848.54256944444</v>
      </c>
      <c r="B963" s="9" t="str">
        <f>HYPERLINK("https://twitter.com/HoggFoundation","@HoggFoundation")</f>
        <v>@HoggFoundation</v>
      </c>
      <c r="C963" s="10" t="s">
        <v>4340</v>
      </c>
      <c r="D963" s="10" t="s">
        <v>4341</v>
      </c>
      <c r="E963" s="9" t="str">
        <f>HYPERLINK("https://twitter.com/HoggFoundation/status/1218594227711553536","1218594227711553536")</f>
        <v>1218594227711553536</v>
      </c>
      <c r="F963" s="11" t="s">
        <v>4342</v>
      </c>
      <c r="G963" s="13"/>
      <c r="H963" s="13"/>
      <c r="I963" s="14">
        <v>0.0</v>
      </c>
      <c r="J963" s="14">
        <v>1.0</v>
      </c>
      <c r="K963" s="9" t="str">
        <f>HYPERLINK("https://www.hootsuite.com","Hootsuite Inc.")</f>
        <v>Hootsuite Inc.</v>
      </c>
      <c r="L963" s="15">
        <v>2499.0</v>
      </c>
      <c r="M963" s="15">
        <v>576.0</v>
      </c>
      <c r="N963" s="15">
        <v>103.0</v>
      </c>
      <c r="O963" s="16"/>
      <c r="P963" s="17">
        <v>40603.62306712963</v>
      </c>
      <c r="Q963" s="10" t="s">
        <v>4343</v>
      </c>
      <c r="R963" s="10" t="s">
        <v>4344</v>
      </c>
      <c r="S963" s="11" t="s">
        <v>4345</v>
      </c>
      <c r="T963" s="13"/>
      <c r="U963" s="18" t="str">
        <f>HYPERLINK("https://pbs.twimg.com/profile_images/817113786960072704/tux5RY18.jpg","View")</f>
        <v>View</v>
      </c>
      <c r="V963" s="13"/>
      <c r="W963" s="13"/>
      <c r="X963" s="13"/>
      <c r="Y963" s="13"/>
      <c r="Z963" s="13"/>
    </row>
    <row r="964">
      <c r="A964" s="8">
        <v>43848.54255787037</v>
      </c>
      <c r="B964" s="9" t="str">
        <f>HYPERLINK("https://twitter.com/FSonnenberg","@FSonnenberg")</f>
        <v>@FSonnenberg</v>
      </c>
      <c r="C964" s="10" t="s">
        <v>2059</v>
      </c>
      <c r="D964" s="10" t="s">
        <v>4346</v>
      </c>
      <c r="E964" s="9" t="str">
        <f>HYPERLINK("https://twitter.com/FSonnenberg/status/1218594220962873344","1218594220962873344")</f>
        <v>1218594220962873344</v>
      </c>
      <c r="F964" s="11" t="s">
        <v>4347</v>
      </c>
      <c r="G964" s="13"/>
      <c r="H964" s="13"/>
      <c r="I964" s="14">
        <v>0.0</v>
      </c>
      <c r="J964" s="14">
        <v>1.0</v>
      </c>
      <c r="K964" s="9" t="str">
        <f>HYPERLINK("https://www.socialjukebox.com","The Social Jukebox")</f>
        <v>The Social Jukebox</v>
      </c>
      <c r="L964" s="15">
        <v>93856.0</v>
      </c>
      <c r="M964" s="15">
        <v>61542.0</v>
      </c>
      <c r="N964" s="15">
        <v>2658.0</v>
      </c>
      <c r="O964" s="16"/>
      <c r="P964" s="17">
        <v>40419.65079861111</v>
      </c>
      <c r="Q964" s="10" t="s">
        <v>2062</v>
      </c>
      <c r="R964" s="10" t="s">
        <v>2063</v>
      </c>
      <c r="S964" s="11" t="s">
        <v>2064</v>
      </c>
      <c r="T964" s="13"/>
      <c r="U964" s="18" t="str">
        <f>HYPERLINK("https://pbs.twimg.com/profile_images/841693592733155328/Hk0DSFtA.jpg","View")</f>
        <v>View</v>
      </c>
      <c r="V964" s="13"/>
      <c r="W964" s="13"/>
      <c r="X964" s="13"/>
      <c r="Y964" s="13"/>
      <c r="Z964" s="13"/>
    </row>
    <row r="965">
      <c r="A965" s="8">
        <v>43848.54253472222</v>
      </c>
      <c r="B965" s="9" t="str">
        <f>HYPERLINK("https://twitter.com/scMusicProject","@scMusicProject")</f>
        <v>@scMusicProject</v>
      </c>
      <c r="C965" s="10" t="s">
        <v>4348</v>
      </c>
      <c r="D965" s="10" t="s">
        <v>4349</v>
      </c>
      <c r="E965" s="9" t="str">
        <f>HYPERLINK("https://twitter.com/scMusicProject/status/1218594213241270273","1218594213241270273")</f>
        <v>1218594213241270273</v>
      </c>
      <c r="F965" s="13"/>
      <c r="G965" s="11" t="s">
        <v>4350</v>
      </c>
      <c r="H965" s="13"/>
      <c r="I965" s="14">
        <v>0.0</v>
      </c>
      <c r="J965" s="14">
        <v>0.0</v>
      </c>
      <c r="K965" s="9" t="str">
        <f>HYPERLINK("https://www.hootsuite.com","Hootsuite Inc.")</f>
        <v>Hootsuite Inc.</v>
      </c>
      <c r="L965" s="15">
        <v>44.0</v>
      </c>
      <c r="M965" s="15">
        <v>15.0</v>
      </c>
      <c r="N965" s="15">
        <v>2.0</v>
      </c>
      <c r="O965" s="16"/>
      <c r="P965" s="17">
        <v>40820.94758101852</v>
      </c>
      <c r="Q965" s="10" t="s">
        <v>4351</v>
      </c>
      <c r="R965" s="10" t="s">
        <v>4352</v>
      </c>
      <c r="S965" s="11" t="s">
        <v>4353</v>
      </c>
      <c r="T965" s="13"/>
      <c r="U965" s="18" t="str">
        <f>HYPERLINK("https://pbs.twimg.com/profile_images/1143649656867475456/rvjUxPxS.png","View")</f>
        <v>View</v>
      </c>
      <c r="V965" s="13"/>
      <c r="W965" s="13"/>
      <c r="X965" s="13"/>
      <c r="Y965" s="13"/>
      <c r="Z965" s="13"/>
    </row>
    <row r="966">
      <c r="A966" s="8">
        <v>43848.542499999996</v>
      </c>
      <c r="B966" s="9" t="str">
        <f>HYPERLINK("https://twitter.com/AltaPointeHR","@AltaPointeHR")</f>
        <v>@AltaPointeHR</v>
      </c>
      <c r="C966" s="10" t="s">
        <v>4354</v>
      </c>
      <c r="D966" s="10" t="s">
        <v>4355</v>
      </c>
      <c r="E966" s="9" t="str">
        <f>HYPERLINK("https://twitter.com/AltaPointeHR/status/1218594200725356545","1218594200725356545")</f>
        <v>1218594200725356545</v>
      </c>
      <c r="F966" s="11" t="s">
        <v>4356</v>
      </c>
      <c r="G966" s="13"/>
      <c r="H966" s="13"/>
      <c r="I966" s="14">
        <v>0.0</v>
      </c>
      <c r="J966" s="14">
        <v>0.0</v>
      </c>
      <c r="K966" s="9" t="str">
        <f>HYPERLINK("http://social.icims.com","iCIMS Social Distribution")</f>
        <v>iCIMS Social Distribution</v>
      </c>
      <c r="L966" s="15">
        <v>79.0</v>
      </c>
      <c r="M966" s="15">
        <v>40.0</v>
      </c>
      <c r="N966" s="15">
        <v>3.0</v>
      </c>
      <c r="O966" s="16"/>
      <c r="P966" s="17">
        <v>40029.535844907405</v>
      </c>
      <c r="Q966" s="10" t="s">
        <v>4357</v>
      </c>
      <c r="R966" s="10" t="s">
        <v>4358</v>
      </c>
      <c r="S966" s="11" t="s">
        <v>4359</v>
      </c>
      <c r="T966" s="13"/>
      <c r="U966" s="18" t="str">
        <f>HYPERLINK("https://pbs.twimg.com/profile_images/1006960446430220288/K0-jaxtT.jpg","View")</f>
        <v>View</v>
      </c>
      <c r="V966" s="13"/>
      <c r="W966" s="13"/>
      <c r="X966" s="13"/>
      <c r="Y966" s="13"/>
      <c r="Z966" s="13"/>
    </row>
    <row r="967">
      <c r="A967" s="8">
        <v>43848.54247685186</v>
      </c>
      <c r="B967" s="9" t="str">
        <f>HYPERLINK("https://twitter.com/leahh_may","@leahh_may")</f>
        <v>@leahh_may</v>
      </c>
      <c r="C967" s="10" t="s">
        <v>4360</v>
      </c>
      <c r="D967" s="10" t="s">
        <v>4361</v>
      </c>
      <c r="E967" s="9" t="str">
        <f>HYPERLINK("https://twitter.com/leahh_may/status/1218594190671654912","1218594190671654912")</f>
        <v>1218594190671654912</v>
      </c>
      <c r="F967" s="11" t="s">
        <v>4362</v>
      </c>
      <c r="G967" s="13"/>
      <c r="H967" s="13"/>
      <c r="I967" s="14">
        <v>3.0</v>
      </c>
      <c r="J967" s="14">
        <v>1.0</v>
      </c>
      <c r="K967" s="9" t="str">
        <f t="shared" ref="K967:K968" si="114">HYPERLINK("http://twitter.com/download/iphone","Twitter for iPhone")</f>
        <v>Twitter for iPhone</v>
      </c>
      <c r="L967" s="15">
        <v>342.0</v>
      </c>
      <c r="M967" s="15">
        <v>763.0</v>
      </c>
      <c r="N967" s="15">
        <v>3.0</v>
      </c>
      <c r="O967" s="16"/>
      <c r="P967" s="17">
        <v>42053.70631944445</v>
      </c>
      <c r="Q967" s="13"/>
      <c r="R967" s="10" t="s">
        <v>4363</v>
      </c>
      <c r="S967" s="13"/>
      <c r="T967" s="13"/>
      <c r="U967" s="18" t="str">
        <f>HYPERLINK("https://pbs.twimg.com/profile_images/1206323956380315650/pDTTEZrh.jpg","View")</f>
        <v>View</v>
      </c>
      <c r="V967" s="13"/>
      <c r="W967" s="13"/>
      <c r="X967" s="13"/>
      <c r="Y967" s="13"/>
      <c r="Z967" s="13"/>
    </row>
    <row r="968">
      <c r="A968" s="8">
        <v>43848.54232638889</v>
      </c>
      <c r="B968" s="9" t="str">
        <f>HYPERLINK("https://twitter.com/QQQQQQQQTR","@QQQQQQQQTR")</f>
        <v>@QQQQQQQQTR</v>
      </c>
      <c r="C968" s="23" t="s">
        <v>4364</v>
      </c>
      <c r="D968" s="10" t="s">
        <v>238</v>
      </c>
      <c r="E968" s="9" t="str">
        <f>HYPERLINK("https://twitter.com/QQQQQQQQTR/status/1218594137152393217","1218594137152393217")</f>
        <v>1218594137152393217</v>
      </c>
      <c r="F968" s="13"/>
      <c r="G968" s="13"/>
      <c r="H968" s="13"/>
      <c r="I968" s="14">
        <v>0.0</v>
      </c>
      <c r="J968" s="14">
        <v>0.0</v>
      </c>
      <c r="K968" s="9" t="str">
        <f t="shared" si="114"/>
        <v>Twitter for iPhone</v>
      </c>
      <c r="L968" s="15">
        <v>180.0</v>
      </c>
      <c r="M968" s="15">
        <v>614.0</v>
      </c>
      <c r="N968" s="15">
        <v>1.0</v>
      </c>
      <c r="O968" s="16"/>
      <c r="P968" s="17">
        <v>41301.14878472222</v>
      </c>
      <c r="Q968" s="13"/>
      <c r="R968" s="13"/>
      <c r="S968" s="13"/>
      <c r="T968" s="13"/>
      <c r="U968" s="18" t="str">
        <f>HYPERLINK("https://pbs.twimg.com/profile_images/1162163294821584897/nI6Mnq0M.jpg","View")</f>
        <v>View</v>
      </c>
      <c r="V968" s="13"/>
      <c r="W968" s="13"/>
      <c r="X968" s="13"/>
      <c r="Y968" s="13"/>
      <c r="Z968" s="13"/>
    </row>
    <row r="969">
      <c r="A969" s="8">
        <v>43848.54231481481</v>
      </c>
      <c r="B969" s="9" t="str">
        <f>HYPERLINK("https://twitter.com/MHAOKLA","@MHAOKLA")</f>
        <v>@MHAOKLA</v>
      </c>
      <c r="C969" s="10" t="s">
        <v>4365</v>
      </c>
      <c r="D969" s="10" t="s">
        <v>4366</v>
      </c>
      <c r="E969" s="9" t="str">
        <f>HYPERLINK("https://twitter.com/MHAOKLA/status/1218594132303794178","1218594132303794178")</f>
        <v>1218594132303794178</v>
      </c>
      <c r="F969" s="11" t="s">
        <v>4367</v>
      </c>
      <c r="G969" s="11" t="s">
        <v>4368</v>
      </c>
      <c r="H969" s="13"/>
      <c r="I969" s="14">
        <v>0.0</v>
      </c>
      <c r="J969" s="14">
        <v>3.0</v>
      </c>
      <c r="K969" s="9" t="str">
        <f>HYPERLINK("https://www.hootsuite.com","Hootsuite Inc.")</f>
        <v>Hootsuite Inc.</v>
      </c>
      <c r="L969" s="15">
        <v>3479.0</v>
      </c>
      <c r="M969" s="15">
        <v>777.0</v>
      </c>
      <c r="N969" s="15">
        <v>92.0</v>
      </c>
      <c r="O969" s="16"/>
      <c r="P969" s="17">
        <v>40403.44230324074</v>
      </c>
      <c r="Q969" s="10" t="s">
        <v>4369</v>
      </c>
      <c r="R969" s="10" t="s">
        <v>4370</v>
      </c>
      <c r="S969" s="11" t="s">
        <v>4371</v>
      </c>
      <c r="T969" s="13"/>
      <c r="U969" s="18" t="str">
        <f>HYPERLINK("https://pbs.twimg.com/profile_images/1217506707598925824/yHBqUZDj.jpg","View")</f>
        <v>View</v>
      </c>
      <c r="V969" s="13"/>
      <c r="W969" s="13"/>
      <c r="X969" s="13"/>
      <c r="Y969" s="13"/>
      <c r="Z969" s="13"/>
    </row>
    <row r="970">
      <c r="A970" s="8">
        <v>43848.54221064815</v>
      </c>
      <c r="B970" s="9" t="str">
        <f>HYPERLINK("https://twitter.com/Bijan_Cyrus","@Bijan_Cyrus")</f>
        <v>@Bijan_Cyrus</v>
      </c>
      <c r="C970" s="10" t="s">
        <v>4372</v>
      </c>
      <c r="D970" s="10" t="s">
        <v>4373</v>
      </c>
      <c r="E970" s="9" t="str">
        <f>HYPERLINK("https://twitter.com/Bijan_Cyrus/status/1218594094051659776","1218594094051659776")</f>
        <v>1218594094051659776</v>
      </c>
      <c r="F970" s="11" t="s">
        <v>4374</v>
      </c>
      <c r="G970" s="11" t="s">
        <v>4375</v>
      </c>
      <c r="H970" s="13"/>
      <c r="I970" s="14">
        <v>1.0</v>
      </c>
      <c r="J970" s="14">
        <v>1.0</v>
      </c>
      <c r="K970" s="9" t="str">
        <f>HYPERLINK("https://mobile.twitter.com","Twitter Web App")</f>
        <v>Twitter Web App</v>
      </c>
      <c r="L970" s="15">
        <v>2301.0</v>
      </c>
      <c r="M970" s="15">
        <v>1966.0</v>
      </c>
      <c r="N970" s="15">
        <v>30.0</v>
      </c>
      <c r="O970" s="16"/>
      <c r="P970" s="17">
        <v>40907.15015046296</v>
      </c>
      <c r="Q970" s="10" t="s">
        <v>4376</v>
      </c>
      <c r="R970" s="10" t="s">
        <v>4377</v>
      </c>
      <c r="S970" s="13"/>
      <c r="T970" s="13"/>
      <c r="U970" s="18" t="str">
        <f>HYPERLINK("https://pbs.twimg.com/profile_images/1216455708759273482/_0lDoYO4.jpg","View")</f>
        <v>View</v>
      </c>
      <c r="V970" s="13"/>
      <c r="W970" s="13"/>
      <c r="X970" s="13"/>
      <c r="Y970" s="13"/>
      <c r="Z970" s="13"/>
    </row>
    <row r="971">
      <c r="A971" s="8">
        <v>43848.5421412037</v>
      </c>
      <c r="B971" s="9" t="str">
        <f>HYPERLINK("https://twitter.com/UnwantedLife_Me","@UnwantedLife_Me")</f>
        <v>@UnwantedLife_Me</v>
      </c>
      <c r="C971" s="10" t="s">
        <v>4378</v>
      </c>
      <c r="D971" s="10" t="s">
        <v>4379</v>
      </c>
      <c r="E971" s="9" t="str">
        <f>HYPERLINK("https://twitter.com/UnwantedLife_Me/status/1218594070894907397","1218594070894907397")</f>
        <v>1218594070894907397</v>
      </c>
      <c r="F971" s="11" t="s">
        <v>4380</v>
      </c>
      <c r="G971" s="11" t="s">
        <v>4381</v>
      </c>
      <c r="H971" s="13"/>
      <c r="I971" s="14">
        <v>1.0</v>
      </c>
      <c r="J971" s="14">
        <v>2.0</v>
      </c>
      <c r="K971" s="9" t="str">
        <f>HYPERLINK("http://www.tweetcaster.com","TweetCaster for Android")</f>
        <v>TweetCaster for Android</v>
      </c>
      <c r="L971" s="15">
        <v>1872.0</v>
      </c>
      <c r="M971" s="15">
        <v>1417.0</v>
      </c>
      <c r="N971" s="15">
        <v>18.0</v>
      </c>
      <c r="O971" s="16"/>
      <c r="P971" s="17">
        <v>43475.462743055556</v>
      </c>
      <c r="Q971" s="10" t="s">
        <v>1324</v>
      </c>
      <c r="R971" s="10" t="s">
        <v>4382</v>
      </c>
      <c r="S971" s="11" t="s">
        <v>4383</v>
      </c>
      <c r="T971" s="13"/>
      <c r="U971" s="18" t="str">
        <f>HYPERLINK("https://pbs.twimg.com/profile_images/1083801897495158784/rc-SnEXp.jpg","View")</f>
        <v>View</v>
      </c>
      <c r="V971" s="13"/>
      <c r="W971" s="13"/>
      <c r="X971" s="13"/>
      <c r="Y971" s="13"/>
      <c r="Z971" s="13"/>
    </row>
    <row r="972">
      <c r="A972" s="8">
        <v>43848.542071759264</v>
      </c>
      <c r="B972" s="9" t="str">
        <f>HYPERLINK("https://twitter.com/AnxietyUK","@AnxietyUK")</f>
        <v>@AnxietyUK</v>
      </c>
      <c r="C972" s="10" t="s">
        <v>4384</v>
      </c>
      <c r="D972" s="10" t="s">
        <v>4385</v>
      </c>
      <c r="E972" s="9" t="str">
        <f>HYPERLINK("https://twitter.com/AnxietyUK/status/1218594044475052033","1218594044475052033")</f>
        <v>1218594044475052033</v>
      </c>
      <c r="F972" s="11" t="s">
        <v>4386</v>
      </c>
      <c r="G972" s="11" t="s">
        <v>4387</v>
      </c>
      <c r="H972" s="13"/>
      <c r="I972" s="14">
        <v>1.0</v>
      </c>
      <c r="J972" s="14">
        <v>4.0</v>
      </c>
      <c r="K972" s="9" t="str">
        <f>HYPERLINK("https://www.hootsuite.com","Hootsuite Inc.")</f>
        <v>Hootsuite Inc.</v>
      </c>
      <c r="L972" s="15">
        <v>130195.0</v>
      </c>
      <c r="M972" s="15">
        <v>2539.0</v>
      </c>
      <c r="N972" s="15">
        <v>1114.0</v>
      </c>
      <c r="O972" s="16"/>
      <c r="P972" s="17">
        <v>39854.57107638889</v>
      </c>
      <c r="Q972" s="10" t="s">
        <v>3286</v>
      </c>
      <c r="R972" s="10" t="s">
        <v>4388</v>
      </c>
      <c r="S972" s="11" t="s">
        <v>4389</v>
      </c>
      <c r="T972" s="13"/>
      <c r="U972" s="18" t="str">
        <f>HYPERLINK("https://pbs.twimg.com/profile_images/1184032569148485632/ARtaFKKO.jpg","View")</f>
        <v>View</v>
      </c>
      <c r="V972" s="13"/>
      <c r="W972" s="13"/>
      <c r="X972" s="13"/>
      <c r="Y972" s="13"/>
      <c r="Z972" s="13"/>
    </row>
    <row r="973">
      <c r="A973" s="8">
        <v>43848.54201388889</v>
      </c>
      <c r="B973" s="9" t="str">
        <f>HYPERLINK("https://twitter.com/getgryffin","@getgryffin")</f>
        <v>@getgryffin</v>
      </c>
      <c r="C973" s="10" t="s">
        <v>4390</v>
      </c>
      <c r="D973" s="10" t="s">
        <v>4391</v>
      </c>
      <c r="E973" s="9" t="str">
        <f>HYPERLINK("https://twitter.com/getgryffin/status/1218594024828870658","1218594024828870658")</f>
        <v>1218594024828870658</v>
      </c>
      <c r="F973" s="11" t="s">
        <v>4392</v>
      </c>
      <c r="G973" s="11" t="s">
        <v>4393</v>
      </c>
      <c r="H973" s="13"/>
      <c r="I973" s="14">
        <v>0.0</v>
      </c>
      <c r="J973" s="14">
        <v>0.0</v>
      </c>
      <c r="K973" s="9" t="str">
        <f t="shared" ref="K973:K974" si="115">HYPERLINK("https://buffer.com","Buffer")</f>
        <v>Buffer</v>
      </c>
      <c r="L973" s="15">
        <v>716.0</v>
      </c>
      <c r="M973" s="15">
        <v>162.0</v>
      </c>
      <c r="N973" s="15">
        <v>48.0</v>
      </c>
      <c r="O973" s="16"/>
      <c r="P973" s="17">
        <v>41894.06015046296</v>
      </c>
      <c r="Q973" s="13"/>
      <c r="R973" s="10" t="s">
        <v>4394</v>
      </c>
      <c r="S973" s="11" t="s">
        <v>4395</v>
      </c>
      <c r="T973" s="13"/>
      <c r="U973" s="18" t="str">
        <f>HYPERLINK("https://pbs.twimg.com/profile_images/1009857794395103233/olDPzK2q.jpg","View")</f>
        <v>View</v>
      </c>
      <c r="V973" s="13"/>
      <c r="W973" s="13"/>
      <c r="X973" s="13"/>
      <c r="Y973" s="13"/>
      <c r="Z973" s="13"/>
    </row>
    <row r="974">
      <c r="A974" s="8">
        <v>43848.54200231482</v>
      </c>
      <c r="B974" s="9" t="str">
        <f>HYPERLINK("https://twitter.com/thismatters_uk","@thismatters_uk")</f>
        <v>@thismatters_uk</v>
      </c>
      <c r="C974" s="10" t="s">
        <v>4396</v>
      </c>
      <c r="D974" s="10" t="s">
        <v>4397</v>
      </c>
      <c r="E974" s="9" t="str">
        <f>HYPERLINK("https://twitter.com/thismatters_uk/status/1218594018969427973","1218594018969427973")</f>
        <v>1218594018969427973</v>
      </c>
      <c r="F974" s="11" t="s">
        <v>4398</v>
      </c>
      <c r="G974" s="13"/>
      <c r="H974" s="13"/>
      <c r="I974" s="14">
        <v>0.0</v>
      </c>
      <c r="J974" s="14">
        <v>2.0</v>
      </c>
      <c r="K974" s="9" t="str">
        <f t="shared" si="115"/>
        <v>Buffer</v>
      </c>
      <c r="L974" s="15">
        <v>139.0</v>
      </c>
      <c r="M974" s="15">
        <v>126.0</v>
      </c>
      <c r="N974" s="15">
        <v>0.0</v>
      </c>
      <c r="O974" s="16"/>
      <c r="P974" s="17">
        <v>43640.28979166667</v>
      </c>
      <c r="Q974" s="10" t="s">
        <v>1324</v>
      </c>
      <c r="R974" s="10" t="s">
        <v>4399</v>
      </c>
      <c r="S974" s="11" t="s">
        <v>4400</v>
      </c>
      <c r="T974" s="13"/>
      <c r="U974" s="18" t="str">
        <f>HYPERLINK("https://pbs.twimg.com/profile_images/1146702602350080001/bDAg6oHq.jpg","View")</f>
        <v>View</v>
      </c>
      <c r="V974" s="13"/>
      <c r="W974" s="13"/>
      <c r="X974" s="13"/>
      <c r="Y974" s="13"/>
      <c r="Z974" s="13"/>
    </row>
    <row r="975">
      <c r="A975" s="8">
        <v>43848.541967592595</v>
      </c>
      <c r="B975" s="9" t="str">
        <f>HYPERLINK("https://twitter.com/HealthyPlace","@HealthyPlace")</f>
        <v>@HealthyPlace</v>
      </c>
      <c r="C975" s="10" t="s">
        <v>1457</v>
      </c>
      <c r="D975" s="10" t="s">
        <v>4401</v>
      </c>
      <c r="E975" s="9" t="str">
        <f>HYPERLINK("https://twitter.com/HealthyPlace/status/1218594008370483200","1218594008370483200")</f>
        <v>1218594008370483200</v>
      </c>
      <c r="F975" s="11" t="s">
        <v>4402</v>
      </c>
      <c r="G975" s="11" t="s">
        <v>4403</v>
      </c>
      <c r="H975" s="13"/>
      <c r="I975" s="14">
        <v>0.0</v>
      </c>
      <c r="J975" s="14">
        <v>0.0</v>
      </c>
      <c r="K975" s="9" t="str">
        <f>HYPERLINK("https://sproutsocial.com","Sprout Social")</f>
        <v>Sprout Social</v>
      </c>
      <c r="L975" s="15">
        <v>64943.0</v>
      </c>
      <c r="M975" s="15">
        <v>25049.0</v>
      </c>
      <c r="N975" s="15">
        <v>1710.0</v>
      </c>
      <c r="O975" s="16"/>
      <c r="P975" s="17">
        <v>39681.03928240741</v>
      </c>
      <c r="Q975" s="10" t="s">
        <v>1460</v>
      </c>
      <c r="R975" s="10" t="s">
        <v>1461</v>
      </c>
      <c r="S975" s="11" t="s">
        <v>1462</v>
      </c>
      <c r="T975" s="13"/>
      <c r="U975" s="18" t="str">
        <f>HYPERLINK("https://pbs.twimg.com/profile_images/753613454083252225/i5pr2xny.jpg","View")</f>
        <v>View</v>
      </c>
      <c r="V975" s="13"/>
      <c r="W975" s="13"/>
      <c r="X975" s="13"/>
      <c r="Y975" s="13"/>
      <c r="Z975" s="13"/>
    </row>
    <row r="976">
      <c r="A976" s="8">
        <v>43848.541921296295</v>
      </c>
      <c r="B976" s="9" t="str">
        <f>HYPERLINK("https://twitter.com/BrownSistersSpk","@BrownSistersSpk")</f>
        <v>@BrownSistersSpk</v>
      </c>
      <c r="C976" s="10" t="s">
        <v>4404</v>
      </c>
      <c r="D976" s="10" t="s">
        <v>4405</v>
      </c>
      <c r="E976" s="9" t="str">
        <f>HYPERLINK("https://twitter.com/BrownSistersSpk/status/1218593991047905287","1218593991047905287")</f>
        <v>1218593991047905287</v>
      </c>
      <c r="F976" s="13"/>
      <c r="G976" s="13"/>
      <c r="H976" s="13"/>
      <c r="I976" s="14">
        <v>0.0</v>
      </c>
      <c r="J976" s="14">
        <v>1.0</v>
      </c>
      <c r="K976" s="9" t="str">
        <f>HYPERLINK("https://ifttt.com","IFTTT")</f>
        <v>IFTTT</v>
      </c>
      <c r="L976" s="15">
        <v>684.0</v>
      </c>
      <c r="M976" s="15">
        <v>1351.0</v>
      </c>
      <c r="N976" s="15">
        <v>43.0</v>
      </c>
      <c r="O976" s="16"/>
      <c r="P976" s="17">
        <v>42342.11320601852</v>
      </c>
      <c r="Q976" s="10" t="s">
        <v>1182</v>
      </c>
      <c r="R976" s="10" t="s">
        <v>4406</v>
      </c>
      <c r="S976" s="11" t="s">
        <v>4407</v>
      </c>
      <c r="T976" s="13"/>
      <c r="U976" s="18" t="str">
        <f>HYPERLINK("https://pbs.twimg.com/profile_images/773797989810712576/oanMBL0E.jpg","View")</f>
        <v>View</v>
      </c>
      <c r="V976" s="13"/>
      <c r="W976" s="13"/>
      <c r="X976" s="13"/>
      <c r="Y976" s="13"/>
      <c r="Z976" s="13"/>
    </row>
    <row r="977">
      <c r="A977" s="8">
        <v>43848.54190972222</v>
      </c>
      <c r="B977" s="9" t="str">
        <f>HYPERLINK("https://twitter.com/CMBowenAuthor","@CMBowenAuthor")</f>
        <v>@CMBowenAuthor</v>
      </c>
      <c r="C977" s="10" t="s">
        <v>4408</v>
      </c>
      <c r="D977" s="10" t="s">
        <v>4409</v>
      </c>
      <c r="E977" s="9" t="str">
        <f>HYPERLINK("https://twitter.com/CMBowenAuthor/status/1218593988636266498","1218593988636266498")</f>
        <v>1218593988636266498</v>
      </c>
      <c r="F977" s="11" t="s">
        <v>4410</v>
      </c>
      <c r="G977" s="11" t="s">
        <v>4411</v>
      </c>
      <c r="H977" s="13"/>
      <c r="I977" s="14">
        <v>1.0</v>
      </c>
      <c r="J977" s="14">
        <v>1.0</v>
      </c>
      <c r="K977" s="9" t="str">
        <f>HYPERLINK("https://www.hootsuite.com","Hootsuite Inc.")</f>
        <v>Hootsuite Inc.</v>
      </c>
      <c r="L977" s="15">
        <v>11158.0</v>
      </c>
      <c r="M977" s="15">
        <v>9053.0</v>
      </c>
      <c r="N977" s="15">
        <v>189.0</v>
      </c>
      <c r="O977" s="16"/>
      <c r="P977" s="17">
        <v>42559.8937037037</v>
      </c>
      <c r="Q977" s="10" t="s">
        <v>3246</v>
      </c>
      <c r="R977" s="10" t="s">
        <v>4412</v>
      </c>
      <c r="S977" s="11" t="s">
        <v>4413</v>
      </c>
      <c r="T977" s="13"/>
      <c r="U977" s="18" t="str">
        <f>HYPERLINK("https://pbs.twimg.com/profile_images/751592300141240321/rEM9JwwO.jpg","View")</f>
        <v>View</v>
      </c>
      <c r="V977" s="13"/>
      <c r="W977" s="13"/>
      <c r="X977" s="13"/>
      <c r="Y977" s="13"/>
      <c r="Z977" s="13"/>
    </row>
    <row r="978">
      <c r="A978" s="8">
        <v>43848.54184027778</v>
      </c>
      <c r="B978" s="9" t="str">
        <f>HYPERLINK("https://twitter.com/AppetizerRadio","@AppetizerRadio")</f>
        <v>@AppetizerRadio</v>
      </c>
      <c r="C978" s="10" t="s">
        <v>4414</v>
      </c>
      <c r="D978" s="10" t="s">
        <v>4415</v>
      </c>
      <c r="E978" s="9" t="str">
        <f>HYPERLINK("https://twitter.com/AppetizerRadio/status/1218593961121583104","1218593961121583104")</f>
        <v>1218593961121583104</v>
      </c>
      <c r="F978" s="11" t="s">
        <v>4416</v>
      </c>
      <c r="G978" s="11" t="s">
        <v>4417</v>
      </c>
      <c r="H978" s="13"/>
      <c r="I978" s="14">
        <v>0.0</v>
      </c>
      <c r="J978" s="14">
        <v>0.0</v>
      </c>
      <c r="K978" s="9" t="str">
        <f t="shared" ref="K978:K979" si="116">HYPERLINK("https://buffer.com","Buffer")</f>
        <v>Buffer</v>
      </c>
      <c r="L978" s="15">
        <v>8218.0</v>
      </c>
      <c r="M978" s="15">
        <v>6928.0</v>
      </c>
      <c r="N978" s="15">
        <v>492.0</v>
      </c>
      <c r="O978" s="16"/>
      <c r="P978" s="17">
        <v>39987.63420138889</v>
      </c>
      <c r="Q978" s="10" t="s">
        <v>4418</v>
      </c>
      <c r="R978" s="10" t="s">
        <v>4419</v>
      </c>
      <c r="S978" s="11" t="s">
        <v>4420</v>
      </c>
      <c r="T978" s="13"/>
      <c r="U978" s="18" t="str">
        <f>HYPERLINK("https://pbs.twimg.com/profile_images/633739858612060160/ZYIAcbFd.jpg","View")</f>
        <v>View</v>
      </c>
      <c r="V978" s="13"/>
      <c r="W978" s="13"/>
      <c r="X978" s="13"/>
      <c r="Y978" s="13"/>
      <c r="Z978" s="13"/>
    </row>
    <row r="979">
      <c r="A979" s="8">
        <v>43848.54178240741</v>
      </c>
      <c r="B979" s="9" t="str">
        <f>HYPERLINK("https://twitter.com/ParentGuiding","@ParentGuiding")</f>
        <v>@ParentGuiding</v>
      </c>
      <c r="C979" s="10" t="s">
        <v>4421</v>
      </c>
      <c r="D979" s="10" t="s">
        <v>4422</v>
      </c>
      <c r="E979" s="9" t="str">
        <f>HYPERLINK("https://twitter.com/ParentGuiding/status/1218593940544348161","1218593940544348161")</f>
        <v>1218593940544348161</v>
      </c>
      <c r="F979" s="11" t="s">
        <v>4423</v>
      </c>
      <c r="G979" s="11" t="s">
        <v>4424</v>
      </c>
      <c r="H979" s="13"/>
      <c r="I979" s="14">
        <v>0.0</v>
      </c>
      <c r="J979" s="14">
        <v>0.0</v>
      </c>
      <c r="K979" s="9" t="str">
        <f t="shared" si="116"/>
        <v>Buffer</v>
      </c>
      <c r="L979" s="15">
        <v>411.0</v>
      </c>
      <c r="M979" s="15">
        <v>276.0</v>
      </c>
      <c r="N979" s="15">
        <v>6.0</v>
      </c>
      <c r="O979" s="16"/>
      <c r="P979" s="17">
        <v>41572.47755787037</v>
      </c>
      <c r="Q979" s="10" t="s">
        <v>4425</v>
      </c>
      <c r="R979" s="10" t="s">
        <v>4426</v>
      </c>
      <c r="S979" s="11" t="s">
        <v>4427</v>
      </c>
      <c r="T979" s="13"/>
      <c r="U979" s="18" t="str">
        <f>HYPERLINK("https://pbs.twimg.com/profile_images/730427377097003008/ZXntVPCm.jpg","View")</f>
        <v>View</v>
      </c>
      <c r="V979" s="13"/>
      <c r="W979" s="13"/>
      <c r="X979" s="13"/>
      <c r="Y979" s="13"/>
      <c r="Z979" s="13"/>
    </row>
    <row r="980">
      <c r="A980" s="8">
        <v>43848.54167824074</v>
      </c>
      <c r="B980" s="9" t="str">
        <f>HYPERLINK("https://twitter.com/DebraLindh","@DebraLindh")</f>
        <v>@DebraLindh</v>
      </c>
      <c r="C980" s="10" t="s">
        <v>4428</v>
      </c>
      <c r="D980" s="10" t="s">
        <v>4429</v>
      </c>
      <c r="E980" s="9" t="str">
        <f>HYPERLINK("https://twitter.com/DebraLindh/status/1218593901696684032","1218593901696684032")</f>
        <v>1218593901696684032</v>
      </c>
      <c r="F980" s="13"/>
      <c r="G980" s="11" t="s">
        <v>4430</v>
      </c>
      <c r="H980" s="13"/>
      <c r="I980" s="14">
        <v>0.0</v>
      </c>
      <c r="J980" s="14">
        <v>0.0</v>
      </c>
      <c r="K980" s="9" t="str">
        <f>HYPERLINK("https://eclincher.com","eClincher")</f>
        <v>eClincher</v>
      </c>
      <c r="L980" s="15">
        <v>9991.0</v>
      </c>
      <c r="M980" s="15">
        <v>10585.0</v>
      </c>
      <c r="N980" s="15">
        <v>467.0</v>
      </c>
      <c r="O980" s="16"/>
      <c r="P980" s="17">
        <v>40756.47195601852</v>
      </c>
      <c r="Q980" s="10" t="s">
        <v>4431</v>
      </c>
      <c r="R980" s="10" t="s">
        <v>4432</v>
      </c>
      <c r="S980" s="11" t="s">
        <v>4433</v>
      </c>
      <c r="T980" s="13"/>
      <c r="U980" s="18" t="str">
        <f>HYPERLINK("https://pbs.twimg.com/profile_images/1187264103905136640/lS-fKvUp.jpg","View")</f>
        <v>View</v>
      </c>
      <c r="V980" s="13"/>
      <c r="W980" s="13"/>
      <c r="X980" s="13"/>
      <c r="Y980" s="13"/>
      <c r="Z980" s="13"/>
    </row>
    <row r="981">
      <c r="A981" s="8">
        <v>43848.54166666667</v>
      </c>
      <c r="B981" s="9" t="str">
        <f>HYPERLINK("https://twitter.com/Bhekisisa_MG","@Bhekisisa_MG")</f>
        <v>@Bhekisisa_MG</v>
      </c>
      <c r="C981" s="10" t="s">
        <v>4434</v>
      </c>
      <c r="D981" s="10" t="s">
        <v>4435</v>
      </c>
      <c r="E981" s="9" t="str">
        <f>HYPERLINK("https://twitter.com/Bhekisisa_MG/status/1218593897477107712","1218593897477107712")</f>
        <v>1218593897477107712</v>
      </c>
      <c r="F981" s="11" t="s">
        <v>4436</v>
      </c>
      <c r="G981" s="13"/>
      <c r="H981" s="13"/>
      <c r="I981" s="14">
        <v>0.0</v>
      </c>
      <c r="J981" s="14">
        <v>1.0</v>
      </c>
      <c r="K981" s="9" t="str">
        <f>HYPERLINK("https://about.twitter.com/products/tweetdeck","TweetDeck")</f>
        <v>TweetDeck</v>
      </c>
      <c r="L981" s="15">
        <v>10383.0</v>
      </c>
      <c r="M981" s="15">
        <v>788.0</v>
      </c>
      <c r="N981" s="15">
        <v>180.0</v>
      </c>
      <c r="O981" s="21" t="s">
        <v>522</v>
      </c>
      <c r="P981" s="17">
        <v>41355.20370370371</v>
      </c>
      <c r="Q981" s="10" t="s">
        <v>4437</v>
      </c>
      <c r="R981" s="10" t="s">
        <v>4438</v>
      </c>
      <c r="S981" s="11" t="s">
        <v>4439</v>
      </c>
      <c r="T981" s="13"/>
      <c r="U981" s="18" t="str">
        <f>HYPERLINK("https://pbs.twimg.com/profile_images/1171397514236485632/z2vrTXr7.jpg","View")</f>
        <v>View</v>
      </c>
      <c r="V981" s="13"/>
      <c r="W981" s="13"/>
      <c r="X981" s="13"/>
      <c r="Y981" s="13"/>
      <c r="Z981" s="13"/>
    </row>
    <row r="982">
      <c r="A982" s="8">
        <v>43848.5406712963</v>
      </c>
      <c r="B982" s="9" t="str">
        <f>HYPERLINK("https://twitter.com/_BorderlineArt","@_BorderlineArt")</f>
        <v>@_BorderlineArt</v>
      </c>
      <c r="C982" s="10" t="s">
        <v>4440</v>
      </c>
      <c r="D982" s="10" t="s">
        <v>4441</v>
      </c>
      <c r="E982" s="9" t="str">
        <f>HYPERLINK("https://twitter.com/_BorderlineArt/status/1218593539203969024","1218593539203969024")</f>
        <v>1218593539203969024</v>
      </c>
      <c r="F982" s="13"/>
      <c r="G982" s="11" t="s">
        <v>4442</v>
      </c>
      <c r="H982" s="13"/>
      <c r="I982" s="14">
        <v>3.0</v>
      </c>
      <c r="J982" s="14">
        <v>0.0</v>
      </c>
      <c r="K982" s="9" t="str">
        <f>HYPERLINK("http://twitter.com/download/iphone","Twitter for iPhone")</f>
        <v>Twitter for iPhone</v>
      </c>
      <c r="L982" s="15">
        <v>1568.0</v>
      </c>
      <c r="M982" s="15">
        <v>2046.0</v>
      </c>
      <c r="N982" s="15">
        <v>33.0</v>
      </c>
      <c r="O982" s="16"/>
      <c r="P982" s="17">
        <v>41438.60072916667</v>
      </c>
      <c r="Q982" s="10" t="s">
        <v>4443</v>
      </c>
      <c r="R982" s="10" t="s">
        <v>4444</v>
      </c>
      <c r="S982" s="11" t="s">
        <v>4445</v>
      </c>
      <c r="T982" s="13"/>
      <c r="U982" s="18" t="str">
        <f>HYPERLINK("https://pbs.twimg.com/profile_images/450417116043153408/WHfVMlpX.png","View")</f>
        <v>View</v>
      </c>
      <c r="V982" s="13"/>
      <c r="W982" s="13"/>
      <c r="X982" s="13"/>
      <c r="Y982" s="13"/>
      <c r="Z982" s="13"/>
    </row>
    <row r="983">
      <c r="A983" s="8">
        <v>43848.54001157408</v>
      </c>
      <c r="B983" s="9" t="str">
        <f>HYPERLINK("https://twitter.com/katyrc2011","@katyrc2011")</f>
        <v>@katyrc2011</v>
      </c>
      <c r="C983" s="10" t="s">
        <v>4446</v>
      </c>
      <c r="D983" s="10" t="s">
        <v>238</v>
      </c>
      <c r="E983" s="9" t="str">
        <f>HYPERLINK("https://twitter.com/katyrc2011/status/1218593298656436225","1218593298656436225")</f>
        <v>1218593298656436225</v>
      </c>
      <c r="F983" s="13"/>
      <c r="G983" s="13"/>
      <c r="H983" s="13"/>
      <c r="I983" s="14">
        <v>0.0</v>
      </c>
      <c r="J983" s="14">
        <v>0.0</v>
      </c>
      <c r="K983" s="9" t="str">
        <f>HYPERLINK("https://mobile.twitter.com","Twitter Web App")</f>
        <v>Twitter Web App</v>
      </c>
      <c r="L983" s="15">
        <v>777.0</v>
      </c>
      <c r="M983" s="15">
        <v>3669.0</v>
      </c>
      <c r="N983" s="15">
        <v>16.0</v>
      </c>
      <c r="O983" s="16"/>
      <c r="P983" s="17">
        <v>40776.601388888885</v>
      </c>
      <c r="Q983" s="10" t="s">
        <v>4447</v>
      </c>
      <c r="R983" s="10" t="s">
        <v>4448</v>
      </c>
      <c r="S983" s="13"/>
      <c r="T983" s="13"/>
      <c r="U983" s="18" t="str">
        <f>HYPERLINK("https://pbs.twimg.com/profile_images/570809625471258624/6SwQBGKn.jpeg","View")</f>
        <v>View</v>
      </c>
      <c r="V983" s="13"/>
      <c r="W983" s="13"/>
      <c r="X983" s="13"/>
      <c r="Y983" s="13"/>
      <c r="Z983" s="13"/>
    </row>
    <row r="984">
      <c r="A984" s="8">
        <v>43848.539884259255</v>
      </c>
      <c r="B984" s="9" t="str">
        <f>HYPERLINK("https://twitter.com/ShakaBrownComic","@ShakaBrownComic")</f>
        <v>@ShakaBrownComic</v>
      </c>
      <c r="C984" s="10" t="s">
        <v>974</v>
      </c>
      <c r="D984" s="10" t="s">
        <v>4449</v>
      </c>
      <c r="E984" s="9" t="str">
        <f>HYPERLINK("https://twitter.com/ShakaBrownComic/status/1218593252074491904","1218593252074491904")</f>
        <v>1218593252074491904</v>
      </c>
      <c r="F984" s="13"/>
      <c r="G984" s="13"/>
      <c r="H984" s="13"/>
      <c r="I984" s="14">
        <v>0.0</v>
      </c>
      <c r="J984" s="14">
        <v>0.0</v>
      </c>
      <c r="K984" s="9" t="str">
        <f>HYPERLINK("http://twitter.com/download/android","Twitter for Android")</f>
        <v>Twitter for Android</v>
      </c>
      <c r="L984" s="15">
        <v>136.0</v>
      </c>
      <c r="M984" s="15">
        <v>39.0</v>
      </c>
      <c r="N984" s="15">
        <v>4.0</v>
      </c>
      <c r="O984" s="16"/>
      <c r="P984" s="17">
        <v>41995.06672453704</v>
      </c>
      <c r="Q984" s="10" t="s">
        <v>976</v>
      </c>
      <c r="R984" s="10" t="s">
        <v>977</v>
      </c>
      <c r="S984" s="11" t="s">
        <v>978</v>
      </c>
      <c r="T984" s="13"/>
      <c r="U984" s="18" t="str">
        <f>HYPERLINK("https://pbs.twimg.com/profile_images/1195420809277427713/cLFbEoBk.jpg","View")</f>
        <v>View</v>
      </c>
      <c r="V984" s="13"/>
      <c r="W984" s="13"/>
      <c r="X984" s="13"/>
      <c r="Y984" s="13"/>
      <c r="Z984" s="13"/>
    </row>
    <row r="985">
      <c r="A985" s="8">
        <v>43848.53964120371</v>
      </c>
      <c r="B985" s="9" t="str">
        <f>HYPERLINK("https://twitter.com/Takona_official","@Takona_official")</f>
        <v>@Takona_official</v>
      </c>
      <c r="C985" s="10" t="s">
        <v>4450</v>
      </c>
      <c r="D985" s="10" t="s">
        <v>4451</v>
      </c>
      <c r="E985" s="9" t="str">
        <f>HYPERLINK("https://twitter.com/Takona_official/status/1218593164308729858","1218593164308729858")</f>
        <v>1218593164308729858</v>
      </c>
      <c r="F985" s="13"/>
      <c r="G985" s="11" t="s">
        <v>4452</v>
      </c>
      <c r="H985" s="13"/>
      <c r="I985" s="14">
        <v>0.0</v>
      </c>
      <c r="J985" s="14">
        <v>0.0</v>
      </c>
      <c r="K985" s="9" t="str">
        <f t="shared" ref="K985:K987" si="117">HYPERLINK("http://twitter.com/download/iphone","Twitter for iPhone")</f>
        <v>Twitter for iPhone</v>
      </c>
      <c r="L985" s="15">
        <v>26.0</v>
      </c>
      <c r="M985" s="15">
        <v>199.0</v>
      </c>
      <c r="N985" s="15">
        <v>0.0</v>
      </c>
      <c r="O985" s="16"/>
      <c r="P985" s="17">
        <v>43705.44547453704</v>
      </c>
      <c r="Q985" s="13"/>
      <c r="R985" s="10" t="s">
        <v>4453</v>
      </c>
      <c r="S985" s="11" t="s">
        <v>4454</v>
      </c>
      <c r="T985" s="13"/>
      <c r="U985" s="18" t="str">
        <f>HYPERLINK("https://pbs.twimg.com/profile_images/1166723307976237057/WvGBCl11.jpg","View")</f>
        <v>View</v>
      </c>
      <c r="V985" s="13"/>
      <c r="W985" s="13"/>
      <c r="X985" s="13"/>
      <c r="Y985" s="13"/>
      <c r="Z985" s="13"/>
    </row>
    <row r="986">
      <c r="A986" s="8">
        <v>43848.53962962963</v>
      </c>
      <c r="B986" s="9" t="str">
        <f>HYPERLINK("https://twitter.com/eve_fullard","@eve_fullard")</f>
        <v>@eve_fullard</v>
      </c>
      <c r="C986" s="10" t="s">
        <v>4455</v>
      </c>
      <c r="D986" s="10" t="s">
        <v>4456</v>
      </c>
      <c r="E986" s="9" t="str">
        <f>HYPERLINK("https://twitter.com/eve_fullard/status/1218593161930575873","1218593161930575873")</f>
        <v>1218593161930575873</v>
      </c>
      <c r="F986" s="10" t="s">
        <v>4457</v>
      </c>
      <c r="G986" s="13"/>
      <c r="H986" s="13"/>
      <c r="I986" s="14">
        <v>1.0</v>
      </c>
      <c r="J986" s="14">
        <v>0.0</v>
      </c>
      <c r="K986" s="9" t="str">
        <f t="shared" si="117"/>
        <v>Twitter for iPhone</v>
      </c>
      <c r="L986" s="15">
        <v>219.0</v>
      </c>
      <c r="M986" s="15">
        <v>885.0</v>
      </c>
      <c r="N986" s="15">
        <v>2.0</v>
      </c>
      <c r="O986" s="16"/>
      <c r="P986" s="17">
        <v>40625.68962962963</v>
      </c>
      <c r="Q986" s="10" t="s">
        <v>4458</v>
      </c>
      <c r="R986" s="10" t="s">
        <v>4459</v>
      </c>
      <c r="S986" s="11" t="s">
        <v>4460</v>
      </c>
      <c r="T986" s="13"/>
      <c r="U986" s="18" t="str">
        <f>HYPERLINK("https://pbs.twimg.com/profile_images/1199052451376254982/XJ9g9CIN.jpg","View")</f>
        <v>View</v>
      </c>
      <c r="V986" s="13"/>
      <c r="W986" s="13"/>
      <c r="X986" s="13"/>
      <c r="Y986" s="13"/>
      <c r="Z986" s="13"/>
    </row>
    <row r="987">
      <c r="A987" s="8">
        <v>43848.539618055554</v>
      </c>
      <c r="B987" s="9" t="str">
        <f>HYPERLINK("https://twitter.com/ReggieNBollie","@ReggieNBollie")</f>
        <v>@ReggieNBollie</v>
      </c>
      <c r="C987" s="10" t="s">
        <v>4461</v>
      </c>
      <c r="D987" s="10" t="s">
        <v>4462</v>
      </c>
      <c r="E987" s="9" t="str">
        <f>HYPERLINK("https://twitter.com/ReggieNBollie/status/1218593158063448064","1218593158063448064")</f>
        <v>1218593158063448064</v>
      </c>
      <c r="F987" s="11" t="s">
        <v>4463</v>
      </c>
      <c r="G987" s="11" t="s">
        <v>4464</v>
      </c>
      <c r="H987" s="13"/>
      <c r="I987" s="14">
        <v>5.0</v>
      </c>
      <c r="J987" s="14">
        <v>10.0</v>
      </c>
      <c r="K987" s="9" t="str">
        <f t="shared" si="117"/>
        <v>Twitter for iPhone</v>
      </c>
      <c r="L987" s="15">
        <v>87894.0</v>
      </c>
      <c r="M987" s="15">
        <v>1358.0</v>
      </c>
      <c r="N987" s="15">
        <v>109.0</v>
      </c>
      <c r="O987" s="21" t="s">
        <v>522</v>
      </c>
      <c r="P987" s="17">
        <v>41548.2902662037</v>
      </c>
      <c r="Q987" s="10" t="s">
        <v>4465</v>
      </c>
      <c r="R987" s="10" t="s">
        <v>4466</v>
      </c>
      <c r="S987" s="11" t="s">
        <v>4467</v>
      </c>
      <c r="T987" s="13"/>
      <c r="U987" s="18" t="str">
        <f>HYPERLINK("https://pbs.twimg.com/profile_images/1201403367702040576/yVXJVNQQ.jpg","View")</f>
        <v>View</v>
      </c>
      <c r="V987" s="13"/>
      <c r="W987" s="13"/>
      <c r="X987" s="13"/>
      <c r="Y987" s="13"/>
      <c r="Z987" s="13"/>
    </row>
    <row r="988">
      <c r="A988" s="8">
        <v>43848.53931712963</v>
      </c>
      <c r="B988" s="9" t="str">
        <f>HYPERLINK("https://twitter.com/Carolyns_RVLife","@Carolyns_RVLife")</f>
        <v>@Carolyns_RVLife</v>
      </c>
      <c r="C988" s="10" t="s">
        <v>4468</v>
      </c>
      <c r="D988" s="10" t="s">
        <v>4469</v>
      </c>
      <c r="E988" s="9" t="str">
        <f>HYPERLINK("https://twitter.com/Carolyns_RVLife/status/1218593048738684928","1218593048738684928")</f>
        <v>1218593048738684928</v>
      </c>
      <c r="F988" s="13"/>
      <c r="G988" s="11" t="s">
        <v>4470</v>
      </c>
      <c r="H988" s="13"/>
      <c r="I988" s="14">
        <v>0.0</v>
      </c>
      <c r="J988" s="14">
        <v>4.0</v>
      </c>
      <c r="K988" s="9" t="str">
        <f>HYPERLINK("https://mobile.twitter.com","Twitter Web App")</f>
        <v>Twitter Web App</v>
      </c>
      <c r="L988" s="15">
        <v>2055.0</v>
      </c>
      <c r="M988" s="15">
        <v>1045.0</v>
      </c>
      <c r="N988" s="15">
        <v>81.0</v>
      </c>
      <c r="O988" s="16"/>
      <c r="P988" s="17">
        <v>42598.85354166667</v>
      </c>
      <c r="Q988" s="10" t="s">
        <v>4471</v>
      </c>
      <c r="R988" s="10" t="s">
        <v>4472</v>
      </c>
      <c r="S988" s="11" t="s">
        <v>4473</v>
      </c>
      <c r="T988" s="13"/>
      <c r="U988" s="18" t="str">
        <f>HYPERLINK("https://pbs.twimg.com/profile_images/1030700127667740672/Ff86uJXy.jpg","View")</f>
        <v>View</v>
      </c>
      <c r="V988" s="13"/>
      <c r="W988" s="13"/>
      <c r="X988" s="13"/>
      <c r="Y988" s="13"/>
      <c r="Z988" s="13"/>
    </row>
    <row r="989">
      <c r="A989" s="8">
        <v>43848.539259259254</v>
      </c>
      <c r="B989" s="9" t="str">
        <f>HYPERLINK("https://twitter.com/ZenaKamash","@ZenaKamash")</f>
        <v>@ZenaKamash</v>
      </c>
      <c r="C989" s="10" t="s">
        <v>4474</v>
      </c>
      <c r="D989" s="10" t="s">
        <v>4475</v>
      </c>
      <c r="E989" s="9" t="str">
        <f>HYPERLINK("https://twitter.com/ZenaKamash/status/1218593024969707528","1218593024969707528")</f>
        <v>1218593024969707528</v>
      </c>
      <c r="F989" s="10" t="s">
        <v>4476</v>
      </c>
      <c r="G989" s="13"/>
      <c r="H989" s="13"/>
      <c r="I989" s="14">
        <v>0.0</v>
      </c>
      <c r="J989" s="14">
        <v>11.0</v>
      </c>
      <c r="K989" s="9" t="str">
        <f>HYPERLINK("http://twitter.com/download/android","Twitter for Android")</f>
        <v>Twitter for Android</v>
      </c>
      <c r="L989" s="15">
        <v>1500.0</v>
      </c>
      <c r="M989" s="15">
        <v>930.0</v>
      </c>
      <c r="N989" s="15">
        <v>36.0</v>
      </c>
      <c r="O989" s="16"/>
      <c r="P989" s="17">
        <v>42285.18414351852</v>
      </c>
      <c r="Q989" s="13"/>
      <c r="R989" s="10" t="s">
        <v>4477</v>
      </c>
      <c r="S989" s="11" t="s">
        <v>4478</v>
      </c>
      <c r="T989" s="13"/>
      <c r="U989" s="18" t="str">
        <f>HYPERLINK("https://pbs.twimg.com/profile_images/833762739407425537/P_E6kd_h.jpg","View")</f>
        <v>View</v>
      </c>
      <c r="V989" s="13"/>
      <c r="W989" s="13"/>
      <c r="X989" s="13"/>
      <c r="Y989" s="13"/>
      <c r="Z989" s="13"/>
    </row>
    <row r="990">
      <c r="A990" s="8">
        <v>43848.53905092593</v>
      </c>
      <c r="B990" s="9" t="str">
        <f>HYPERLINK("https://twitter.com/Benjamin_JJones","@Benjamin_JJones")</f>
        <v>@Benjamin_JJones</v>
      </c>
      <c r="C990" s="10" t="s">
        <v>4479</v>
      </c>
      <c r="D990" s="10" t="s">
        <v>4480</v>
      </c>
      <c r="E990" s="9" t="str">
        <f>HYPERLINK("https://twitter.com/Benjamin_JJones/status/1218592952697659392","1218592952697659392")</f>
        <v>1218592952697659392</v>
      </c>
      <c r="F990" s="11" t="s">
        <v>4481</v>
      </c>
      <c r="G990" s="11" t="s">
        <v>4482</v>
      </c>
      <c r="H990" s="13"/>
      <c r="I990" s="14">
        <v>1.0</v>
      </c>
      <c r="J990" s="14">
        <v>4.0</v>
      </c>
      <c r="K990" s="9" t="str">
        <f>HYPERLINK("http://twitter.com/#!/download/ipad","Twitter for iPad")</f>
        <v>Twitter for iPad</v>
      </c>
      <c r="L990" s="15">
        <v>1504.0</v>
      </c>
      <c r="M990" s="15">
        <v>4105.0</v>
      </c>
      <c r="N990" s="15">
        <v>53.0</v>
      </c>
      <c r="O990" s="16"/>
      <c r="P990" s="17">
        <v>40726.17359953704</v>
      </c>
      <c r="Q990" s="10" t="s">
        <v>4483</v>
      </c>
      <c r="R990" s="10" t="s">
        <v>4484</v>
      </c>
      <c r="S990" s="11" t="s">
        <v>4485</v>
      </c>
      <c r="T990" s="13"/>
      <c r="U990" s="18" t="str">
        <f>HYPERLINK("https://pbs.twimg.com/profile_images/1211574834301489152/41oK7bQD.jpg","View")</f>
        <v>View</v>
      </c>
      <c r="V990" s="13"/>
      <c r="W990" s="13"/>
      <c r="X990" s="13"/>
      <c r="Y990" s="13"/>
      <c r="Z990" s="13"/>
    </row>
    <row r="991">
      <c r="A991" s="8">
        <v>43848.53905092593</v>
      </c>
      <c r="B991" s="9" t="str">
        <f>HYPERLINK("https://twitter.com/girlfromberks","@girlfromberks")</f>
        <v>@girlfromberks</v>
      </c>
      <c r="C991" s="10" t="s">
        <v>4486</v>
      </c>
      <c r="D991" s="10" t="s">
        <v>4487</v>
      </c>
      <c r="E991" s="9" t="str">
        <f>HYPERLINK("https://twitter.com/girlfromberks/status/1218592952467054592","1218592952467054592")</f>
        <v>1218592952467054592</v>
      </c>
      <c r="F991" s="13"/>
      <c r="G991" s="13"/>
      <c r="H991" s="13"/>
      <c r="I991" s="14">
        <v>0.0</v>
      </c>
      <c r="J991" s="14">
        <v>0.0</v>
      </c>
      <c r="K991" s="9" t="str">
        <f>HYPERLINK("http://twitter.com/download/android","Twitter for Android")</f>
        <v>Twitter for Android</v>
      </c>
      <c r="L991" s="15">
        <v>111.0</v>
      </c>
      <c r="M991" s="15">
        <v>246.0</v>
      </c>
      <c r="N991" s="15">
        <v>0.0</v>
      </c>
      <c r="O991" s="16"/>
      <c r="P991" s="17">
        <v>42762.70019675926</v>
      </c>
      <c r="Q991" s="10" t="s">
        <v>161</v>
      </c>
      <c r="R991" s="10" t="s">
        <v>4488</v>
      </c>
      <c r="S991" s="11" t="s">
        <v>4489</v>
      </c>
      <c r="T991" s="13"/>
      <c r="U991" s="18" t="str">
        <f>HYPERLINK("https://pbs.twimg.com/profile_images/1195382947358138368/2xFoJCrW.jpg","View")</f>
        <v>View</v>
      </c>
      <c r="V991" s="13"/>
      <c r="W991" s="13"/>
      <c r="X991" s="13"/>
      <c r="Y991" s="13"/>
      <c r="Z991" s="13"/>
    </row>
    <row r="992">
      <c r="A992" s="8">
        <v>43848.53905092593</v>
      </c>
      <c r="B992" s="9" t="str">
        <f>HYPERLINK("https://twitter.com/Cherryblosom013","@Cherryblosom013")</f>
        <v>@Cherryblosom013</v>
      </c>
      <c r="C992" s="10" t="s">
        <v>4490</v>
      </c>
      <c r="D992" s="10" t="s">
        <v>4491</v>
      </c>
      <c r="E992" s="9" t="str">
        <f>HYPERLINK("https://twitter.com/Cherryblosom013/status/1218592950130823174","1218592950130823174")</f>
        <v>1218592950130823174</v>
      </c>
      <c r="F992" s="11" t="s">
        <v>4492</v>
      </c>
      <c r="G992" s="13"/>
      <c r="H992" s="13"/>
      <c r="I992" s="14">
        <v>0.0</v>
      </c>
      <c r="J992" s="14">
        <v>3.0</v>
      </c>
      <c r="K992" s="9" t="str">
        <f>HYPERLINK("https://about.twitter.com/products/tweetdeck","TweetDeck")</f>
        <v>TweetDeck</v>
      </c>
      <c r="L992" s="15">
        <v>410.0</v>
      </c>
      <c r="M992" s="15">
        <v>244.0</v>
      </c>
      <c r="N992" s="15">
        <v>2.0</v>
      </c>
      <c r="O992" s="16"/>
      <c r="P992" s="17">
        <v>41286.85314814815</v>
      </c>
      <c r="Q992" s="10" t="s">
        <v>4493</v>
      </c>
      <c r="R992" s="10" t="s">
        <v>4494</v>
      </c>
      <c r="S992" s="11" t="s">
        <v>4495</v>
      </c>
      <c r="T992" s="13"/>
      <c r="U992" s="18" t="str">
        <f>HYPERLINK("https://pbs.twimg.com/profile_images/1085380687425728512/a9KT8xWe.jpg","View")</f>
        <v>View</v>
      </c>
      <c r="V992" s="13"/>
      <c r="W992" s="13"/>
      <c r="X992" s="13"/>
      <c r="Y992" s="13"/>
      <c r="Z992" s="13"/>
    </row>
    <row r="993">
      <c r="A993" s="8">
        <v>43848.53854166667</v>
      </c>
      <c r="B993" s="9" t="str">
        <f>HYPERLINK("https://twitter.com/BarnesGeorge7","@BarnesGeorge7")</f>
        <v>@BarnesGeorge7</v>
      </c>
      <c r="C993" s="10" t="s">
        <v>4496</v>
      </c>
      <c r="D993" s="10" t="s">
        <v>4497</v>
      </c>
      <c r="E993" s="9" t="str">
        <f>HYPERLINK("https://twitter.com/BarnesGeorge7/status/1218592767217229824","1218592767217229824")</f>
        <v>1218592767217229824</v>
      </c>
      <c r="F993" s="11" t="s">
        <v>4498</v>
      </c>
      <c r="G993" s="11" t="s">
        <v>4499</v>
      </c>
      <c r="H993" s="13"/>
      <c r="I993" s="14">
        <v>0.0</v>
      </c>
      <c r="J993" s="14">
        <v>0.0</v>
      </c>
      <c r="K993" s="9" t="str">
        <f t="shared" ref="K993:K994" si="118">HYPERLINK("https://mobile.twitter.com","Twitter Web App")</f>
        <v>Twitter Web App</v>
      </c>
      <c r="L993" s="15">
        <v>5.0</v>
      </c>
      <c r="M993" s="15">
        <v>6.0</v>
      </c>
      <c r="N993" s="15">
        <v>0.0</v>
      </c>
      <c r="O993" s="16"/>
      <c r="P993" s="17">
        <v>43844.3974537037</v>
      </c>
      <c r="Q993" s="10" t="s">
        <v>2323</v>
      </c>
      <c r="R993" s="10" t="s">
        <v>4500</v>
      </c>
      <c r="S993" s="11" t="s">
        <v>4501</v>
      </c>
      <c r="T993" s="13"/>
      <c r="U993" s="18" t="str">
        <f>HYPERLINK("https://pbs.twimg.com/profile_images/1217092596247465985/M4LUqFcc.jpg","View")</f>
        <v>View</v>
      </c>
      <c r="V993" s="13"/>
      <c r="W993" s="13"/>
      <c r="X993" s="13"/>
      <c r="Y993" s="13"/>
      <c r="Z993" s="13"/>
    </row>
    <row r="994">
      <c r="A994" s="8">
        <v>43848.53841435185</v>
      </c>
      <c r="B994" s="9" t="str">
        <f>HYPERLINK("https://twitter.com/YaelWolfeHowls","@YaelWolfeHowls")</f>
        <v>@YaelWolfeHowls</v>
      </c>
      <c r="C994" s="10" t="s">
        <v>1105</v>
      </c>
      <c r="D994" s="10" t="s">
        <v>4502</v>
      </c>
      <c r="E994" s="9" t="str">
        <f>HYPERLINK("https://twitter.com/YaelWolfeHowls/status/1218592718370279427","1218592718370279427")</f>
        <v>1218592718370279427</v>
      </c>
      <c r="F994" s="11" t="s">
        <v>1107</v>
      </c>
      <c r="G994" s="13"/>
      <c r="H994" s="13"/>
      <c r="I994" s="14">
        <v>0.0</v>
      </c>
      <c r="J994" s="14">
        <v>1.0</v>
      </c>
      <c r="K994" s="9" t="str">
        <f t="shared" si="118"/>
        <v>Twitter Web App</v>
      </c>
      <c r="L994" s="15">
        <v>370.0</v>
      </c>
      <c r="M994" s="15">
        <v>176.0</v>
      </c>
      <c r="N994" s="15">
        <v>2.0</v>
      </c>
      <c r="O994" s="16"/>
      <c r="P994" s="17">
        <v>43545.89834490741</v>
      </c>
      <c r="Q994" s="13"/>
      <c r="R994" s="10" t="s">
        <v>1108</v>
      </c>
      <c r="S994" s="11" t="s">
        <v>1109</v>
      </c>
      <c r="T994" s="13"/>
      <c r="U994" s="18" t="str">
        <f>HYPERLINK("https://pbs.twimg.com/profile_images/1198863046787121152/sWQOoS7X.jpg","View")</f>
        <v>View</v>
      </c>
      <c r="V994" s="13"/>
      <c r="W994" s="13"/>
      <c r="X994" s="13"/>
      <c r="Y994" s="13"/>
      <c r="Z994" s="13"/>
    </row>
    <row r="995">
      <c r="A995" s="8">
        <v>43848.53770833333</v>
      </c>
      <c r="B995" s="9" t="str">
        <f>HYPERLINK("https://twitter.com/GabrieleLoenne","@GabrieleLoenne")</f>
        <v>@GabrieleLoenne</v>
      </c>
      <c r="C995" s="10" t="s">
        <v>4503</v>
      </c>
      <c r="D995" s="10" t="s">
        <v>4504</v>
      </c>
      <c r="E995" s="9" t="str">
        <f>HYPERLINK("https://twitter.com/GabrieleLoenne/status/1218592462211624960","1218592462211624960")</f>
        <v>1218592462211624960</v>
      </c>
      <c r="F995" s="10" t="s">
        <v>4505</v>
      </c>
      <c r="G995" s="13"/>
      <c r="H995" s="13"/>
      <c r="I995" s="14">
        <v>0.0</v>
      </c>
      <c r="J995" s="14">
        <v>0.0</v>
      </c>
      <c r="K995" s="9" t="str">
        <f>HYPERLINK("http://twitter.com/download/iphone","Twitter for iPhone")</f>
        <v>Twitter for iPhone</v>
      </c>
      <c r="L995" s="15">
        <v>2322.0</v>
      </c>
      <c r="M995" s="15">
        <v>2300.0</v>
      </c>
      <c r="N995" s="15">
        <v>67.0</v>
      </c>
      <c r="O995" s="16"/>
      <c r="P995" s="17">
        <v>41387.1225</v>
      </c>
      <c r="Q995" s="10" t="s">
        <v>4506</v>
      </c>
      <c r="R995" s="10" t="s">
        <v>4507</v>
      </c>
      <c r="S995" s="11" t="s">
        <v>4508</v>
      </c>
      <c r="T995" s="13"/>
      <c r="U995" s="18" t="str">
        <f>HYPERLINK("https://pbs.twimg.com/profile_images/3563445332/77752f1c272fdf8326232b0c80541135.jpeg","View")</f>
        <v>View</v>
      </c>
      <c r="V995" s="13"/>
      <c r="W995" s="13"/>
      <c r="X995" s="13"/>
      <c r="Y995" s="13"/>
      <c r="Z995" s="13"/>
    </row>
    <row r="996">
      <c r="A996" s="8">
        <v>43848.53759259259</v>
      </c>
      <c r="B996" s="9" t="str">
        <f>HYPERLINK("https://twitter.com/AddicksGlenn69","@AddicksGlenn69")</f>
        <v>@AddicksGlenn69</v>
      </c>
      <c r="C996" s="10" t="s">
        <v>4509</v>
      </c>
      <c r="D996" s="10" t="s">
        <v>238</v>
      </c>
      <c r="E996" s="9" t="str">
        <f>HYPERLINK("https://twitter.com/AddicksGlenn69/status/1218592420272668677","1218592420272668677")</f>
        <v>1218592420272668677</v>
      </c>
      <c r="F996" s="13"/>
      <c r="G996" s="13"/>
      <c r="H996" s="13"/>
      <c r="I996" s="14">
        <v>0.0</v>
      </c>
      <c r="J996" s="14">
        <v>0.0</v>
      </c>
      <c r="K996" s="9" t="str">
        <f>HYPERLINK("http://twitter.com/download/android","Twitter for Android")</f>
        <v>Twitter for Android</v>
      </c>
      <c r="L996" s="15">
        <v>205.0</v>
      </c>
      <c r="M996" s="15">
        <v>252.0</v>
      </c>
      <c r="N996" s="15">
        <v>7.0</v>
      </c>
      <c r="O996" s="16"/>
      <c r="P996" s="17">
        <v>40039.61173611111</v>
      </c>
      <c r="Q996" s="10" t="s">
        <v>1547</v>
      </c>
      <c r="R996" s="10" t="s">
        <v>4510</v>
      </c>
      <c r="S996" s="13"/>
      <c r="T996" s="13"/>
      <c r="U996" s="18" t="str">
        <f>HYPERLINK("https://pbs.twimg.com/profile_images/1172859018022477824/qx0ZLrLq.jpg","View")</f>
        <v>View</v>
      </c>
      <c r="V996" s="13"/>
      <c r="W996" s="13"/>
      <c r="X996" s="13"/>
      <c r="Y996" s="13"/>
      <c r="Z996" s="13"/>
    </row>
    <row r="997">
      <c r="A997" s="8">
        <v>43848.53734953704</v>
      </c>
      <c r="B997" s="9" t="str">
        <f>HYPERLINK("https://twitter.com/CentralBedsCPT","@CentralBedsCPT")</f>
        <v>@CentralBedsCPT</v>
      </c>
      <c r="C997" s="10" t="s">
        <v>4511</v>
      </c>
      <c r="D997" s="10" t="s">
        <v>4512</v>
      </c>
      <c r="E997" s="9" t="str">
        <f>HYPERLINK("https://twitter.com/CentralBedsCPT/status/1218592333278711808","1218592333278711808")</f>
        <v>1218592333278711808</v>
      </c>
      <c r="F997" s="13"/>
      <c r="G997" s="11" t="s">
        <v>4513</v>
      </c>
      <c r="H997" s="13"/>
      <c r="I997" s="14">
        <v>1.0</v>
      </c>
      <c r="J997" s="14">
        <v>5.0</v>
      </c>
      <c r="K997" s="9" t="str">
        <f>HYPERLINK("http://twitter.com/download/iphone","Twitter for iPhone")</f>
        <v>Twitter for iPhone</v>
      </c>
      <c r="L997" s="15">
        <v>1592.0</v>
      </c>
      <c r="M997" s="15">
        <v>60.0</v>
      </c>
      <c r="N997" s="15">
        <v>9.0</v>
      </c>
      <c r="O997" s="21" t="s">
        <v>522</v>
      </c>
      <c r="P997" s="17">
        <v>42811.42422453704</v>
      </c>
      <c r="Q997" s="13"/>
      <c r="R997" s="10" t="s">
        <v>4514</v>
      </c>
      <c r="S997" s="11" t="s">
        <v>4515</v>
      </c>
      <c r="T997" s="13"/>
      <c r="U997" s="18" t="str">
        <f>HYPERLINK("https://pbs.twimg.com/profile_images/842743734731182081/CXAEGpUw.jpg","View")</f>
        <v>View</v>
      </c>
      <c r="V997" s="13"/>
      <c r="W997" s="13"/>
      <c r="X997" s="13"/>
      <c r="Y997" s="13"/>
      <c r="Z997" s="13"/>
    </row>
    <row r="998">
      <c r="A998" s="8">
        <v>43848.537256944444</v>
      </c>
      <c r="B998" s="9" t="str">
        <f>HYPERLINK("https://twitter.com/tmj_nonprftjobs","@tmj_nonprftjobs")</f>
        <v>@tmj_nonprftjobs</v>
      </c>
      <c r="C998" s="10" t="s">
        <v>4516</v>
      </c>
      <c r="D998" s="10" t="s">
        <v>4517</v>
      </c>
      <c r="E998" s="9" t="str">
        <f>HYPERLINK("https://twitter.com/tmj_nonprftjobs/status/1218592300906897409","1218592300906897409")</f>
        <v>1218592300906897409</v>
      </c>
      <c r="F998" s="11" t="s">
        <v>4518</v>
      </c>
      <c r="G998" s="13"/>
      <c r="H998" s="9" t="str">
        <f>HYPERLINK("https://ctrlq.org/maps/address/#35.0526641,-78.8783585","Map")</f>
        <v>Map</v>
      </c>
      <c r="I998" s="14">
        <v>0.0</v>
      </c>
      <c r="J998" s="14">
        <v>0.0</v>
      </c>
      <c r="K998" s="9" t="str">
        <f>HYPERLINK("https://www.careerarc.com","CareerArc 2.0")</f>
        <v>CareerArc 2.0</v>
      </c>
      <c r="L998" s="15">
        <v>281.0</v>
      </c>
      <c r="M998" s="15">
        <v>77.0</v>
      </c>
      <c r="N998" s="15">
        <v>12.0</v>
      </c>
      <c r="O998" s="16"/>
      <c r="P998" s="17">
        <v>39940.95744212963</v>
      </c>
      <c r="Q998" s="10" t="s">
        <v>3371</v>
      </c>
      <c r="R998" s="10" t="s">
        <v>4519</v>
      </c>
      <c r="S998" s="11" t="s">
        <v>4520</v>
      </c>
      <c r="T998" s="13"/>
      <c r="U998" s="18" t="str">
        <f>HYPERLINK("https://pbs.twimg.com/profile_images/690383820823117826/pe9_aRt4.jpg","View")</f>
        <v>View</v>
      </c>
      <c r="V998" s="13"/>
      <c r="W998" s="13"/>
      <c r="X998" s="13"/>
      <c r="Y998" s="13"/>
      <c r="Z998" s="13"/>
    </row>
    <row r="999">
      <c r="A999" s="8">
        <v>43848.536631944444</v>
      </c>
      <c r="B999" s="9" t="str">
        <f>HYPERLINK("https://twitter.com/erica_bannon","@erica_bannon")</f>
        <v>@erica_bannon</v>
      </c>
      <c r="C999" s="10" t="s">
        <v>4521</v>
      </c>
      <c r="D999" s="10" t="s">
        <v>4522</v>
      </c>
      <c r="E999" s="9" t="str">
        <f>HYPERLINK("https://twitter.com/erica_bannon/status/1218592075001860098","1218592075001860098")</f>
        <v>1218592075001860098</v>
      </c>
      <c r="F999" s="13"/>
      <c r="G999" s="13"/>
      <c r="H999" s="13"/>
      <c r="I999" s="14">
        <v>0.0</v>
      </c>
      <c r="J999" s="14">
        <v>1.0</v>
      </c>
      <c r="K999" s="9" t="str">
        <f>HYPERLINK("https://mobile.twitter.com","Twitter Web App")</f>
        <v>Twitter Web App</v>
      </c>
      <c r="L999" s="15">
        <v>599.0</v>
      </c>
      <c r="M999" s="15">
        <v>1103.0</v>
      </c>
      <c r="N999" s="15">
        <v>5.0</v>
      </c>
      <c r="O999" s="16"/>
      <c r="P999" s="17">
        <v>43045.48472222222</v>
      </c>
      <c r="Q999" s="10" t="s">
        <v>24</v>
      </c>
      <c r="R999" s="10" t="s">
        <v>4523</v>
      </c>
      <c r="S999" s="11" t="s">
        <v>4524</v>
      </c>
      <c r="T999" s="13"/>
      <c r="U999" s="18" t="str">
        <f>HYPERLINK("https://pbs.twimg.com/profile_images/1199517527224619011/Vpp4JPqH.jpg","View")</f>
        <v>View</v>
      </c>
      <c r="V999" s="13"/>
      <c r="W999" s="13"/>
      <c r="X999" s="13"/>
      <c r="Y999" s="13"/>
      <c r="Z999" s="13"/>
    </row>
    <row r="1000">
      <c r="A1000" s="8">
        <v>43848.53658564815</v>
      </c>
      <c r="B1000" s="9" t="str">
        <f>HYPERLINK("https://twitter.com/Tehbaw","@Tehbaw")</f>
        <v>@Tehbaw</v>
      </c>
      <c r="C1000" s="10" t="s">
        <v>4525</v>
      </c>
      <c r="D1000" s="10" t="s">
        <v>4526</v>
      </c>
      <c r="E1000" s="9" t="str">
        <f>HYPERLINK("https://twitter.com/Tehbaw/status/1218592057402568704","1218592057402568704")</f>
        <v>1218592057402568704</v>
      </c>
      <c r="F1000" s="11" t="s">
        <v>4527</v>
      </c>
      <c r="G1000" s="13"/>
      <c r="H1000" s="13"/>
      <c r="I1000" s="14">
        <v>1.0</v>
      </c>
      <c r="J1000" s="14">
        <v>3.0</v>
      </c>
      <c r="K1000" s="9" t="str">
        <f>HYPERLINK("http://twitter.com","Twitter Web Client")</f>
        <v>Twitter Web Client</v>
      </c>
      <c r="L1000" s="15">
        <v>335.0</v>
      </c>
      <c r="M1000" s="15">
        <v>656.0</v>
      </c>
      <c r="N1000" s="15">
        <v>3.0</v>
      </c>
      <c r="O1000" s="16"/>
      <c r="P1000" s="17">
        <v>41471.261608796296</v>
      </c>
      <c r="Q1000" s="10" t="s">
        <v>4528</v>
      </c>
      <c r="R1000" s="10" t="s">
        <v>4529</v>
      </c>
      <c r="S1000" s="13"/>
      <c r="T1000" s="13"/>
      <c r="U1000" s="18" t="str">
        <f>HYPERLINK("https://pbs.twimg.com/profile_images/1206977915872776194/YLAmj4ly.jpg","View")</f>
        <v>View</v>
      </c>
      <c r="V1000" s="13"/>
      <c r="W1000" s="13"/>
      <c r="X1000" s="13"/>
      <c r="Y1000" s="13"/>
      <c r="Z1000" s="13"/>
    </row>
    <row r="1001">
      <c r="A1001" s="8">
        <v>43848.53650462963</v>
      </c>
      <c r="B1001" s="9" t="str">
        <f>HYPERLINK("https://twitter.com/thornhillmom","@thornhillmom")</f>
        <v>@thornhillmom</v>
      </c>
      <c r="C1001" s="10" t="s">
        <v>2702</v>
      </c>
      <c r="D1001" s="10" t="s">
        <v>4530</v>
      </c>
      <c r="E1001" s="9" t="str">
        <f>HYPERLINK("https://twitter.com/thornhillmom/status/1218592026528059393","1218592026528059393")</f>
        <v>1218592026528059393</v>
      </c>
      <c r="F1001" s="11" t="s">
        <v>4531</v>
      </c>
      <c r="G1001" s="13"/>
      <c r="H1001" s="13"/>
      <c r="I1001" s="14">
        <v>0.0</v>
      </c>
      <c r="J1001" s="14">
        <v>0.0</v>
      </c>
      <c r="K1001" s="9" t="str">
        <f>HYPERLINK("http://www.twitter.com","Marietweet")</f>
        <v>Marietweet</v>
      </c>
      <c r="L1001" s="15">
        <v>10918.0</v>
      </c>
      <c r="M1001" s="15">
        <v>3968.0</v>
      </c>
      <c r="N1001" s="15">
        <v>510.0</v>
      </c>
      <c r="O1001" s="16"/>
      <c r="P1001" s="17">
        <v>41233.47824074074</v>
      </c>
      <c r="Q1001" s="10" t="s">
        <v>2705</v>
      </c>
      <c r="R1001" s="10" t="s">
        <v>2706</v>
      </c>
      <c r="S1001" s="11" t="s">
        <v>2707</v>
      </c>
      <c r="T1001" s="13"/>
      <c r="U1001" s="18" t="str">
        <f>HYPERLINK("https://pbs.twimg.com/profile_images/528657627157233664/mAw3lKf_.jpeg","View")</f>
        <v>View</v>
      </c>
      <c r="V1001" s="13"/>
      <c r="W1001" s="13"/>
      <c r="X1001" s="13"/>
      <c r="Y1001" s="13"/>
      <c r="Z1001" s="13"/>
    </row>
    <row r="1002">
      <c r="A1002" s="8">
        <v>43848.536412037036</v>
      </c>
      <c r="B1002" s="9" t="str">
        <f>HYPERLINK("https://twitter.com/BrainSummit","@BrainSummit")</f>
        <v>@BrainSummit</v>
      </c>
      <c r="C1002" s="10" t="s">
        <v>4532</v>
      </c>
      <c r="D1002" s="10" t="s">
        <v>4533</v>
      </c>
      <c r="E1002" s="9" t="str">
        <f>HYPERLINK("https://twitter.com/BrainSummit/status/1218591994164858880","1218591994164858880")</f>
        <v>1218591994164858880</v>
      </c>
      <c r="F1002" s="13"/>
      <c r="G1002" s="13"/>
      <c r="H1002" s="13"/>
      <c r="I1002" s="14">
        <v>0.0</v>
      </c>
      <c r="J1002" s="14">
        <v>0.0</v>
      </c>
      <c r="K1002" s="9" t="str">
        <f t="shared" ref="K1002:K1003" si="119">HYPERLINK("https://mobile.twitter.com","Twitter Web App")</f>
        <v>Twitter Web App</v>
      </c>
      <c r="L1002" s="15">
        <v>7295.0</v>
      </c>
      <c r="M1002" s="15">
        <v>1809.0</v>
      </c>
      <c r="N1002" s="15">
        <v>107.0</v>
      </c>
      <c r="O1002" s="16"/>
      <c r="P1002" s="17">
        <v>40257.74327546296</v>
      </c>
      <c r="Q1002" s="13"/>
      <c r="R1002" s="10" t="s">
        <v>4534</v>
      </c>
      <c r="S1002" s="11" t="s">
        <v>4535</v>
      </c>
      <c r="T1002" s="13"/>
      <c r="U1002" s="18" t="str">
        <f>HYPERLINK("https://pbs.twimg.com/profile_images/3038729081/ace1256dce7c6633ca6927ffee57b351.png","View")</f>
        <v>View</v>
      </c>
      <c r="V1002" s="13"/>
      <c r="W1002" s="13"/>
      <c r="X1002" s="13"/>
      <c r="Y1002" s="13"/>
      <c r="Z1002" s="13"/>
    </row>
    <row r="1003">
      <c r="A1003" s="8">
        <v>43848.53621527778</v>
      </c>
      <c r="B1003" s="9" t="str">
        <f>HYPERLINK("https://twitter.com/daniel_anhut","@daniel_anhut")</f>
        <v>@daniel_anhut</v>
      </c>
      <c r="C1003" s="10" t="s">
        <v>4536</v>
      </c>
      <c r="D1003" s="10" t="s">
        <v>4537</v>
      </c>
      <c r="E1003" s="9" t="str">
        <f>HYPERLINK("https://twitter.com/daniel_anhut/status/1218591924812120064","1218591924812120064")</f>
        <v>1218591924812120064</v>
      </c>
      <c r="F1003" s="13"/>
      <c r="G1003" s="13"/>
      <c r="H1003" s="13"/>
      <c r="I1003" s="14">
        <v>0.0</v>
      </c>
      <c r="J1003" s="14">
        <v>3.0</v>
      </c>
      <c r="K1003" s="9" t="str">
        <f t="shared" si="119"/>
        <v>Twitter Web App</v>
      </c>
      <c r="L1003" s="15">
        <v>43.0</v>
      </c>
      <c r="M1003" s="15">
        <v>103.0</v>
      </c>
      <c r="N1003" s="15">
        <v>1.0</v>
      </c>
      <c r="O1003" s="16"/>
      <c r="P1003" s="17">
        <v>42517.50769675926</v>
      </c>
      <c r="Q1003" s="10" t="s">
        <v>1989</v>
      </c>
      <c r="R1003" s="10" t="s">
        <v>4538</v>
      </c>
      <c r="S1003" s="11" t="s">
        <v>4539</v>
      </c>
      <c r="T1003" s="13"/>
      <c r="U1003" s="18" t="str">
        <f>HYPERLINK("https://pbs.twimg.com/profile_images/830903500355801088/YmyTRNdc.jpg","View")</f>
        <v>View</v>
      </c>
      <c r="V1003" s="13"/>
      <c r="W1003" s="13"/>
      <c r="X1003" s="13"/>
      <c r="Y1003" s="13"/>
      <c r="Z1003" s="13"/>
    </row>
    <row r="1004">
      <c r="A1004" s="8">
        <v>43848.53613425926</v>
      </c>
      <c r="B1004" s="9" t="str">
        <f>HYPERLINK("https://twitter.com/HispanicHealthy","@HispanicHealthy")</f>
        <v>@HispanicHealthy</v>
      </c>
      <c r="C1004" s="10" t="s">
        <v>4540</v>
      </c>
      <c r="D1004" s="10" t="s">
        <v>4541</v>
      </c>
      <c r="E1004" s="9" t="str">
        <f>HYPERLINK("https://twitter.com/HispanicHealthy/status/1218591894747348992","1218591894747348992")</f>
        <v>1218591894747348992</v>
      </c>
      <c r="F1004" s="11" t="s">
        <v>4542</v>
      </c>
      <c r="G1004" s="11" t="s">
        <v>4543</v>
      </c>
      <c r="H1004" s="13"/>
      <c r="I1004" s="14">
        <v>0.0</v>
      </c>
      <c r="J1004" s="14">
        <v>0.0</v>
      </c>
      <c r="K1004" s="9" t="str">
        <f>HYPERLINK("https://sproutsocial.com","Sprout Social")</f>
        <v>Sprout Social</v>
      </c>
      <c r="L1004" s="15">
        <v>492.0</v>
      </c>
      <c r="M1004" s="15">
        <v>636.0</v>
      </c>
      <c r="N1004" s="15">
        <v>8.0</v>
      </c>
      <c r="O1004" s="16"/>
      <c r="P1004" s="17">
        <v>41517.60244212963</v>
      </c>
      <c r="Q1004" s="13"/>
      <c r="R1004" s="10" t="s">
        <v>4544</v>
      </c>
      <c r="S1004" s="11" t="s">
        <v>4545</v>
      </c>
      <c r="T1004" s="13"/>
      <c r="U1004" s="18" t="str">
        <f>HYPERLINK("https://pbs.twimg.com/profile_images/378800000397309981/d421b5adce1b6312232cb57506048e75.jpeg","View")</f>
        <v>View</v>
      </c>
      <c r="V1004" s="13"/>
      <c r="W1004" s="13"/>
      <c r="X1004" s="13"/>
      <c r="Y1004" s="13"/>
      <c r="Z1004" s="13"/>
    </row>
    <row r="1005">
      <c r="A1005" s="8">
        <v>43848.53607638889</v>
      </c>
      <c r="B1005" s="9" t="str">
        <f>HYPERLINK("https://twitter.com/DrJohnMayer","@DrJohnMayer")</f>
        <v>@DrJohnMayer</v>
      </c>
      <c r="C1005" s="10" t="s">
        <v>4546</v>
      </c>
      <c r="D1005" s="10" t="s">
        <v>4547</v>
      </c>
      <c r="E1005" s="9" t="str">
        <f>HYPERLINK("https://twitter.com/DrJohnMayer/status/1218591871506767872","1218591871506767872")</f>
        <v>1218591871506767872</v>
      </c>
      <c r="F1005" s="11" t="s">
        <v>4548</v>
      </c>
      <c r="G1005" s="11" t="s">
        <v>4549</v>
      </c>
      <c r="H1005" s="13"/>
      <c r="I1005" s="14">
        <v>0.0</v>
      </c>
      <c r="J1005" s="14">
        <v>0.0</v>
      </c>
      <c r="K1005" s="9" t="str">
        <f>HYPERLINK("https://mobile.twitter.com","Twitter Web App")</f>
        <v>Twitter Web App</v>
      </c>
      <c r="L1005" s="15">
        <v>9985.0</v>
      </c>
      <c r="M1005" s="15">
        <v>2133.0</v>
      </c>
      <c r="N1005" s="15">
        <v>63.0</v>
      </c>
      <c r="O1005" s="16"/>
      <c r="P1005" s="17">
        <v>41256.62050925926</v>
      </c>
      <c r="Q1005" s="10" t="s">
        <v>4550</v>
      </c>
      <c r="R1005" s="10" t="s">
        <v>4551</v>
      </c>
      <c r="S1005" s="11" t="s">
        <v>4552</v>
      </c>
      <c r="T1005" s="13"/>
      <c r="U1005" s="18" t="str">
        <f>HYPERLINK("https://pbs.twimg.com/profile_images/514986800318664704/zlwvvi3n.jpeg","View")</f>
        <v>View</v>
      </c>
      <c r="V1005" s="13"/>
      <c r="W1005" s="13"/>
      <c r="X1005" s="13"/>
      <c r="Y1005" s="13"/>
      <c r="Z1005" s="13"/>
    </row>
    <row r="1006">
      <c r="A1006" s="8">
        <v>43848.53582175926</v>
      </c>
      <c r="B1006" s="9" t="str">
        <f>HYPERLINK("https://twitter.com/ShakaBrownComic","@ShakaBrownComic")</f>
        <v>@ShakaBrownComic</v>
      </c>
      <c r="C1006" s="10" t="s">
        <v>974</v>
      </c>
      <c r="D1006" s="10" t="s">
        <v>4553</v>
      </c>
      <c r="E1006" s="9" t="str">
        <f>HYPERLINK("https://twitter.com/ShakaBrownComic/status/1218591780486156295","1218591780486156295")</f>
        <v>1218591780486156295</v>
      </c>
      <c r="F1006" s="13"/>
      <c r="G1006" s="13"/>
      <c r="H1006" s="13"/>
      <c r="I1006" s="14">
        <v>0.0</v>
      </c>
      <c r="J1006" s="14">
        <v>0.0</v>
      </c>
      <c r="K1006" s="9" t="str">
        <f>HYPERLINK("http://twitter.com/download/android","Twitter for Android")</f>
        <v>Twitter for Android</v>
      </c>
      <c r="L1006" s="15">
        <v>136.0</v>
      </c>
      <c r="M1006" s="15">
        <v>39.0</v>
      </c>
      <c r="N1006" s="15">
        <v>4.0</v>
      </c>
      <c r="O1006" s="16"/>
      <c r="P1006" s="17">
        <v>41995.06672453704</v>
      </c>
      <c r="Q1006" s="10" t="s">
        <v>976</v>
      </c>
      <c r="R1006" s="10" t="s">
        <v>977</v>
      </c>
      <c r="S1006" s="11" t="s">
        <v>978</v>
      </c>
      <c r="T1006" s="13"/>
      <c r="U1006" s="18" t="str">
        <f>HYPERLINK("https://pbs.twimg.com/profile_images/1195420809277427713/cLFbEoBk.jpg","View")</f>
        <v>View</v>
      </c>
      <c r="V1006" s="13"/>
      <c r="W1006" s="13"/>
      <c r="X1006" s="13"/>
      <c r="Y1006" s="13"/>
      <c r="Z1006" s="13"/>
    </row>
    <row r="1007">
      <c r="A1007" s="8">
        <v>43848.53542824074</v>
      </c>
      <c r="B1007" s="9" t="str">
        <f>HYPERLINK("https://twitter.com/SScanland","@SScanland")</f>
        <v>@SScanland</v>
      </c>
      <c r="C1007" s="10" t="s">
        <v>4554</v>
      </c>
      <c r="D1007" s="10" t="s">
        <v>4555</v>
      </c>
      <c r="E1007" s="9" t="str">
        <f>HYPERLINK("https://twitter.com/SScanland/status/1218591638282391553","1218591638282391553")</f>
        <v>1218591638282391553</v>
      </c>
      <c r="F1007" s="11" t="s">
        <v>4556</v>
      </c>
      <c r="G1007" s="11" t="s">
        <v>4557</v>
      </c>
      <c r="H1007" s="13"/>
      <c r="I1007" s="14">
        <v>2.0</v>
      </c>
      <c r="J1007" s="14">
        <v>10.0</v>
      </c>
      <c r="K1007" s="9" t="str">
        <f t="shared" ref="K1007:K1009" si="120">HYPERLINK("http://twitter.com/download/iphone","Twitter for iPhone")</f>
        <v>Twitter for iPhone</v>
      </c>
      <c r="L1007" s="15">
        <v>461.0</v>
      </c>
      <c r="M1007" s="15">
        <v>1309.0</v>
      </c>
      <c r="N1007" s="15">
        <v>2.0</v>
      </c>
      <c r="O1007" s="16"/>
      <c r="P1007" s="17">
        <v>40993.98368055555</v>
      </c>
      <c r="Q1007" s="10" t="s">
        <v>4558</v>
      </c>
      <c r="R1007" s="10" t="s">
        <v>4559</v>
      </c>
      <c r="S1007" s="13"/>
      <c r="T1007" s="13"/>
      <c r="U1007" s="18" t="str">
        <f>HYPERLINK("https://pbs.twimg.com/profile_images/1104812838869057536/pgm9QBJD.jpg","View")</f>
        <v>View</v>
      </c>
      <c r="V1007" s="13"/>
      <c r="W1007" s="13"/>
      <c r="X1007" s="13"/>
      <c r="Y1007" s="13"/>
      <c r="Z1007" s="13"/>
    </row>
    <row r="1008">
      <c r="A1008" s="8">
        <v>43848.535046296296</v>
      </c>
      <c r="B1008" s="9" t="str">
        <f>HYPERLINK("https://twitter.com/davebjeffery","@davebjeffery")</f>
        <v>@davebjeffery</v>
      </c>
      <c r="C1008" s="10" t="s">
        <v>4560</v>
      </c>
      <c r="D1008" s="10" t="s">
        <v>4561</v>
      </c>
      <c r="E1008" s="9" t="str">
        <f>HYPERLINK("https://twitter.com/davebjeffery/status/1218591498440257536","1218591498440257536")</f>
        <v>1218591498440257536</v>
      </c>
      <c r="F1008" s="13"/>
      <c r="G1008" s="11" t="s">
        <v>4562</v>
      </c>
      <c r="H1008" s="13"/>
      <c r="I1008" s="14">
        <v>5.0</v>
      </c>
      <c r="J1008" s="14">
        <v>6.0</v>
      </c>
      <c r="K1008" s="9" t="str">
        <f t="shared" si="120"/>
        <v>Twitter for iPhone</v>
      </c>
      <c r="L1008" s="15">
        <v>1447.0</v>
      </c>
      <c r="M1008" s="15">
        <v>1019.0</v>
      </c>
      <c r="N1008" s="15">
        <v>32.0</v>
      </c>
      <c r="O1008" s="16"/>
      <c r="P1008" s="17">
        <v>39827.06447916667</v>
      </c>
      <c r="Q1008" s="10" t="s">
        <v>2323</v>
      </c>
      <c r="R1008" s="10" t="s">
        <v>4563</v>
      </c>
      <c r="S1008" s="13"/>
      <c r="T1008" s="13"/>
      <c r="U1008" s="18" t="str">
        <f>HYPERLINK("https://pbs.twimg.com/profile_images/1137846589417033728/HWTBh9uZ.jpg","View")</f>
        <v>View</v>
      </c>
      <c r="V1008" s="13"/>
      <c r="W1008" s="13"/>
      <c r="X1008" s="13"/>
      <c r="Y1008" s="13"/>
      <c r="Z1008" s="13"/>
    </row>
    <row r="1009">
      <c r="A1009" s="8">
        <v>43848.53435185185</v>
      </c>
      <c r="B1009" s="9" t="str">
        <f>HYPERLINK("https://twitter.com/dlarsonking","@dlarsonking")</f>
        <v>@dlarsonking</v>
      </c>
      <c r="C1009" s="10" t="s">
        <v>4564</v>
      </c>
      <c r="D1009" s="10" t="s">
        <v>4565</v>
      </c>
      <c r="E1009" s="9" t="str">
        <f>HYPERLINK("https://twitter.com/dlarsonking/status/1218591249277620225","1218591249277620225")</f>
        <v>1218591249277620225</v>
      </c>
      <c r="F1009" s="13"/>
      <c r="G1009" s="13"/>
      <c r="H1009" s="13"/>
      <c r="I1009" s="14">
        <v>0.0</v>
      </c>
      <c r="J1009" s="14">
        <v>2.0</v>
      </c>
      <c r="K1009" s="9" t="str">
        <f t="shared" si="120"/>
        <v>Twitter for iPhone</v>
      </c>
      <c r="L1009" s="15">
        <v>323.0</v>
      </c>
      <c r="M1009" s="15">
        <v>377.0</v>
      </c>
      <c r="N1009" s="15">
        <v>0.0</v>
      </c>
      <c r="O1009" s="16"/>
      <c r="P1009" s="17">
        <v>41170.534375</v>
      </c>
      <c r="Q1009" s="10" t="s">
        <v>2874</v>
      </c>
      <c r="R1009" s="10" t="s">
        <v>4566</v>
      </c>
      <c r="S1009" s="13"/>
      <c r="T1009" s="13"/>
      <c r="U1009" s="18" t="str">
        <f>HYPERLINK("https://pbs.twimg.com/profile_images/1009185154223558656/NQCvJT85.jpg","View")</f>
        <v>View</v>
      </c>
      <c r="V1009" s="13"/>
      <c r="W1009" s="13"/>
      <c r="X1009" s="13"/>
      <c r="Y1009" s="13"/>
      <c r="Z1009" s="13"/>
    </row>
    <row r="1010">
      <c r="A1010" s="8">
        <v>43848.534166666665</v>
      </c>
      <c r="B1010" s="9" t="str">
        <f>HYPERLINK("https://twitter.com/kellyteague30","@kellyteague30")</f>
        <v>@kellyteague30</v>
      </c>
      <c r="C1010" s="10" t="s">
        <v>3275</v>
      </c>
      <c r="D1010" s="10" t="s">
        <v>4567</v>
      </c>
      <c r="E1010" s="9" t="str">
        <f>HYPERLINK("https://twitter.com/kellyteague30/status/1218591181501759489","1218591181501759489")</f>
        <v>1218591181501759489</v>
      </c>
      <c r="F1010" s="13"/>
      <c r="G1010" s="11" t="s">
        <v>4568</v>
      </c>
      <c r="H1010" s="13"/>
      <c r="I1010" s="14">
        <v>4.0</v>
      </c>
      <c r="J1010" s="14">
        <v>55.0</v>
      </c>
      <c r="K1010" s="9" t="str">
        <f>HYPERLINK("http://twitter.com/download/android","Twitter for Android")</f>
        <v>Twitter for Android</v>
      </c>
      <c r="L1010" s="15">
        <v>2057.0</v>
      </c>
      <c r="M1010" s="15">
        <v>2056.0</v>
      </c>
      <c r="N1010" s="15">
        <v>13.0</v>
      </c>
      <c r="O1010" s="16"/>
      <c r="P1010" s="17">
        <v>41365.584386574075</v>
      </c>
      <c r="Q1010" s="10" t="s">
        <v>24</v>
      </c>
      <c r="R1010" s="10" t="s">
        <v>3278</v>
      </c>
      <c r="S1010" s="13"/>
      <c r="T1010" s="13"/>
      <c r="U1010" s="18" t="str">
        <f>HYPERLINK("https://pbs.twimg.com/profile_images/1208474949574365184/BK8raA3m.jpg","View")</f>
        <v>View</v>
      </c>
      <c r="V1010" s="13"/>
      <c r="W1010" s="13"/>
      <c r="X1010" s="13"/>
      <c r="Y1010" s="13"/>
      <c r="Z1010" s="13"/>
    </row>
    <row r="1011">
      <c r="A1011" s="8">
        <v>43848.53263888889</v>
      </c>
      <c r="B1011" s="9" t="str">
        <f>HYPERLINK("https://twitter.com/SkypeTherapist","@SkypeTherapist")</f>
        <v>@SkypeTherapist</v>
      </c>
      <c r="C1011" s="10" t="s">
        <v>39</v>
      </c>
      <c r="D1011" s="10" t="s">
        <v>4569</v>
      </c>
      <c r="E1011" s="9" t="str">
        <f>HYPERLINK("https://twitter.com/SkypeTherapist/status/1218590628826710018","1218590628826710018")</f>
        <v>1218590628826710018</v>
      </c>
      <c r="F1011" s="11" t="s">
        <v>43</v>
      </c>
      <c r="G1011" s="13"/>
      <c r="H1011" s="13"/>
      <c r="I1011" s="14">
        <v>0.0</v>
      </c>
      <c r="J1011" s="14">
        <v>0.0</v>
      </c>
      <c r="K1011" s="9" t="str">
        <f>HYPERLINK("https://buffer.com","Buffer")</f>
        <v>Buffer</v>
      </c>
      <c r="L1011" s="15">
        <v>31074.0</v>
      </c>
      <c r="M1011" s="15">
        <v>29180.0</v>
      </c>
      <c r="N1011" s="15">
        <v>397.0</v>
      </c>
      <c r="O1011" s="16"/>
      <c r="P1011" s="17">
        <v>40131.457777777774</v>
      </c>
      <c r="Q1011" s="10" t="s">
        <v>46</v>
      </c>
      <c r="R1011" s="10" t="s">
        <v>47</v>
      </c>
      <c r="S1011" s="11" t="s">
        <v>43</v>
      </c>
      <c r="T1011" s="13"/>
      <c r="U1011" s="18" t="str">
        <f>HYPERLINK("https://pbs.twimg.com/profile_images/1093911234120798208/G4lphODU.jpg","View")</f>
        <v>View</v>
      </c>
      <c r="V1011" s="13"/>
      <c r="W1011" s="13"/>
      <c r="X1011" s="13"/>
      <c r="Y1011" s="13"/>
      <c r="Z1011" s="13"/>
    </row>
    <row r="1012">
      <c r="A1012" s="8">
        <v>43848.532314814816</v>
      </c>
      <c r="B1012" s="9" t="str">
        <f>HYPERLINK("https://twitter.com/ShakaBrownComic","@ShakaBrownComic")</f>
        <v>@ShakaBrownComic</v>
      </c>
      <c r="C1012" s="10" t="s">
        <v>974</v>
      </c>
      <c r="D1012" s="10" t="s">
        <v>4570</v>
      </c>
      <c r="E1012" s="9" t="str">
        <f>HYPERLINK("https://twitter.com/ShakaBrownComic/status/1218590510815858689","1218590510815858689")</f>
        <v>1218590510815858689</v>
      </c>
      <c r="F1012" s="13"/>
      <c r="G1012" s="13"/>
      <c r="H1012" s="13"/>
      <c r="I1012" s="14">
        <v>0.0</v>
      </c>
      <c r="J1012" s="14">
        <v>1.0</v>
      </c>
      <c r="K1012" s="9" t="str">
        <f t="shared" ref="K1012:K1013" si="121">HYPERLINK("http://twitter.com/download/android","Twitter for Android")</f>
        <v>Twitter for Android</v>
      </c>
      <c r="L1012" s="15">
        <v>136.0</v>
      </c>
      <c r="M1012" s="15">
        <v>39.0</v>
      </c>
      <c r="N1012" s="15">
        <v>4.0</v>
      </c>
      <c r="O1012" s="16"/>
      <c r="P1012" s="17">
        <v>41995.06672453704</v>
      </c>
      <c r="Q1012" s="10" t="s">
        <v>976</v>
      </c>
      <c r="R1012" s="10" t="s">
        <v>977</v>
      </c>
      <c r="S1012" s="11" t="s">
        <v>978</v>
      </c>
      <c r="T1012" s="13"/>
      <c r="U1012" s="18" t="str">
        <f>HYPERLINK("https://pbs.twimg.com/profile_images/1195420809277427713/cLFbEoBk.jpg","View")</f>
        <v>View</v>
      </c>
      <c r="V1012" s="13"/>
      <c r="W1012" s="13"/>
      <c r="X1012" s="13"/>
      <c r="Y1012" s="13"/>
      <c r="Z1012" s="13"/>
    </row>
    <row r="1013">
      <c r="A1013" s="8">
        <v>43848.53141203704</v>
      </c>
      <c r="B1013" s="9" t="str">
        <f>HYPERLINK("https://twitter.com/gkoutsika","@gkoutsika")</f>
        <v>@gkoutsika</v>
      </c>
      <c r="C1013" s="10" t="s">
        <v>4571</v>
      </c>
      <c r="D1013" s="10" t="s">
        <v>4572</v>
      </c>
      <c r="E1013" s="9" t="str">
        <f>HYPERLINK("https://twitter.com/gkoutsika/status/1218590182313615361","1218590182313615361")</f>
        <v>1218590182313615361</v>
      </c>
      <c r="F1013" s="13"/>
      <c r="G1013" s="11" t="s">
        <v>4573</v>
      </c>
      <c r="H1013" s="13"/>
      <c r="I1013" s="14">
        <v>0.0</v>
      </c>
      <c r="J1013" s="14">
        <v>3.0</v>
      </c>
      <c r="K1013" s="9" t="str">
        <f t="shared" si="121"/>
        <v>Twitter for Android</v>
      </c>
      <c r="L1013" s="15">
        <v>390.0</v>
      </c>
      <c r="M1013" s="15">
        <v>252.0</v>
      </c>
      <c r="N1013" s="15">
        <v>6.0</v>
      </c>
      <c r="O1013" s="16"/>
      <c r="P1013" s="17">
        <v>39860.353854166664</v>
      </c>
      <c r="Q1013" s="10" t="s">
        <v>2805</v>
      </c>
      <c r="R1013" s="10" t="s">
        <v>4574</v>
      </c>
      <c r="S1013" s="11" t="s">
        <v>4575</v>
      </c>
      <c r="T1013" s="13"/>
      <c r="U1013" s="18" t="str">
        <f>HYPERLINK("https://pbs.twimg.com/profile_images/1170207007288119296/ZV1RPDSa.jpg","View")</f>
        <v>View</v>
      </c>
      <c r="V1013" s="13"/>
      <c r="W1013" s="13"/>
      <c r="X1013" s="13"/>
      <c r="Y1013" s="13"/>
      <c r="Z1013" s="13"/>
    </row>
    <row r="1014">
      <c r="A1014" s="8">
        <v>43848.531377314815</v>
      </c>
      <c r="B1014" s="9" t="str">
        <f>HYPERLINK("https://twitter.com/teamsters362","@teamsters362")</f>
        <v>@teamsters362</v>
      </c>
      <c r="C1014" s="10" t="s">
        <v>1566</v>
      </c>
      <c r="D1014" s="10" t="s">
        <v>4576</v>
      </c>
      <c r="E1014" s="9" t="str">
        <f>HYPERLINK("https://twitter.com/teamsters362/status/1218590171937026050","1218590171937026050")</f>
        <v>1218590171937026050</v>
      </c>
      <c r="F1014" s="11" t="s">
        <v>4577</v>
      </c>
      <c r="G1014" s="13"/>
      <c r="H1014" s="13"/>
      <c r="I1014" s="14">
        <v>0.0</v>
      </c>
      <c r="J1014" s="14">
        <v>0.0</v>
      </c>
      <c r="K1014" s="9" t="str">
        <f>HYPERLINK("https://www.hootsuite.com","Hootsuite Inc.")</f>
        <v>Hootsuite Inc.</v>
      </c>
      <c r="L1014" s="15">
        <v>1984.0</v>
      </c>
      <c r="M1014" s="15">
        <v>1568.0</v>
      </c>
      <c r="N1014" s="15">
        <v>51.0</v>
      </c>
      <c r="O1014" s="16"/>
      <c r="P1014" s="17">
        <v>41659.88280092592</v>
      </c>
      <c r="Q1014" s="10" t="s">
        <v>1569</v>
      </c>
      <c r="R1014" s="10" t="s">
        <v>1570</v>
      </c>
      <c r="S1014" s="11" t="s">
        <v>1571</v>
      </c>
      <c r="T1014" s="13"/>
      <c r="U1014" s="18" t="str">
        <f>HYPERLINK("https://pbs.twimg.com/profile_images/469578284104036353/2rPokfxo.jpeg","View")</f>
        <v>View</v>
      </c>
      <c r="V1014" s="13"/>
      <c r="W1014" s="13"/>
      <c r="X1014" s="13"/>
      <c r="Y1014" s="13"/>
      <c r="Z1014" s="13"/>
    </row>
    <row r="1015">
      <c r="A1015" s="8">
        <v>43848.531319444446</v>
      </c>
      <c r="B1015" s="9" t="str">
        <f>HYPERLINK("https://twitter.com/SoHappyInTown","@SoHappyInTown")</f>
        <v>@SoHappyInTown</v>
      </c>
      <c r="C1015" s="10" t="s">
        <v>4578</v>
      </c>
      <c r="D1015" s="10" t="s">
        <v>4579</v>
      </c>
      <c r="E1015" s="9" t="str">
        <f>HYPERLINK("https://twitter.com/SoHappyInTown/status/1218590150856466433","1218590150856466433")</f>
        <v>1218590150856466433</v>
      </c>
      <c r="F1015" s="11" t="s">
        <v>4580</v>
      </c>
      <c r="G1015" s="13"/>
      <c r="H1015" s="13"/>
      <c r="I1015" s="14">
        <v>0.0</v>
      </c>
      <c r="J1015" s="14">
        <v>0.0</v>
      </c>
      <c r="K1015" s="9" t="str">
        <f>HYPERLINK("https://www.socialoomph.com","SocialOomph")</f>
        <v>SocialOomph</v>
      </c>
      <c r="L1015" s="15">
        <v>2211.0</v>
      </c>
      <c r="M1015" s="15">
        <v>1660.0</v>
      </c>
      <c r="N1015" s="15">
        <v>39.0</v>
      </c>
      <c r="O1015" s="16"/>
      <c r="P1015" s="17">
        <v>42705.30002314815</v>
      </c>
      <c r="Q1015" s="10" t="s">
        <v>95</v>
      </c>
      <c r="R1015" s="10" t="s">
        <v>4581</v>
      </c>
      <c r="S1015" s="11" t="s">
        <v>4582</v>
      </c>
      <c r="T1015" s="13"/>
      <c r="U1015" s="18" t="str">
        <f>HYPERLINK("https://pbs.twimg.com/profile_images/914458897531928577/ETJYHe_M.jpg","View")</f>
        <v>View</v>
      </c>
      <c r="V1015" s="13"/>
      <c r="W1015" s="13"/>
      <c r="X1015" s="13"/>
      <c r="Y1015" s="13"/>
      <c r="Z1015" s="13"/>
    </row>
    <row r="1016">
      <c r="A1016" s="8">
        <v>43848.53130787037</v>
      </c>
      <c r="B1016" s="9" t="str">
        <f>HYPERLINK("https://twitter.com/HealthMarkets4U","@HealthMarkets4U")</f>
        <v>@HealthMarkets4U</v>
      </c>
      <c r="C1016" s="10" t="s">
        <v>4583</v>
      </c>
      <c r="D1016" s="10" t="s">
        <v>4584</v>
      </c>
      <c r="E1016" s="9" t="str">
        <f>HYPERLINK("https://twitter.com/HealthMarkets4U/status/1218590143185072128","1218590143185072128")</f>
        <v>1218590143185072128</v>
      </c>
      <c r="F1016" s="11" t="s">
        <v>4094</v>
      </c>
      <c r="G1016" s="13"/>
      <c r="H1016" s="13"/>
      <c r="I1016" s="14">
        <v>1.0</v>
      </c>
      <c r="J1016" s="14">
        <v>0.0</v>
      </c>
      <c r="K1016" s="9" t="str">
        <f>HYPERLINK("http://www.powerapps.com","Microsoft Power Platform")</f>
        <v>Microsoft Power Platform</v>
      </c>
      <c r="L1016" s="15">
        <v>154.0</v>
      </c>
      <c r="M1016" s="15">
        <v>0.0</v>
      </c>
      <c r="N1016" s="15">
        <v>1.0</v>
      </c>
      <c r="O1016" s="16"/>
      <c r="P1016" s="17">
        <v>43725.00811342592</v>
      </c>
      <c r="Q1016" s="13"/>
      <c r="R1016" s="10" t="s">
        <v>4585</v>
      </c>
      <c r="S1016" s="11" t="s">
        <v>4586</v>
      </c>
      <c r="T1016" s="13"/>
      <c r="U1016" s="18" t="str">
        <f>HYPERLINK("https://pbs.twimg.com/profile_images/1173811796764872704/0OU-gzHa.jpg","View")</f>
        <v>View</v>
      </c>
      <c r="V1016" s="13"/>
      <c r="W1016" s="13"/>
      <c r="X1016" s="13"/>
      <c r="Y1016" s="13"/>
      <c r="Z1016" s="13"/>
    </row>
    <row r="1017">
      <c r="A1017" s="8">
        <v>43848.53128472222</v>
      </c>
      <c r="B1017" s="9" t="str">
        <f>HYPERLINK("https://twitter.com/CTRI_","@CTRI_")</f>
        <v>@CTRI_</v>
      </c>
      <c r="C1017" s="10" t="s">
        <v>4587</v>
      </c>
      <c r="D1017" s="10" t="s">
        <v>4588</v>
      </c>
      <c r="E1017" s="9" t="str">
        <f>HYPERLINK("https://twitter.com/CTRI_/status/1218590135895449600","1218590135895449600")</f>
        <v>1218590135895449600</v>
      </c>
      <c r="F1017" s="11" t="s">
        <v>4589</v>
      </c>
      <c r="G1017" s="11" t="s">
        <v>4590</v>
      </c>
      <c r="H1017" s="13"/>
      <c r="I1017" s="14">
        <v>0.0</v>
      </c>
      <c r="J1017" s="14">
        <v>0.0</v>
      </c>
      <c r="K1017" s="9" t="str">
        <f>HYPERLINK("https://buffer.com","Buffer")</f>
        <v>Buffer</v>
      </c>
      <c r="L1017" s="15">
        <v>761.0</v>
      </c>
      <c r="M1017" s="15">
        <v>1112.0</v>
      </c>
      <c r="N1017" s="15">
        <v>14.0</v>
      </c>
      <c r="O1017" s="16"/>
      <c r="P1017" s="17">
        <v>42202.47075231481</v>
      </c>
      <c r="Q1017" s="13"/>
      <c r="R1017" s="10" t="s">
        <v>4591</v>
      </c>
      <c r="S1017" s="11" t="s">
        <v>4592</v>
      </c>
      <c r="T1017" s="13"/>
      <c r="U1017" s="18" t="str">
        <f>HYPERLINK("https://pbs.twimg.com/profile_images/887704282455130112/E_ASGHgU.jpg","View")</f>
        <v>View</v>
      </c>
      <c r="V1017" s="13"/>
      <c r="W1017" s="13"/>
      <c r="X1017" s="13"/>
      <c r="Y1017" s="13"/>
      <c r="Z1017" s="13"/>
    </row>
    <row r="1018">
      <c r="A1018" s="8">
        <v>43848.53109953704</v>
      </c>
      <c r="B1018" s="9" t="str">
        <f>HYPERLINK("https://twitter.com/LovingSanders","@LovingSanders")</f>
        <v>@LovingSanders</v>
      </c>
      <c r="C1018" s="10" t="s">
        <v>70</v>
      </c>
      <c r="D1018" s="10" t="s">
        <v>4593</v>
      </c>
      <c r="E1018" s="9" t="str">
        <f>HYPERLINK("https://twitter.com/LovingSanders/status/1218590070690603010","1218590070690603010")</f>
        <v>1218590070690603010</v>
      </c>
      <c r="F1018" s="11" t="s">
        <v>4594</v>
      </c>
      <c r="G1018" s="13"/>
      <c r="H1018" s="13"/>
      <c r="I1018" s="14">
        <v>0.0</v>
      </c>
      <c r="J1018" s="14">
        <v>1.0</v>
      </c>
      <c r="K1018" s="9" t="str">
        <f>HYPERLINK("https://plus.google.com/102104104608814339564","ZolushkaLaura")</f>
        <v>ZolushkaLaura</v>
      </c>
      <c r="L1018" s="15">
        <v>8205.0</v>
      </c>
      <c r="M1018" s="15">
        <v>5631.0</v>
      </c>
      <c r="N1018" s="15">
        <v>555.0</v>
      </c>
      <c r="O1018" s="16"/>
      <c r="P1018" s="17">
        <v>41611.270844907405</v>
      </c>
      <c r="Q1018" s="10" t="s">
        <v>73</v>
      </c>
      <c r="R1018" s="10" t="s">
        <v>74</v>
      </c>
      <c r="S1018" s="11" t="s">
        <v>75</v>
      </c>
      <c r="T1018" s="13"/>
      <c r="U1018" s="18" t="str">
        <f>HYPERLINK("https://pbs.twimg.com/profile_images/953034378275377152/PI2tXfLU.jpg","View")</f>
        <v>View</v>
      </c>
      <c r="V1018" s="13"/>
      <c r="W1018" s="13"/>
      <c r="X1018" s="13"/>
      <c r="Y1018" s="13"/>
      <c r="Z1018" s="13"/>
    </row>
    <row r="1019">
      <c r="A1019" s="8">
        <v>43848.53094907408</v>
      </c>
      <c r="B1019" s="9" t="str">
        <f>HYPERLINK("https://twitter.com/TsaraShelton","@TsaraShelton")</f>
        <v>@TsaraShelton</v>
      </c>
      <c r="C1019" s="10" t="s">
        <v>4595</v>
      </c>
      <c r="D1019" s="10" t="s">
        <v>4596</v>
      </c>
      <c r="E1019" s="9" t="str">
        <f>HYPERLINK("https://twitter.com/TsaraShelton/status/1218590015313321985","1218590015313321985")</f>
        <v>1218590015313321985</v>
      </c>
      <c r="F1019" s="11" t="s">
        <v>4597</v>
      </c>
      <c r="G1019" s="13"/>
      <c r="H1019" s="13"/>
      <c r="I1019" s="14">
        <v>0.0</v>
      </c>
      <c r="J1019" s="14">
        <v>0.0</v>
      </c>
      <c r="K1019" s="9" t="str">
        <f>HYPERLINK("https://mobile.twitter.com","Twitter Web App")</f>
        <v>Twitter Web App</v>
      </c>
      <c r="L1019" s="15">
        <v>1954.0</v>
      </c>
      <c r="M1019" s="15">
        <v>2505.0</v>
      </c>
      <c r="N1019" s="15">
        <v>121.0</v>
      </c>
      <c r="O1019" s="16"/>
      <c r="P1019" s="17">
        <v>41116.03545138889</v>
      </c>
      <c r="Q1019" s="13"/>
      <c r="R1019" s="10" t="s">
        <v>4598</v>
      </c>
      <c r="S1019" s="11" t="s">
        <v>4599</v>
      </c>
      <c r="T1019" s="13"/>
      <c r="U1019" s="18" t="str">
        <f>HYPERLINK("https://pbs.twimg.com/profile_images/923922591504404480/hcPUQ92g.jpg","View")</f>
        <v>View</v>
      </c>
      <c r="V1019" s="13"/>
      <c r="W1019" s="13"/>
      <c r="X1019" s="13"/>
      <c r="Y1019" s="13"/>
      <c r="Z1019" s="13"/>
    </row>
    <row r="1020">
      <c r="A1020" s="8">
        <v>43848.53060185185</v>
      </c>
      <c r="B1020" s="9" t="str">
        <f>HYPERLINK("https://twitter.com/SunnyNici","@SunnyNici")</f>
        <v>@SunnyNici</v>
      </c>
      <c r="C1020" s="10" t="s">
        <v>4600</v>
      </c>
      <c r="D1020" s="10" t="s">
        <v>4601</v>
      </c>
      <c r="E1020" s="9" t="str">
        <f>HYPERLINK("https://twitter.com/SunnyNici/status/1218589889496743937","1218589889496743937")</f>
        <v>1218589889496743937</v>
      </c>
      <c r="F1020" s="11" t="s">
        <v>4602</v>
      </c>
      <c r="G1020" s="11" t="s">
        <v>4603</v>
      </c>
      <c r="H1020" s="13"/>
      <c r="I1020" s="14">
        <v>0.0</v>
      </c>
      <c r="J1020" s="14">
        <v>1.0</v>
      </c>
      <c r="K1020" s="9" t="str">
        <f>HYPERLINK("http://twitter.com/download/android","Twitter for Android")</f>
        <v>Twitter for Android</v>
      </c>
      <c r="L1020" s="15">
        <v>850.0</v>
      </c>
      <c r="M1020" s="15">
        <v>696.0</v>
      </c>
      <c r="N1020" s="15">
        <v>59.0</v>
      </c>
      <c r="O1020" s="16"/>
      <c r="P1020" s="17">
        <v>39874.59622685185</v>
      </c>
      <c r="Q1020" s="10" t="s">
        <v>3849</v>
      </c>
      <c r="R1020" s="10" t="s">
        <v>4604</v>
      </c>
      <c r="S1020" s="13"/>
      <c r="T1020" s="13"/>
      <c r="U1020" s="18" t="str">
        <f>HYPERLINK("https://pbs.twimg.com/profile_images/1203431867623657475/P0_Ho1dw.jpg","View")</f>
        <v>View</v>
      </c>
      <c r="V1020" s="13"/>
      <c r="W1020" s="13"/>
      <c r="X1020" s="13"/>
      <c r="Y1020" s="13"/>
      <c r="Z1020" s="13"/>
    </row>
    <row r="1021">
      <c r="A1021" s="8">
        <v>43848.53034722222</v>
      </c>
      <c r="B1021" s="9" t="str">
        <f>HYPERLINK("https://twitter.com/Len_Gren","@Len_Gren")</f>
        <v>@Len_Gren</v>
      </c>
      <c r="C1021" s="10" t="s">
        <v>4605</v>
      </c>
      <c r="D1021" s="10" t="s">
        <v>4606</v>
      </c>
      <c r="E1021" s="9" t="str">
        <f>HYPERLINK("https://twitter.com/Len_Gren/status/1218589798354636804","1218589798354636804")</f>
        <v>1218589798354636804</v>
      </c>
      <c r="F1021" s="10" t="s">
        <v>4607</v>
      </c>
      <c r="G1021" s="13"/>
      <c r="H1021" s="13"/>
      <c r="I1021" s="14">
        <v>0.0</v>
      </c>
      <c r="J1021" s="14">
        <v>1.0</v>
      </c>
      <c r="K1021" s="9" t="str">
        <f t="shared" ref="K1021:K1022" si="122">HYPERLINK("http://twitter.com/download/iphone","Twitter for iPhone")</f>
        <v>Twitter for iPhone</v>
      </c>
      <c r="L1021" s="15">
        <v>68.0</v>
      </c>
      <c r="M1021" s="15">
        <v>143.0</v>
      </c>
      <c r="N1021" s="15">
        <v>6.0</v>
      </c>
      <c r="O1021" s="16"/>
      <c r="P1021" s="17">
        <v>41382.47224537037</v>
      </c>
      <c r="Q1021" s="13"/>
      <c r="R1021" s="10" t="s">
        <v>4608</v>
      </c>
      <c r="S1021" s="13"/>
      <c r="T1021" s="13"/>
      <c r="U1021" s="18" t="str">
        <f>HYPERLINK("https://pbs.twimg.com/profile_images/651038812085354497/lvrCwS5S.jpg","View")</f>
        <v>View</v>
      </c>
      <c r="V1021" s="13"/>
      <c r="W1021" s="13"/>
      <c r="X1021" s="13"/>
      <c r="Y1021" s="13"/>
      <c r="Z1021" s="13"/>
    </row>
    <row r="1022">
      <c r="A1022" s="8">
        <v>43848.529699074075</v>
      </c>
      <c r="B1022" s="9" t="str">
        <f>HYPERLINK("https://twitter.com/HapiHemp","@HapiHemp")</f>
        <v>@HapiHemp</v>
      </c>
      <c r="C1022" s="10" t="s">
        <v>4609</v>
      </c>
      <c r="D1022" s="10" t="s">
        <v>4610</v>
      </c>
      <c r="E1022" s="9" t="str">
        <f>HYPERLINK("https://twitter.com/HapiHemp/status/1218589562227843073","1218589562227843073")</f>
        <v>1218589562227843073</v>
      </c>
      <c r="F1022" s="11" t="s">
        <v>4611</v>
      </c>
      <c r="G1022" s="13"/>
      <c r="H1022" s="13"/>
      <c r="I1022" s="14">
        <v>2.0</v>
      </c>
      <c r="J1022" s="14">
        <v>3.0</v>
      </c>
      <c r="K1022" s="9" t="str">
        <f t="shared" si="122"/>
        <v>Twitter for iPhone</v>
      </c>
      <c r="L1022" s="15">
        <v>141.0</v>
      </c>
      <c r="M1022" s="15">
        <v>413.0</v>
      </c>
      <c r="N1022" s="15">
        <v>0.0</v>
      </c>
      <c r="O1022" s="16"/>
      <c r="P1022" s="17">
        <v>43700.51519675926</v>
      </c>
      <c r="Q1022" s="13"/>
      <c r="R1022" s="10" t="s">
        <v>4612</v>
      </c>
      <c r="S1022" s="11" t="s">
        <v>4613</v>
      </c>
      <c r="T1022" s="13"/>
      <c r="U1022" s="18" t="str">
        <f>HYPERLINK("https://pbs.twimg.com/profile_images/1207974953108328448/pbIam-sQ.jpg","View")</f>
        <v>View</v>
      </c>
      <c r="V1022" s="13"/>
      <c r="W1022" s="13"/>
      <c r="X1022" s="13"/>
      <c r="Y1022" s="13"/>
      <c r="Z1022" s="13"/>
    </row>
    <row r="1023">
      <c r="A1023" s="8">
        <v>43848.529340277775</v>
      </c>
      <c r="B1023" s="9" t="str">
        <f>HYPERLINK("https://twitter.com/markhenick","@markhenick")</f>
        <v>@markhenick</v>
      </c>
      <c r="C1023" s="10" t="s">
        <v>4614</v>
      </c>
      <c r="D1023" s="10" t="s">
        <v>4615</v>
      </c>
      <c r="E1023" s="9" t="str">
        <f>HYPERLINK("https://twitter.com/markhenick/status/1218589430673477635","1218589430673477635")</f>
        <v>1218589430673477635</v>
      </c>
      <c r="F1023" s="11" t="s">
        <v>4616</v>
      </c>
      <c r="G1023" s="13"/>
      <c r="H1023" s="13"/>
      <c r="I1023" s="14">
        <v>0.0</v>
      </c>
      <c r="J1023" s="14">
        <v>1.0</v>
      </c>
      <c r="K1023" s="9" t="str">
        <f>HYPERLINK("https://mobile.twitter.com","Twitter Web App")</f>
        <v>Twitter Web App</v>
      </c>
      <c r="L1023" s="15">
        <v>19058.0</v>
      </c>
      <c r="M1023" s="15">
        <v>480.0</v>
      </c>
      <c r="N1023" s="15">
        <v>256.0</v>
      </c>
      <c r="O1023" s="21" t="s">
        <v>522</v>
      </c>
      <c r="P1023" s="17">
        <v>39980.78016203704</v>
      </c>
      <c r="Q1023" s="10" t="s">
        <v>4617</v>
      </c>
      <c r="R1023" s="10" t="s">
        <v>4618</v>
      </c>
      <c r="S1023" s="11" t="s">
        <v>4619</v>
      </c>
      <c r="T1023" s="13"/>
      <c r="U1023" s="18" t="str">
        <f>HYPERLINK("https://pbs.twimg.com/profile_images/1212443244015030272/F-0jwyfC.jpg","View")</f>
        <v>View</v>
      </c>
      <c r="V1023" s="13"/>
      <c r="W1023" s="13"/>
      <c r="X1023" s="13"/>
      <c r="Y1023" s="13"/>
      <c r="Z1023" s="13"/>
    </row>
    <row r="1024">
      <c r="A1024" s="8">
        <v>43848.528437500005</v>
      </c>
      <c r="B1024" s="9" t="str">
        <f>HYPERLINK("https://twitter.com/RiaHealthSF","@RiaHealthSF")</f>
        <v>@RiaHealthSF</v>
      </c>
      <c r="C1024" s="10" t="s">
        <v>4620</v>
      </c>
      <c r="D1024" s="10" t="s">
        <v>4621</v>
      </c>
      <c r="E1024" s="9" t="str">
        <f>HYPERLINK("https://twitter.com/RiaHealthSF/status/1218589106676142087","1218589106676142087")</f>
        <v>1218589106676142087</v>
      </c>
      <c r="F1024" s="11" t="s">
        <v>4622</v>
      </c>
      <c r="G1024" s="13"/>
      <c r="H1024" s="13"/>
      <c r="I1024" s="14">
        <v>0.0</v>
      </c>
      <c r="J1024" s="14">
        <v>1.0</v>
      </c>
      <c r="K1024" s="9" t="str">
        <f t="shared" ref="K1024:K1027" si="123">HYPERLINK("http://twitter.com/download/android","Twitter for Android")</f>
        <v>Twitter for Android</v>
      </c>
      <c r="L1024" s="15">
        <v>1216.0</v>
      </c>
      <c r="M1024" s="15">
        <v>2973.0</v>
      </c>
      <c r="N1024" s="15">
        <v>36.0</v>
      </c>
      <c r="O1024" s="16"/>
      <c r="P1024" s="17">
        <v>42492.88105324074</v>
      </c>
      <c r="Q1024" s="10" t="s">
        <v>228</v>
      </c>
      <c r="R1024" s="10" t="s">
        <v>4623</v>
      </c>
      <c r="S1024" s="11" t="s">
        <v>4624</v>
      </c>
      <c r="T1024" s="13"/>
      <c r="U1024" s="18" t="str">
        <f>HYPERLINK("https://pbs.twimg.com/profile_images/915331953557196800/qYL0e3Kn.jpg","View")</f>
        <v>View</v>
      </c>
      <c r="V1024" s="13"/>
      <c r="W1024" s="13"/>
      <c r="X1024" s="13"/>
      <c r="Y1024" s="13"/>
      <c r="Z1024" s="13"/>
    </row>
    <row r="1025">
      <c r="A1025" s="8">
        <v>43848.52831018518</v>
      </c>
      <c r="B1025" s="9" t="str">
        <f>HYPERLINK("https://twitter.com/psyfy_ry","@psyfy_ry")</f>
        <v>@psyfy_ry</v>
      </c>
      <c r="C1025" s="10" t="s">
        <v>4625</v>
      </c>
      <c r="D1025" s="10" t="s">
        <v>4626</v>
      </c>
      <c r="E1025" s="9" t="str">
        <f>HYPERLINK("https://twitter.com/psyfy_ry/status/1218589056986243072","1218589056986243072")</f>
        <v>1218589056986243072</v>
      </c>
      <c r="F1025" s="11" t="s">
        <v>4627</v>
      </c>
      <c r="G1025" s="11" t="s">
        <v>4628</v>
      </c>
      <c r="H1025" s="13"/>
      <c r="I1025" s="14">
        <v>0.0</v>
      </c>
      <c r="J1025" s="14">
        <v>0.0</v>
      </c>
      <c r="K1025" s="9" t="str">
        <f t="shared" si="123"/>
        <v>Twitter for Android</v>
      </c>
      <c r="L1025" s="15">
        <v>89.0</v>
      </c>
      <c r="M1025" s="15">
        <v>57.0</v>
      </c>
      <c r="N1025" s="15">
        <v>1.0</v>
      </c>
      <c r="O1025" s="16"/>
      <c r="P1025" s="17">
        <v>43291.51268518518</v>
      </c>
      <c r="Q1025" s="10" t="s">
        <v>4629</v>
      </c>
      <c r="R1025" s="10" t="s">
        <v>4630</v>
      </c>
      <c r="S1025" s="11" t="s">
        <v>4631</v>
      </c>
      <c r="T1025" s="13"/>
      <c r="U1025" s="18" t="str">
        <f>HYPERLINK("https://pbs.twimg.com/profile_images/1036651262333382656/dpCbvvtr.jpg","View")</f>
        <v>View</v>
      </c>
      <c r="V1025" s="13"/>
      <c r="W1025" s="13"/>
      <c r="X1025" s="13"/>
      <c r="Y1025" s="13"/>
      <c r="Z1025" s="13"/>
    </row>
    <row r="1026">
      <c r="A1026" s="8">
        <v>43848.528125</v>
      </c>
      <c r="B1026" s="9" t="str">
        <f>HYPERLINK("https://twitter.com/Pidgeroo","@Pidgeroo")</f>
        <v>@Pidgeroo</v>
      </c>
      <c r="C1026" s="10" t="s">
        <v>4632</v>
      </c>
      <c r="D1026" s="10" t="s">
        <v>4633</v>
      </c>
      <c r="E1026" s="9" t="str">
        <f>HYPERLINK("https://twitter.com/Pidgeroo/status/1218588993232785413","1218588993232785413")</f>
        <v>1218588993232785413</v>
      </c>
      <c r="F1026" s="13"/>
      <c r="G1026" s="13"/>
      <c r="H1026" s="13"/>
      <c r="I1026" s="14">
        <v>0.0</v>
      </c>
      <c r="J1026" s="14">
        <v>2.0</v>
      </c>
      <c r="K1026" s="9" t="str">
        <f t="shared" si="123"/>
        <v>Twitter for Android</v>
      </c>
      <c r="L1026" s="15">
        <v>137.0</v>
      </c>
      <c r="M1026" s="15">
        <v>190.0</v>
      </c>
      <c r="N1026" s="15">
        <v>1.0</v>
      </c>
      <c r="O1026" s="16"/>
      <c r="P1026" s="17">
        <v>40572.78912037037</v>
      </c>
      <c r="Q1026" s="10" t="s">
        <v>4634</v>
      </c>
      <c r="R1026" s="10" t="s">
        <v>4635</v>
      </c>
      <c r="S1026" s="13"/>
      <c r="T1026" s="13"/>
      <c r="U1026" s="18" t="str">
        <f>HYPERLINK("https://pbs.twimg.com/profile_images/1216448515959861249/Ke-yZA16.jpg","View")</f>
        <v>View</v>
      </c>
      <c r="V1026" s="13"/>
      <c r="W1026" s="13"/>
      <c r="X1026" s="13"/>
      <c r="Y1026" s="13"/>
      <c r="Z1026" s="13"/>
    </row>
    <row r="1027">
      <c r="A1027" s="8">
        <v>43848.528067129635</v>
      </c>
      <c r="B1027" s="9" t="str">
        <f>HYPERLINK("https://twitter.com/psyfy_ry","@psyfy_ry")</f>
        <v>@psyfy_ry</v>
      </c>
      <c r="C1027" s="10" t="s">
        <v>4625</v>
      </c>
      <c r="D1027" s="10" t="s">
        <v>4636</v>
      </c>
      <c r="E1027" s="9" t="str">
        <f>HYPERLINK("https://twitter.com/psyfy_ry/status/1218588968498991105","1218588968498991105")</f>
        <v>1218588968498991105</v>
      </c>
      <c r="F1027" s="13"/>
      <c r="G1027" s="11" t="s">
        <v>4637</v>
      </c>
      <c r="H1027" s="13"/>
      <c r="I1027" s="14">
        <v>0.0</v>
      </c>
      <c r="J1027" s="14">
        <v>6.0</v>
      </c>
      <c r="K1027" s="9" t="str">
        <f t="shared" si="123"/>
        <v>Twitter for Android</v>
      </c>
      <c r="L1027" s="15">
        <v>89.0</v>
      </c>
      <c r="M1027" s="15">
        <v>57.0</v>
      </c>
      <c r="N1027" s="15">
        <v>1.0</v>
      </c>
      <c r="O1027" s="16"/>
      <c r="P1027" s="17">
        <v>43291.51268518518</v>
      </c>
      <c r="Q1027" s="10" t="s">
        <v>4629</v>
      </c>
      <c r="R1027" s="10" t="s">
        <v>4630</v>
      </c>
      <c r="S1027" s="11" t="s">
        <v>4631</v>
      </c>
      <c r="T1027" s="13"/>
      <c r="U1027" s="18" t="str">
        <f>HYPERLINK("https://pbs.twimg.com/profile_images/1036651262333382656/dpCbvvtr.jpg","View")</f>
        <v>View</v>
      </c>
      <c r="V1027" s="13"/>
      <c r="W1027" s="13"/>
      <c r="X1027" s="13"/>
      <c r="Y1027" s="13"/>
      <c r="Z1027" s="13"/>
    </row>
    <row r="1028">
      <c r="A1028" s="8">
        <v>43848.52800925926</v>
      </c>
      <c r="B1028" s="9" t="str">
        <f>HYPERLINK("https://twitter.com/ShaunCFrancis","@ShaunCFrancis")</f>
        <v>@ShaunCFrancis</v>
      </c>
      <c r="C1028" s="10" t="s">
        <v>4638</v>
      </c>
      <c r="D1028" s="10" t="s">
        <v>4639</v>
      </c>
      <c r="E1028" s="9" t="str">
        <f>HYPERLINK("https://twitter.com/ShaunCFrancis/status/1218588950752890880","1218588950752890880")</f>
        <v>1218588950752890880</v>
      </c>
      <c r="F1028" s="13"/>
      <c r="G1028" s="11" t="s">
        <v>4640</v>
      </c>
      <c r="H1028" s="13"/>
      <c r="I1028" s="14">
        <v>0.0</v>
      </c>
      <c r="J1028" s="14">
        <v>0.0</v>
      </c>
      <c r="K1028" s="9" t="str">
        <f>HYPERLINK("http://twitter.com/download/iphone","Twitter for iPhone")</f>
        <v>Twitter for iPhone</v>
      </c>
      <c r="L1028" s="15">
        <v>922.0</v>
      </c>
      <c r="M1028" s="15">
        <v>908.0</v>
      </c>
      <c r="N1028" s="15">
        <v>7.0</v>
      </c>
      <c r="O1028" s="16"/>
      <c r="P1028" s="17">
        <v>39721.76556712963</v>
      </c>
      <c r="Q1028" s="10" t="s">
        <v>245</v>
      </c>
      <c r="R1028" s="10" t="s">
        <v>4641</v>
      </c>
      <c r="S1028" s="11" t="s">
        <v>4642</v>
      </c>
      <c r="T1028" s="13"/>
      <c r="U1028" s="18" t="str">
        <f>HYPERLINK("https://pbs.twimg.com/profile_images/532167382563704832/k5YToHNr.jpeg","View")</f>
        <v>View</v>
      </c>
      <c r="V1028" s="13"/>
      <c r="W1028" s="13"/>
      <c r="X1028" s="13"/>
      <c r="Y1028" s="13"/>
      <c r="Z1028" s="13"/>
    </row>
    <row r="1029">
      <c r="A1029" s="8">
        <v>43848.52790509259</v>
      </c>
      <c r="B1029" s="9" t="str">
        <f>HYPERLINK("https://twitter.com/psyfy_ry","@psyfy_ry")</f>
        <v>@psyfy_ry</v>
      </c>
      <c r="C1029" s="10" t="s">
        <v>4625</v>
      </c>
      <c r="D1029" s="10" t="s">
        <v>4636</v>
      </c>
      <c r="E1029" s="9" t="str">
        <f>HYPERLINK("https://twitter.com/psyfy_ry/status/1218588909795495936","1218588909795495936")</f>
        <v>1218588909795495936</v>
      </c>
      <c r="F1029" s="13"/>
      <c r="G1029" s="11" t="s">
        <v>4643</v>
      </c>
      <c r="H1029" s="13"/>
      <c r="I1029" s="14">
        <v>0.0</v>
      </c>
      <c r="J1029" s="14">
        <v>0.0</v>
      </c>
      <c r="K1029" s="9" t="str">
        <f>HYPERLINK("http://twitter.com/download/android","Twitter for Android")</f>
        <v>Twitter for Android</v>
      </c>
      <c r="L1029" s="15">
        <v>89.0</v>
      </c>
      <c r="M1029" s="15">
        <v>57.0</v>
      </c>
      <c r="N1029" s="15">
        <v>1.0</v>
      </c>
      <c r="O1029" s="16"/>
      <c r="P1029" s="17">
        <v>43291.51268518518</v>
      </c>
      <c r="Q1029" s="10" t="s">
        <v>4629</v>
      </c>
      <c r="R1029" s="10" t="s">
        <v>4630</v>
      </c>
      <c r="S1029" s="11" t="s">
        <v>4631</v>
      </c>
      <c r="T1029" s="13"/>
      <c r="U1029" s="18" t="str">
        <f>HYPERLINK("https://pbs.twimg.com/profile_images/1036651262333382656/dpCbvvtr.jpg","View")</f>
        <v>View</v>
      </c>
      <c r="V1029" s="13"/>
      <c r="W1029" s="13"/>
      <c r="X1029" s="13"/>
      <c r="Y1029" s="13"/>
      <c r="Z1029" s="13"/>
    </row>
    <row r="1030">
      <c r="A1030" s="8">
        <v>43848.52783564814</v>
      </c>
      <c r="B1030" s="9" t="str">
        <f>HYPERLINK("https://twitter.com/PineappleYSW","@PineappleYSW")</f>
        <v>@PineappleYSW</v>
      </c>
      <c r="C1030" s="10" t="s">
        <v>3064</v>
      </c>
      <c r="D1030" s="10" t="s">
        <v>4644</v>
      </c>
      <c r="E1030" s="9" t="str">
        <f>HYPERLINK("https://twitter.com/PineappleYSW/status/1218588888391876609","1218588888391876609")</f>
        <v>1218588888391876609</v>
      </c>
      <c r="F1030" s="11" t="s">
        <v>4645</v>
      </c>
      <c r="G1030" s="13"/>
      <c r="H1030" s="13"/>
      <c r="I1030" s="14">
        <v>8.0</v>
      </c>
      <c r="J1030" s="14">
        <v>7.0</v>
      </c>
      <c r="K1030" s="9" t="str">
        <f>HYPERLINK("https://www.hootsuite.com","Hootsuite Inc.")</f>
        <v>Hootsuite Inc.</v>
      </c>
      <c r="L1030" s="15">
        <v>8380.0</v>
      </c>
      <c r="M1030" s="15">
        <v>1234.0</v>
      </c>
      <c r="N1030" s="15">
        <v>40.0</v>
      </c>
      <c r="O1030" s="16"/>
      <c r="P1030" s="17">
        <v>43146.30180555556</v>
      </c>
      <c r="Q1030" s="13"/>
      <c r="R1030" s="10" t="s">
        <v>3068</v>
      </c>
      <c r="S1030" s="11" t="s">
        <v>3069</v>
      </c>
      <c r="T1030" s="13"/>
      <c r="U1030" s="18" t="str">
        <f>HYPERLINK("https://pbs.twimg.com/profile_images/1191389384668598274/gAFBLBeB.jpg","View")</f>
        <v>View</v>
      </c>
      <c r="V1030" s="13"/>
      <c r="W1030" s="13"/>
      <c r="X1030" s="13"/>
      <c r="Y1030" s="13"/>
      <c r="Z1030" s="13"/>
    </row>
    <row r="1031">
      <c r="A1031" s="8">
        <v>43848.527708333335</v>
      </c>
      <c r="B1031" s="9" t="str">
        <f>HYPERLINK("https://twitter.com/WildatFaith","@WildatFaith")</f>
        <v>@WildatFaith</v>
      </c>
      <c r="C1031" s="10" t="s">
        <v>4646</v>
      </c>
      <c r="D1031" s="10" t="s">
        <v>4647</v>
      </c>
      <c r="E1031" s="9" t="str">
        <f>HYPERLINK("https://twitter.com/WildatFaith/status/1218588841017249793","1218588841017249793")</f>
        <v>1218588841017249793</v>
      </c>
      <c r="F1031" s="11" t="s">
        <v>4648</v>
      </c>
      <c r="G1031" s="13"/>
      <c r="H1031" s="13"/>
      <c r="I1031" s="14">
        <v>0.0</v>
      </c>
      <c r="J1031" s="14">
        <v>0.0</v>
      </c>
      <c r="K1031" s="9" t="str">
        <f>HYPERLINK("http://twitter.com/download/android","Twitter for Android")</f>
        <v>Twitter for Android</v>
      </c>
      <c r="L1031" s="15">
        <v>56.0</v>
      </c>
      <c r="M1031" s="15">
        <v>112.0</v>
      </c>
      <c r="N1031" s="15">
        <v>0.0</v>
      </c>
      <c r="O1031" s="16"/>
      <c r="P1031" s="17">
        <v>43502.34075231482</v>
      </c>
      <c r="Q1031" s="10" t="s">
        <v>4649</v>
      </c>
      <c r="R1031" s="10" t="s">
        <v>4650</v>
      </c>
      <c r="S1031" s="13"/>
      <c r="T1031" s="13"/>
      <c r="U1031" s="18" t="str">
        <f>HYPERLINK("https://pbs.twimg.com/profile_images/1093169499765948416/3NnvKgkY.jpg","View")</f>
        <v>View</v>
      </c>
      <c r="V1031" s="13"/>
      <c r="W1031" s="13"/>
      <c r="X1031" s="13"/>
      <c r="Y1031" s="13"/>
      <c r="Z1031" s="13"/>
    </row>
    <row r="1032">
      <c r="A1032" s="8">
        <v>43848.527708333335</v>
      </c>
      <c r="B1032" s="9" t="str">
        <f>HYPERLINK("https://twitter.com/JacqChartier","@JacqChartier")</f>
        <v>@JacqChartier</v>
      </c>
      <c r="C1032" s="10" t="s">
        <v>4651</v>
      </c>
      <c r="D1032" s="10" t="s">
        <v>4652</v>
      </c>
      <c r="E1032" s="9" t="str">
        <f>HYPERLINK("https://twitter.com/JacqChartier/status/1218588839003873280","1218588839003873280")</f>
        <v>1218588839003873280</v>
      </c>
      <c r="F1032" s="11" t="s">
        <v>4094</v>
      </c>
      <c r="G1032" s="13"/>
      <c r="H1032" s="13"/>
      <c r="I1032" s="14">
        <v>0.0</v>
      </c>
      <c r="J1032" s="14">
        <v>0.0</v>
      </c>
      <c r="K1032" s="9" t="str">
        <f>HYPERLINK("http://twitter.com/#!/download/ipad","Twitter for iPad")</f>
        <v>Twitter for iPad</v>
      </c>
      <c r="L1032" s="15">
        <v>473.0</v>
      </c>
      <c r="M1032" s="15">
        <v>1050.0</v>
      </c>
      <c r="N1032" s="15">
        <v>29.0</v>
      </c>
      <c r="O1032" s="16"/>
      <c r="P1032" s="17">
        <v>41211.69578703704</v>
      </c>
      <c r="Q1032" s="10" t="s">
        <v>4653</v>
      </c>
      <c r="R1032" s="10" t="s">
        <v>4654</v>
      </c>
      <c r="S1032" s="11" t="s">
        <v>4655</v>
      </c>
      <c r="T1032" s="13"/>
      <c r="U1032" s="18" t="str">
        <f>HYPERLINK("https://pbs.twimg.com/profile_images/378800000846511141/b45dc25efb8c7cb7dee88b8df55f7b1a.jpeg","View")</f>
        <v>View</v>
      </c>
      <c r="V1032" s="13"/>
      <c r="W1032" s="13"/>
      <c r="X1032" s="13"/>
      <c r="Y1032" s="13"/>
      <c r="Z1032" s="13"/>
    </row>
    <row r="1033">
      <c r="A1033" s="8">
        <v>43848.527083333334</v>
      </c>
      <c r="B1033" s="9" t="str">
        <f>HYPERLINK("https://twitter.com/DeborahJRoss","@DeborahJRoss")</f>
        <v>@DeborahJRoss</v>
      </c>
      <c r="C1033" s="10" t="s">
        <v>4656</v>
      </c>
      <c r="D1033" s="10" t="s">
        <v>4657</v>
      </c>
      <c r="E1033" s="9" t="str">
        <f>HYPERLINK("https://twitter.com/DeborahJRoss/status/1218588613056827394","1218588613056827394")</f>
        <v>1218588613056827394</v>
      </c>
      <c r="F1033" s="11" t="s">
        <v>4658</v>
      </c>
      <c r="G1033" s="13"/>
      <c r="H1033" s="13"/>
      <c r="I1033" s="14">
        <v>0.0</v>
      </c>
      <c r="J1033" s="14">
        <v>0.0</v>
      </c>
      <c r="K1033" s="9" t="str">
        <f>HYPERLINK("https://about.twitter.com/products/tweetdeck","TweetDeck")</f>
        <v>TweetDeck</v>
      </c>
      <c r="L1033" s="15">
        <v>1566.0</v>
      </c>
      <c r="M1033" s="15">
        <v>1521.0</v>
      </c>
      <c r="N1033" s="15">
        <v>95.0</v>
      </c>
      <c r="O1033" s="16"/>
      <c r="P1033" s="17">
        <v>40668.9128587963</v>
      </c>
      <c r="Q1033" s="10" t="s">
        <v>634</v>
      </c>
      <c r="R1033" s="10" t="s">
        <v>4659</v>
      </c>
      <c r="S1033" s="11" t="s">
        <v>4660</v>
      </c>
      <c r="T1033" s="13"/>
      <c r="U1033" s="18" t="str">
        <f>HYPERLINK("https://pbs.twimg.com/profile_images/841780587748777984/tlKz0Xvx.jpg","View")</f>
        <v>View</v>
      </c>
      <c r="V1033" s="13"/>
      <c r="W1033" s="13"/>
      <c r="X1033" s="13"/>
      <c r="Y1033" s="13"/>
      <c r="Z1033" s="13"/>
    </row>
    <row r="1034">
      <c r="A1034" s="8">
        <v>43848.52678240741</v>
      </c>
      <c r="B1034" s="9" t="str">
        <f>HYPERLINK("https://twitter.com/kathryn_lakey","@kathryn_lakey")</f>
        <v>@kathryn_lakey</v>
      </c>
      <c r="C1034" s="10" t="s">
        <v>4661</v>
      </c>
      <c r="D1034" s="10" t="s">
        <v>4662</v>
      </c>
      <c r="E1034" s="9" t="str">
        <f>HYPERLINK("https://twitter.com/kathryn_lakey/status/1218588503380021248","1218588503380021248")</f>
        <v>1218588503380021248</v>
      </c>
      <c r="F1034" s="11" t="s">
        <v>4663</v>
      </c>
      <c r="G1034" s="13"/>
      <c r="H1034" s="13"/>
      <c r="I1034" s="14">
        <v>0.0</v>
      </c>
      <c r="J1034" s="14">
        <v>0.0</v>
      </c>
      <c r="K1034" s="9" t="str">
        <f>HYPERLINK("http://twitter.com/download/iphone","Twitter for iPhone")</f>
        <v>Twitter for iPhone</v>
      </c>
      <c r="L1034" s="15">
        <v>1116.0</v>
      </c>
      <c r="M1034" s="15">
        <v>1875.0</v>
      </c>
      <c r="N1034" s="15">
        <v>9.0</v>
      </c>
      <c r="O1034" s="16"/>
      <c r="P1034" s="17">
        <v>41568.57476851852</v>
      </c>
      <c r="Q1034" s="10" t="s">
        <v>4664</v>
      </c>
      <c r="R1034" s="10" t="s">
        <v>4665</v>
      </c>
      <c r="S1034" s="13"/>
      <c r="T1034" s="13"/>
      <c r="U1034" s="18" t="str">
        <f>HYPERLINK("https://pbs.twimg.com/profile_images/1041041827246292996/-NYuUGAH.jpg","View")</f>
        <v>View</v>
      </c>
      <c r="V1034" s="13"/>
      <c r="W1034" s="13"/>
      <c r="X1034" s="13"/>
      <c r="Y1034" s="13"/>
      <c r="Z1034" s="13"/>
    </row>
    <row r="1035">
      <c r="A1035" s="8">
        <v>43848.52626157408</v>
      </c>
      <c r="B1035" s="9" t="str">
        <f>HYPERLINK("https://twitter.com/CalculatingMind","@CalculatingMind")</f>
        <v>@CalculatingMind</v>
      </c>
      <c r="C1035" s="10" t="s">
        <v>4666</v>
      </c>
      <c r="D1035" s="10" t="s">
        <v>4667</v>
      </c>
      <c r="E1035" s="9" t="str">
        <f>HYPERLINK("https://twitter.com/CalculatingMind/status/1218588318021181444","1218588318021181444")</f>
        <v>1218588318021181444</v>
      </c>
      <c r="F1035" s="13"/>
      <c r="G1035" s="11" t="s">
        <v>4668</v>
      </c>
      <c r="H1035" s="13"/>
      <c r="I1035" s="14">
        <v>2.0</v>
      </c>
      <c r="J1035" s="14">
        <v>4.0</v>
      </c>
      <c r="K1035" s="9" t="str">
        <f t="shared" ref="K1035:K1036" si="124">HYPERLINK("http://twitter.com/download/android","Twitter for Android")</f>
        <v>Twitter for Android</v>
      </c>
      <c r="L1035" s="15">
        <v>3261.0</v>
      </c>
      <c r="M1035" s="15">
        <v>1290.0</v>
      </c>
      <c r="N1035" s="15">
        <v>99.0</v>
      </c>
      <c r="O1035" s="16"/>
      <c r="P1035" s="17">
        <v>42386.37539351852</v>
      </c>
      <c r="Q1035" s="10" t="s">
        <v>4669</v>
      </c>
      <c r="R1035" s="10" t="s">
        <v>4670</v>
      </c>
      <c r="S1035" s="11" t="s">
        <v>4671</v>
      </c>
      <c r="T1035" s="13"/>
      <c r="U1035" s="18" t="str">
        <f>HYPERLINK("https://pbs.twimg.com/profile_images/1214040390925529089/zLXIypzP.jpg","View")</f>
        <v>View</v>
      </c>
      <c r="V1035" s="13"/>
      <c r="W1035" s="13"/>
      <c r="X1035" s="13"/>
      <c r="Y1035" s="13"/>
      <c r="Z1035" s="13"/>
    </row>
    <row r="1036">
      <c r="A1036" s="8">
        <v>43848.52547453703</v>
      </c>
      <c r="B1036" s="9" t="str">
        <f>HYPERLINK("https://twitter.com/JonHarvey64","@JonHarvey64")</f>
        <v>@JonHarvey64</v>
      </c>
      <c r="C1036" s="10" t="s">
        <v>115</v>
      </c>
      <c r="D1036" s="10" t="s">
        <v>4672</v>
      </c>
      <c r="E1036" s="9" t="str">
        <f>HYPERLINK("https://twitter.com/JonHarvey64/status/1218588031579566080","1218588031579566080")</f>
        <v>1218588031579566080</v>
      </c>
      <c r="F1036" s="13"/>
      <c r="G1036" s="11" t="s">
        <v>4673</v>
      </c>
      <c r="H1036" s="13"/>
      <c r="I1036" s="14">
        <v>1.0</v>
      </c>
      <c r="J1036" s="14">
        <v>18.0</v>
      </c>
      <c r="K1036" s="9" t="str">
        <f t="shared" si="124"/>
        <v>Twitter for Android</v>
      </c>
      <c r="L1036" s="15">
        <v>3488.0</v>
      </c>
      <c r="M1036" s="15">
        <v>5002.0</v>
      </c>
      <c r="N1036" s="15">
        <v>28.0</v>
      </c>
      <c r="O1036" s="16"/>
      <c r="P1036" s="17">
        <v>41856.345358796294</v>
      </c>
      <c r="Q1036" s="10" t="s">
        <v>118</v>
      </c>
      <c r="R1036" s="10" t="s">
        <v>119</v>
      </c>
      <c r="S1036" s="13"/>
      <c r="T1036" s="13"/>
      <c r="U1036" s="18" t="str">
        <f>HYPERLINK("https://pbs.twimg.com/profile_images/1218409859223302144/AI9rxlhq.jpg","View")</f>
        <v>View</v>
      </c>
      <c r="V1036" s="13"/>
      <c r="W1036" s="13"/>
      <c r="X1036" s="13"/>
      <c r="Y1036" s="13"/>
      <c r="Z1036" s="13"/>
    </row>
    <row r="1037">
      <c r="A1037" s="8">
        <v>43848.52539351852</v>
      </c>
      <c r="B1037" s="9" t="str">
        <f>HYPERLINK("https://twitter.com/mindmatterldn","@mindmatterldn")</f>
        <v>@mindmatterldn</v>
      </c>
      <c r="C1037" s="10" t="s">
        <v>4674</v>
      </c>
      <c r="D1037" s="10" t="s">
        <v>4675</v>
      </c>
      <c r="E1037" s="9" t="str">
        <f>HYPERLINK("https://twitter.com/mindmatterldn/status/1218588001330245632","1218588001330245632")</f>
        <v>1218588001330245632</v>
      </c>
      <c r="F1037" s="13"/>
      <c r="G1037" s="11" t="s">
        <v>4676</v>
      </c>
      <c r="H1037" s="13"/>
      <c r="I1037" s="14">
        <v>2.0</v>
      </c>
      <c r="J1037" s="14">
        <v>0.0</v>
      </c>
      <c r="K1037" s="9" t="str">
        <f t="shared" ref="K1037:K1038" si="125">HYPERLINK("http://twitter.com/download/iphone","Twitter for iPhone")</f>
        <v>Twitter for iPhone</v>
      </c>
      <c r="L1037" s="15">
        <v>677.0</v>
      </c>
      <c r="M1037" s="15">
        <v>523.0</v>
      </c>
      <c r="N1037" s="15">
        <v>9.0</v>
      </c>
      <c r="O1037" s="16"/>
      <c r="P1037" s="17">
        <v>42931.746354166666</v>
      </c>
      <c r="Q1037" s="10" t="s">
        <v>95</v>
      </c>
      <c r="R1037" s="10" t="s">
        <v>4677</v>
      </c>
      <c r="S1037" s="11" t="s">
        <v>4678</v>
      </c>
      <c r="T1037" s="13"/>
      <c r="U1037" s="18" t="str">
        <f>HYPERLINK("https://pbs.twimg.com/profile_images/1115645972460244992/k8g3j6_D.png","View")</f>
        <v>View</v>
      </c>
      <c r="V1037" s="13"/>
      <c r="W1037" s="13"/>
      <c r="X1037" s="13"/>
      <c r="Y1037" s="13"/>
      <c r="Z1037" s="13"/>
    </row>
    <row r="1038">
      <c r="A1038" s="8">
        <v>43848.52510416666</v>
      </c>
      <c r="B1038" s="9" t="str">
        <f>HYPERLINK("https://twitter.com/TalkOutLoud_","@TalkOutLoud_")</f>
        <v>@TalkOutLoud_</v>
      </c>
      <c r="C1038" s="10" t="s">
        <v>4679</v>
      </c>
      <c r="D1038" s="10" t="s">
        <v>4680</v>
      </c>
      <c r="E1038" s="9" t="str">
        <f>HYPERLINK("https://twitter.com/TalkOutLoud_/status/1218587896007053315","1218587896007053315")</f>
        <v>1218587896007053315</v>
      </c>
      <c r="F1038" s="13"/>
      <c r="G1038" s="11" t="s">
        <v>4075</v>
      </c>
      <c r="H1038" s="13"/>
      <c r="I1038" s="14">
        <v>3.0</v>
      </c>
      <c r="J1038" s="14">
        <v>10.0</v>
      </c>
      <c r="K1038" s="9" t="str">
        <f t="shared" si="125"/>
        <v>Twitter for iPhone</v>
      </c>
      <c r="L1038" s="15">
        <v>480.0</v>
      </c>
      <c r="M1038" s="15">
        <v>132.0</v>
      </c>
      <c r="N1038" s="15">
        <v>9.0</v>
      </c>
      <c r="O1038" s="16"/>
      <c r="P1038" s="17">
        <v>41141.4483912037</v>
      </c>
      <c r="Q1038" s="13"/>
      <c r="R1038" s="10" t="s">
        <v>4681</v>
      </c>
      <c r="S1038" s="11" t="s">
        <v>4682</v>
      </c>
      <c r="T1038" s="13"/>
      <c r="U1038" s="18" t="str">
        <f>HYPERLINK("https://pbs.twimg.com/profile_images/1050005643103522816/8cQ402Wj.jpg","View")</f>
        <v>View</v>
      </c>
      <c r="V1038" s="13"/>
      <c r="W1038" s="13"/>
      <c r="X1038" s="13"/>
      <c r="Y1038" s="13"/>
      <c r="Z1038" s="13"/>
    </row>
    <row r="1039">
      <c r="A1039" s="8">
        <v>43848.5250462963</v>
      </c>
      <c r="B1039" s="9" t="str">
        <f>HYPERLINK("https://twitter.com/RachiieCohen","@RachiieCohen")</f>
        <v>@RachiieCohen</v>
      </c>
      <c r="C1039" s="10" t="s">
        <v>4683</v>
      </c>
      <c r="D1039" s="10" t="s">
        <v>4684</v>
      </c>
      <c r="E1039" s="9" t="str">
        <f>HYPERLINK("https://twitter.com/RachiieCohen/status/1218587875438223362","1218587875438223362")</f>
        <v>1218587875438223362</v>
      </c>
      <c r="F1039" s="11" t="s">
        <v>4685</v>
      </c>
      <c r="G1039" s="13"/>
      <c r="H1039" s="13"/>
      <c r="I1039" s="14">
        <v>0.0</v>
      </c>
      <c r="J1039" s="14">
        <v>0.0</v>
      </c>
      <c r="K1039" s="9" t="str">
        <f>HYPERLINK("http://www.twitter.com","Zolushka4Rachel")</f>
        <v>Zolushka4Rachel</v>
      </c>
      <c r="L1039" s="15">
        <v>8535.0</v>
      </c>
      <c r="M1039" s="15">
        <v>6059.0</v>
      </c>
      <c r="N1039" s="15">
        <v>442.0</v>
      </c>
      <c r="O1039" s="16"/>
      <c r="P1039" s="17">
        <v>41763.34075231481</v>
      </c>
      <c r="Q1039" s="10" t="s">
        <v>73</v>
      </c>
      <c r="R1039" s="10" t="s">
        <v>4686</v>
      </c>
      <c r="S1039" s="11" t="s">
        <v>4687</v>
      </c>
      <c r="T1039" s="13"/>
      <c r="U1039" s="18" t="str">
        <f>HYPERLINK("https://pbs.twimg.com/profile_images/756263226493415424/AoKM7nyX.jpg","View")</f>
        <v>View</v>
      </c>
      <c r="V1039" s="13"/>
      <c r="W1039" s="13"/>
      <c r="X1039" s="13"/>
      <c r="Y1039" s="13"/>
      <c r="Z1039" s="13"/>
    </row>
    <row r="1040">
      <c r="A1040" s="8">
        <v>43848.52465277778</v>
      </c>
      <c r="B1040" s="9" t="str">
        <f>HYPERLINK("https://twitter.com/shellypetite","@shellypetite")</f>
        <v>@shellypetite</v>
      </c>
      <c r="C1040" s="10" t="s">
        <v>4688</v>
      </c>
      <c r="D1040" s="10" t="s">
        <v>4689</v>
      </c>
      <c r="E1040" s="9" t="str">
        <f>HYPERLINK("https://twitter.com/shellypetite/status/1218587734492639232","1218587734492639232")</f>
        <v>1218587734492639232</v>
      </c>
      <c r="F1040" s="11" t="s">
        <v>4690</v>
      </c>
      <c r="G1040" s="11" t="s">
        <v>4691</v>
      </c>
      <c r="H1040" s="13"/>
      <c r="I1040" s="14">
        <v>0.0</v>
      </c>
      <c r="J1040" s="14">
        <v>0.0</v>
      </c>
      <c r="K1040" s="9" t="str">
        <f>HYPERLINK("http://twitter.com/download/iphone","Twitter for iPhone")</f>
        <v>Twitter for iPhone</v>
      </c>
      <c r="L1040" s="15">
        <v>793.0</v>
      </c>
      <c r="M1040" s="15">
        <v>1598.0</v>
      </c>
      <c r="N1040" s="15">
        <v>16.0</v>
      </c>
      <c r="O1040" s="16"/>
      <c r="P1040" s="17">
        <v>40947.56725694444</v>
      </c>
      <c r="Q1040" s="10" t="s">
        <v>4692</v>
      </c>
      <c r="R1040" s="10" t="s">
        <v>4693</v>
      </c>
      <c r="S1040" s="11" t="s">
        <v>4694</v>
      </c>
      <c r="T1040" s="13"/>
      <c r="U1040" s="18" t="str">
        <f>HYPERLINK("https://pbs.twimg.com/profile_images/1083068595398045698/-S0Dh4sO.jpg","View")</f>
        <v>View</v>
      </c>
      <c r="V1040" s="13"/>
      <c r="W1040" s="13"/>
      <c r="X1040" s="13"/>
      <c r="Y1040" s="13"/>
      <c r="Z1040" s="13"/>
    </row>
    <row r="1041">
      <c r="A1041" s="8">
        <v>43848.524606481486</v>
      </c>
      <c r="B1041" s="9" t="str">
        <f>HYPERLINK("https://twitter.com/maureen_busby","@maureen_busby")</f>
        <v>@maureen_busby</v>
      </c>
      <c r="C1041" s="10" t="s">
        <v>4695</v>
      </c>
      <c r="D1041" s="10" t="s">
        <v>4696</v>
      </c>
      <c r="E1041" s="9" t="str">
        <f>HYPERLINK("https://twitter.com/maureen_busby/status/1218587718399250434","1218587718399250434")</f>
        <v>1218587718399250434</v>
      </c>
      <c r="F1041" s="13"/>
      <c r="G1041" s="11" t="s">
        <v>4697</v>
      </c>
      <c r="H1041" s="13"/>
      <c r="I1041" s="14">
        <v>0.0</v>
      </c>
      <c r="J1041" s="14">
        <v>0.0</v>
      </c>
      <c r="K1041" s="9" t="str">
        <f>HYPERLINK("http://twitter.com/#!/download/ipad","Twitter for iPad")</f>
        <v>Twitter for iPad</v>
      </c>
      <c r="L1041" s="15">
        <v>1682.0</v>
      </c>
      <c r="M1041" s="15">
        <v>4877.0</v>
      </c>
      <c r="N1041" s="15">
        <v>8.0</v>
      </c>
      <c r="O1041" s="16"/>
      <c r="P1041" s="17">
        <v>43373.53041666667</v>
      </c>
      <c r="Q1041" s="10" t="s">
        <v>4698</v>
      </c>
      <c r="R1041" s="10" t="s">
        <v>4699</v>
      </c>
      <c r="S1041" s="11" t="s">
        <v>4700</v>
      </c>
      <c r="T1041" s="13"/>
      <c r="U1041" s="18" t="str">
        <f>HYPERLINK("https://pbs.twimg.com/profile_images/1217856701468160000/lcS7D7UQ.jpg","View")</f>
        <v>View</v>
      </c>
      <c r="V1041" s="13"/>
      <c r="W1041" s="13"/>
      <c r="X1041" s="13"/>
      <c r="Y1041" s="13"/>
      <c r="Z1041" s="13"/>
    </row>
    <row r="1042">
      <c r="A1042" s="8">
        <v>43848.52429398148</v>
      </c>
      <c r="B1042" s="9" t="str">
        <f>HYPERLINK("https://twitter.com/StateOfMental1","@StateOfMental1")</f>
        <v>@StateOfMental1</v>
      </c>
      <c r="C1042" s="10" t="s">
        <v>4701</v>
      </c>
      <c r="D1042" s="10" t="s">
        <v>4702</v>
      </c>
      <c r="E1042" s="9" t="str">
        <f>HYPERLINK("https://twitter.com/StateOfMental1/status/1218587601755627520","1218587601755627520")</f>
        <v>1218587601755627520</v>
      </c>
      <c r="F1042" s="13"/>
      <c r="G1042" s="13"/>
      <c r="H1042" s="13"/>
      <c r="I1042" s="14">
        <v>1.0</v>
      </c>
      <c r="J1042" s="14">
        <v>0.0</v>
      </c>
      <c r="K1042" s="9" t="str">
        <f>HYPERLINK("http://twitter.com/download/iphone","Twitter for iPhone")</f>
        <v>Twitter for iPhone</v>
      </c>
      <c r="L1042" s="15">
        <v>168.0</v>
      </c>
      <c r="M1042" s="15">
        <v>358.0</v>
      </c>
      <c r="N1042" s="15">
        <v>0.0</v>
      </c>
      <c r="O1042" s="16"/>
      <c r="P1042" s="17">
        <v>43699.56307870371</v>
      </c>
      <c r="Q1042" s="10" t="s">
        <v>4703</v>
      </c>
      <c r="R1042" s="10" t="s">
        <v>4704</v>
      </c>
      <c r="S1042" s="13"/>
      <c r="T1042" s="13"/>
      <c r="U1042" s="18" t="str">
        <f>HYPERLINK("https://pbs.twimg.com/profile_images/1179136327008362497/ZfrzeECl.jpg","View")</f>
        <v>View</v>
      </c>
      <c r="V1042" s="13"/>
      <c r="W1042" s="13"/>
      <c r="X1042" s="13"/>
      <c r="Y1042" s="13"/>
      <c r="Z1042" s="13"/>
    </row>
    <row r="1043">
      <c r="A1043" s="8">
        <v>43848.52400462963</v>
      </c>
      <c r="B1043" s="9" t="str">
        <f>HYPERLINK("https://twitter.com/StopStigmaSac","@StopStigmaSac")</f>
        <v>@StopStigmaSac</v>
      </c>
      <c r="C1043" s="10" t="s">
        <v>4705</v>
      </c>
      <c r="D1043" s="10" t="s">
        <v>4706</v>
      </c>
      <c r="E1043" s="9" t="str">
        <f>HYPERLINK("https://twitter.com/StopStigmaSac/status/1218587499255099392","1218587499255099392")</f>
        <v>1218587499255099392</v>
      </c>
      <c r="F1043" s="11" t="s">
        <v>4707</v>
      </c>
      <c r="G1043" s="13"/>
      <c r="H1043" s="13"/>
      <c r="I1043" s="14">
        <v>0.0</v>
      </c>
      <c r="J1043" s="14">
        <v>0.0</v>
      </c>
      <c r="K1043" s="9" t="str">
        <f>HYPERLINK("https://mobile.twitter.com","Twitter Web App")</f>
        <v>Twitter Web App</v>
      </c>
      <c r="L1043" s="15">
        <v>786.0</v>
      </c>
      <c r="M1043" s="15">
        <v>258.0</v>
      </c>
      <c r="N1043" s="15">
        <v>19.0</v>
      </c>
      <c r="O1043" s="16"/>
      <c r="P1043" s="17">
        <v>40926.726956018516</v>
      </c>
      <c r="Q1043" s="10" t="s">
        <v>4708</v>
      </c>
      <c r="R1043" s="10" t="s">
        <v>4709</v>
      </c>
      <c r="S1043" s="11" t="s">
        <v>4710</v>
      </c>
      <c r="T1043" s="13"/>
      <c r="U1043" s="18" t="str">
        <f>HYPERLINK("https://pbs.twimg.com/profile_images/611961059847475200/mTkU-gff.png","View")</f>
        <v>View</v>
      </c>
      <c r="V1043" s="13"/>
      <c r="W1043" s="13"/>
      <c r="X1043" s="13"/>
      <c r="Y1043" s="13"/>
      <c r="Z1043" s="13"/>
    </row>
    <row r="1044">
      <c r="A1044" s="8">
        <v>43848.52369212963</v>
      </c>
      <c r="B1044" s="9" t="str">
        <f>HYPERLINK("https://twitter.com/Transamforty","@Transamforty")</f>
        <v>@Transamforty</v>
      </c>
      <c r="C1044" s="10" t="s">
        <v>4711</v>
      </c>
      <c r="D1044" s="10" t="s">
        <v>4712</v>
      </c>
      <c r="E1044" s="9" t="str">
        <f>HYPERLINK("https://twitter.com/Transamforty/status/1218587384058695692","1218587384058695692")</f>
        <v>1218587384058695692</v>
      </c>
      <c r="F1044" s="13"/>
      <c r="G1044" s="11" t="s">
        <v>4713</v>
      </c>
      <c r="H1044" s="13"/>
      <c r="I1044" s="14">
        <v>3.0</v>
      </c>
      <c r="J1044" s="14">
        <v>3.0</v>
      </c>
      <c r="K1044" s="9" t="str">
        <f>HYPERLINK("http://twitter.com/download/iphone","Twitter for iPhone")</f>
        <v>Twitter for iPhone</v>
      </c>
      <c r="L1044" s="15">
        <v>11.0</v>
      </c>
      <c r="M1044" s="15">
        <v>75.0</v>
      </c>
      <c r="N1044" s="15">
        <v>0.0</v>
      </c>
      <c r="O1044" s="16"/>
      <c r="P1044" s="17">
        <v>43666.16315972222</v>
      </c>
      <c r="Q1044" s="10" t="s">
        <v>1324</v>
      </c>
      <c r="R1044" s="10" t="s">
        <v>4714</v>
      </c>
      <c r="S1044" s="11" t="s">
        <v>4715</v>
      </c>
      <c r="T1044" s="13"/>
      <c r="U1044" s="18" t="str">
        <f>HYPERLINK("https://pbs.twimg.com/profile_images/1199363420639895552/V_Uqe_Bi.jpg","View")</f>
        <v>View</v>
      </c>
      <c r="V1044" s="13"/>
      <c r="W1044" s="13"/>
      <c r="X1044" s="13"/>
      <c r="Y1044" s="13"/>
      <c r="Z1044" s="13"/>
    </row>
    <row r="1045">
      <c r="A1045" s="8">
        <v>43848.52359953704</v>
      </c>
      <c r="B1045" s="9" t="str">
        <f>HYPERLINK("https://twitter.com/lauripoldre","@lauripoldre")</f>
        <v>@lauripoldre</v>
      </c>
      <c r="C1045" s="10" t="s">
        <v>4716</v>
      </c>
      <c r="D1045" s="10" t="s">
        <v>4717</v>
      </c>
      <c r="E1045" s="9" t="str">
        <f>HYPERLINK("https://twitter.com/lauripoldre/status/1218587350437023744","1218587350437023744")</f>
        <v>1218587350437023744</v>
      </c>
      <c r="F1045" s="13"/>
      <c r="G1045" s="11" t="s">
        <v>4718</v>
      </c>
      <c r="H1045" s="13"/>
      <c r="I1045" s="14">
        <v>0.0</v>
      </c>
      <c r="J1045" s="14">
        <v>0.0</v>
      </c>
      <c r="K1045" s="9" t="str">
        <f>HYPERLINK("https://mobile.twitter.com","Twitter Web App")</f>
        <v>Twitter Web App</v>
      </c>
      <c r="L1045" s="15">
        <v>2493.0</v>
      </c>
      <c r="M1045" s="15">
        <v>1862.0</v>
      </c>
      <c r="N1045" s="15">
        <v>54.0</v>
      </c>
      <c r="O1045" s="16"/>
      <c r="P1045" s="17">
        <v>42571.92189814815</v>
      </c>
      <c r="Q1045" s="10" t="s">
        <v>2050</v>
      </c>
      <c r="R1045" s="10" t="s">
        <v>4719</v>
      </c>
      <c r="S1045" s="11" t="s">
        <v>4720</v>
      </c>
      <c r="T1045" s="13"/>
      <c r="U1045" s="18" t="str">
        <f>HYPERLINK("https://pbs.twimg.com/profile_images/1169252535842091009/bRAaqkap.jpg","View")</f>
        <v>View</v>
      </c>
      <c r="V1045" s="13"/>
      <c r="W1045" s="13"/>
      <c r="X1045" s="13"/>
      <c r="Y1045" s="13"/>
      <c r="Z1045" s="13"/>
    </row>
    <row r="1046">
      <c r="A1046" s="8">
        <v>43848.52337962963</v>
      </c>
      <c r="B1046" s="9" t="str">
        <f>HYPERLINK("https://twitter.com/BenKroff","@BenKroff")</f>
        <v>@BenKroff</v>
      </c>
      <c r="C1046" s="10" t="s">
        <v>4721</v>
      </c>
      <c r="D1046" s="10" t="s">
        <v>4722</v>
      </c>
      <c r="E1046" s="9" t="str">
        <f>HYPERLINK("https://twitter.com/BenKroff/status/1218587273714814976","1218587273714814976")</f>
        <v>1218587273714814976</v>
      </c>
      <c r="F1046" s="11" t="s">
        <v>4723</v>
      </c>
      <c r="G1046" s="13"/>
      <c r="H1046" s="13"/>
      <c r="I1046" s="14">
        <v>0.0</v>
      </c>
      <c r="J1046" s="14">
        <v>2.0</v>
      </c>
      <c r="K1046" s="9" t="str">
        <f>HYPERLINK("http://www.linkedin.com/","LinkedIn")</f>
        <v>LinkedIn</v>
      </c>
      <c r="L1046" s="15">
        <v>37.0</v>
      </c>
      <c r="M1046" s="15">
        <v>140.0</v>
      </c>
      <c r="N1046" s="15">
        <v>0.0</v>
      </c>
      <c r="O1046" s="16"/>
      <c r="P1046" s="17">
        <v>43281.77820601852</v>
      </c>
      <c r="Q1046" s="13"/>
      <c r="R1046" s="13"/>
      <c r="S1046" s="13"/>
      <c r="T1046" s="13"/>
      <c r="U1046" s="18" t="str">
        <f>HYPERLINK("https://pbs.twimg.com/profile_images/1013281467588214784/chOYAI5G.jpg","View")</f>
        <v>View</v>
      </c>
      <c r="V1046" s="13"/>
      <c r="W1046" s="13"/>
      <c r="X1046" s="13"/>
      <c r="Y1046" s="13"/>
      <c r="Z1046" s="13"/>
    </row>
    <row r="1047">
      <c r="A1047" s="8">
        <v>43848.52303240741</v>
      </c>
      <c r="B1047" s="9" t="str">
        <f>HYPERLINK("https://twitter.com/asimmeh62761503","@asimmeh62761503")</f>
        <v>@asimmeh62761503</v>
      </c>
      <c r="C1047" s="10" t="s">
        <v>4724</v>
      </c>
      <c r="D1047" s="10" t="s">
        <v>238</v>
      </c>
      <c r="E1047" s="9" t="str">
        <f>HYPERLINK("https://twitter.com/asimmeh62761503/status/1218587145369260032","1218587145369260032")</f>
        <v>1218587145369260032</v>
      </c>
      <c r="F1047" s="13"/>
      <c r="G1047" s="13"/>
      <c r="H1047" s="13"/>
      <c r="I1047" s="14">
        <v>0.0</v>
      </c>
      <c r="J1047" s="14">
        <v>0.0</v>
      </c>
      <c r="K1047" s="9" t="str">
        <f>HYPERLINK("https://mobile.twitter.com","Twitter Web App")</f>
        <v>Twitter Web App</v>
      </c>
      <c r="L1047" s="15">
        <v>572.0</v>
      </c>
      <c r="M1047" s="15">
        <v>855.0</v>
      </c>
      <c r="N1047" s="15">
        <v>0.0</v>
      </c>
      <c r="O1047" s="16"/>
      <c r="P1047" s="17">
        <v>43684.59422453704</v>
      </c>
      <c r="Q1047" s="13"/>
      <c r="R1047" s="13"/>
      <c r="S1047" s="13"/>
      <c r="T1047" s="13"/>
      <c r="U1047" s="18" t="str">
        <f>HYPERLINK("https://pbs.twimg.com/profile_images/1166759794063093762/vENQ2cQw.jpg","View")</f>
        <v>View</v>
      </c>
      <c r="V1047" s="13"/>
      <c r="W1047" s="13"/>
      <c r="X1047" s="13"/>
      <c r="Y1047" s="13"/>
      <c r="Z1047" s="13"/>
    </row>
    <row r="1048">
      <c r="A1048" s="8">
        <v>43848.522893518515</v>
      </c>
      <c r="B1048" s="9" t="str">
        <f>HYPERLINK("https://twitter.com/teenaswager","@teenaswager")</f>
        <v>@teenaswager</v>
      </c>
      <c r="C1048" s="10" t="s">
        <v>428</v>
      </c>
      <c r="D1048" s="10" t="s">
        <v>4725</v>
      </c>
      <c r="E1048" s="9" t="str">
        <f>HYPERLINK("https://twitter.com/teenaswager/status/1218587095205171200","1218587095205171200")</f>
        <v>1218587095205171200</v>
      </c>
      <c r="F1048" s="11" t="s">
        <v>4726</v>
      </c>
      <c r="G1048" s="13"/>
      <c r="H1048" s="13"/>
      <c r="I1048" s="14">
        <v>0.0</v>
      </c>
      <c r="J1048" s="14">
        <v>1.0</v>
      </c>
      <c r="K1048" s="9" t="str">
        <f>HYPERLINK("http://twitter.com/download/iphone","Twitter for iPhone")</f>
        <v>Twitter for iPhone</v>
      </c>
      <c r="L1048" s="15">
        <v>3334.0</v>
      </c>
      <c r="M1048" s="15">
        <v>1930.0</v>
      </c>
      <c r="N1048" s="15">
        <v>274.0</v>
      </c>
      <c r="O1048" s="16"/>
      <c r="P1048" s="17">
        <v>39897.460694444446</v>
      </c>
      <c r="Q1048" s="13"/>
      <c r="R1048" s="10" t="s">
        <v>431</v>
      </c>
      <c r="S1048" s="13"/>
      <c r="T1048" s="13"/>
      <c r="U1048" s="18" t="str">
        <f>HYPERLINK("https://pbs.twimg.com/profile_images/1053715128351256576/8WwfoFpl.jpg","View")</f>
        <v>View</v>
      </c>
      <c r="V1048" s="13"/>
      <c r="W1048" s="13"/>
      <c r="X1048" s="13"/>
      <c r="Y1048" s="13"/>
      <c r="Z1048" s="13"/>
    </row>
    <row r="1049">
      <c r="A1049" s="8">
        <v>43848.52284722222</v>
      </c>
      <c r="B1049" s="9" t="str">
        <f>HYPERLINK("https://twitter.com/MrsBecky_W","@MrsBecky_W")</f>
        <v>@MrsBecky_W</v>
      </c>
      <c r="C1049" s="10" t="s">
        <v>4727</v>
      </c>
      <c r="D1049" s="10" t="s">
        <v>4728</v>
      </c>
      <c r="E1049" s="9" t="str">
        <f>HYPERLINK("https://twitter.com/MrsBecky_W/status/1218587079178969091","1218587079178969091")</f>
        <v>1218587079178969091</v>
      </c>
      <c r="F1049" s="13"/>
      <c r="G1049" s="11" t="s">
        <v>4729</v>
      </c>
      <c r="H1049" s="13"/>
      <c r="I1049" s="14">
        <v>0.0</v>
      </c>
      <c r="J1049" s="14">
        <v>2.0</v>
      </c>
      <c r="K1049" s="9" t="str">
        <f>HYPERLINK("http://twitter.com/download/android","Twitter for Android")</f>
        <v>Twitter for Android</v>
      </c>
      <c r="L1049" s="15">
        <v>23.0</v>
      </c>
      <c r="M1049" s="15">
        <v>31.0</v>
      </c>
      <c r="N1049" s="15">
        <v>0.0</v>
      </c>
      <c r="O1049" s="16"/>
      <c r="P1049" s="17">
        <v>43390.65130787037</v>
      </c>
      <c r="Q1049" s="13"/>
      <c r="R1049" s="13"/>
      <c r="S1049" s="13"/>
      <c r="T1049" s="13"/>
      <c r="U1049" s="18" t="str">
        <f>HYPERLINK("https://pbs.twimg.com/profile_images/1108110506630500353/QUtX4R3N.jpg","View")</f>
        <v>View</v>
      </c>
      <c r="V1049" s="13"/>
      <c r="W1049" s="13"/>
      <c r="X1049" s="13"/>
      <c r="Y1049" s="13"/>
      <c r="Z1049" s="13"/>
    </row>
    <row r="1050">
      <c r="A1050" s="8">
        <v>43848.522685185184</v>
      </c>
      <c r="B1050" s="9" t="str">
        <f>HYPERLINK("https://twitter.com/JanetStanley1","@JanetStanley1")</f>
        <v>@JanetStanley1</v>
      </c>
      <c r="C1050" s="10" t="s">
        <v>4730</v>
      </c>
      <c r="D1050" s="10" t="s">
        <v>4731</v>
      </c>
      <c r="E1050" s="9" t="str">
        <f>HYPERLINK("https://twitter.com/JanetStanley1/status/1218587019355607040","1218587019355607040")</f>
        <v>1218587019355607040</v>
      </c>
      <c r="F1050" s="13"/>
      <c r="G1050" s="11" t="s">
        <v>4732</v>
      </c>
      <c r="H1050" s="13"/>
      <c r="I1050" s="14">
        <v>3.0</v>
      </c>
      <c r="J1050" s="14">
        <v>17.0</v>
      </c>
      <c r="K1050" s="9" t="str">
        <f>HYPERLINK("http://twitter.com/download/iphone","Twitter for iPhone")</f>
        <v>Twitter for iPhone</v>
      </c>
      <c r="L1050" s="15">
        <v>4547.0</v>
      </c>
      <c r="M1050" s="15">
        <v>4997.0</v>
      </c>
      <c r="N1050" s="15">
        <v>354.0</v>
      </c>
      <c r="O1050" s="16"/>
      <c r="P1050" s="17">
        <v>40704.52313657408</v>
      </c>
      <c r="Q1050" s="10" t="s">
        <v>4733</v>
      </c>
      <c r="R1050" s="10" t="s">
        <v>4734</v>
      </c>
      <c r="S1050" s="13"/>
      <c r="T1050" s="13"/>
      <c r="U1050" s="18" t="str">
        <f>HYPERLINK("https://pbs.twimg.com/profile_images/1212326572654551040/kaPrJsua.jpg","View")</f>
        <v>View</v>
      </c>
      <c r="V1050" s="13"/>
      <c r="W1050" s="13"/>
      <c r="X1050" s="13"/>
      <c r="Y1050" s="13"/>
      <c r="Z1050" s="13"/>
    </row>
    <row r="1051">
      <c r="A1051" s="8">
        <v>43848.52223379629</v>
      </c>
      <c r="B1051" s="9" t="str">
        <f>HYPERLINK("https://twitter.com/wellcometrust","@wellcometrust")</f>
        <v>@wellcometrust</v>
      </c>
      <c r="C1051" s="10" t="s">
        <v>4735</v>
      </c>
      <c r="D1051" s="10" t="s">
        <v>4736</v>
      </c>
      <c r="E1051" s="9" t="str">
        <f>HYPERLINK("https://twitter.com/wellcometrust/status/1218586858285912064","1218586858285912064")</f>
        <v>1218586858285912064</v>
      </c>
      <c r="F1051" s="11" t="s">
        <v>4737</v>
      </c>
      <c r="G1051" s="11" t="s">
        <v>4738</v>
      </c>
      <c r="H1051" s="13"/>
      <c r="I1051" s="14">
        <v>9.0</v>
      </c>
      <c r="J1051" s="14">
        <v>16.0</v>
      </c>
      <c r="K1051" s="9" t="str">
        <f>HYPERLINK("https://buffer.com","Buffer")</f>
        <v>Buffer</v>
      </c>
      <c r="L1051" s="15">
        <v>161049.0</v>
      </c>
      <c r="M1051" s="15">
        <v>1905.0</v>
      </c>
      <c r="N1051" s="15">
        <v>2747.0</v>
      </c>
      <c r="O1051" s="21" t="s">
        <v>522</v>
      </c>
      <c r="P1051" s="17">
        <v>39844.77137731481</v>
      </c>
      <c r="Q1051" s="10" t="s">
        <v>2050</v>
      </c>
      <c r="R1051" s="10" t="s">
        <v>4739</v>
      </c>
      <c r="S1051" s="11" t="s">
        <v>4740</v>
      </c>
      <c r="T1051" s="13"/>
      <c r="U1051" s="18" t="str">
        <f>HYPERLINK("https://pbs.twimg.com/profile_images/1161572113725186048/QUVxnPW3.jpg","View")</f>
        <v>View</v>
      </c>
      <c r="V1051" s="13"/>
      <c r="W1051" s="13"/>
      <c r="X1051" s="13"/>
      <c r="Y1051" s="13"/>
      <c r="Z1051" s="13"/>
    </row>
    <row r="1052">
      <c r="A1052" s="8">
        <v>43848.52221064815</v>
      </c>
      <c r="B1052" s="9" t="str">
        <f>HYPERLINK("https://twitter.com/Bipolar_Strong","@Bipolar_Strong")</f>
        <v>@Bipolar_Strong</v>
      </c>
      <c r="C1052" s="10" t="s">
        <v>4741</v>
      </c>
      <c r="D1052" s="10" t="s">
        <v>4742</v>
      </c>
      <c r="E1052" s="9" t="str">
        <f>HYPERLINK("https://twitter.com/Bipolar_Strong/status/1218586850207715329","1218586850207715329")</f>
        <v>1218586850207715329</v>
      </c>
      <c r="F1052" s="13"/>
      <c r="G1052" s="13"/>
      <c r="H1052" s="13"/>
      <c r="I1052" s="14">
        <v>0.0</v>
      </c>
      <c r="J1052" s="14">
        <v>0.0</v>
      </c>
      <c r="K1052" s="9" t="str">
        <f t="shared" ref="K1052:K1053" si="126">HYPERLINK("http://twitter.com/download/iphone","Twitter for iPhone")</f>
        <v>Twitter for iPhone</v>
      </c>
      <c r="L1052" s="15">
        <v>9.0</v>
      </c>
      <c r="M1052" s="15">
        <v>30.0</v>
      </c>
      <c r="N1052" s="15">
        <v>0.0</v>
      </c>
      <c r="O1052" s="16"/>
      <c r="P1052" s="17">
        <v>43827.823472222226</v>
      </c>
      <c r="Q1052" s="10" t="s">
        <v>322</v>
      </c>
      <c r="R1052" s="10" t="s">
        <v>4743</v>
      </c>
      <c r="S1052" s="11" t="s">
        <v>4744</v>
      </c>
      <c r="T1052" s="13"/>
      <c r="U1052" s="18" t="str">
        <f>HYPERLINK("https://pbs.twimg.com/profile_images/1211087746133049344/VM7fk6BX.jpg","View")</f>
        <v>View</v>
      </c>
      <c r="V1052" s="13"/>
      <c r="W1052" s="13"/>
      <c r="X1052" s="13"/>
      <c r="Y1052" s="13"/>
      <c r="Z1052" s="13"/>
    </row>
    <row r="1053">
      <c r="A1053" s="8">
        <v>43848.52211805555</v>
      </c>
      <c r="B1053" s="9" t="str">
        <f>HYPERLINK("https://twitter.com/BelievingBruce","@BelievingBruce")</f>
        <v>@BelievingBruce</v>
      </c>
      <c r="C1053" s="10" t="s">
        <v>4745</v>
      </c>
      <c r="D1053" s="10" t="s">
        <v>4746</v>
      </c>
      <c r="E1053" s="9" t="str">
        <f>HYPERLINK("https://twitter.com/BelievingBruce/status/1218586812714754048","1218586812714754048")</f>
        <v>1218586812714754048</v>
      </c>
      <c r="F1053" s="13"/>
      <c r="G1053" s="11" t="s">
        <v>4747</v>
      </c>
      <c r="H1053" s="13"/>
      <c r="I1053" s="14">
        <v>0.0</v>
      </c>
      <c r="J1053" s="14">
        <v>4.0</v>
      </c>
      <c r="K1053" s="9" t="str">
        <f t="shared" si="126"/>
        <v>Twitter for iPhone</v>
      </c>
      <c r="L1053" s="15">
        <v>420.0</v>
      </c>
      <c r="M1053" s="15">
        <v>15.0</v>
      </c>
      <c r="N1053" s="15">
        <v>0.0</v>
      </c>
      <c r="O1053" s="16"/>
      <c r="P1053" s="17">
        <v>43372.255636574075</v>
      </c>
      <c r="Q1053" s="11" t="s">
        <v>4748</v>
      </c>
      <c r="R1053" s="10" t="s">
        <v>4749</v>
      </c>
      <c r="S1053" s="11" t="s">
        <v>4750</v>
      </c>
      <c r="T1053" s="13"/>
      <c r="U1053" s="18" t="str">
        <f>HYPERLINK("https://pbs.twimg.com/profile_images/1194226418470793216/jrpi3I5k.jpg","View")</f>
        <v>View</v>
      </c>
      <c r="V1053" s="13"/>
      <c r="W1053" s="13"/>
      <c r="X1053" s="13"/>
      <c r="Y1053" s="13"/>
      <c r="Z1053" s="13"/>
    </row>
    <row r="1054">
      <c r="A1054" s="8">
        <v>43848.52204861111</v>
      </c>
      <c r="B1054" s="9" t="str">
        <f>HYPERLINK("https://twitter.com/krgpryal","@krgpryal")</f>
        <v>@krgpryal</v>
      </c>
      <c r="C1054" s="10" t="s">
        <v>4751</v>
      </c>
      <c r="D1054" s="10" t="s">
        <v>4752</v>
      </c>
      <c r="E1054" s="9" t="str">
        <f>HYPERLINK("https://twitter.com/krgpryal/status/1218586789474074625","1218586789474074625")</f>
        <v>1218586789474074625</v>
      </c>
      <c r="F1054" s="11" t="s">
        <v>4753</v>
      </c>
      <c r="G1054" s="13"/>
      <c r="H1054" s="13"/>
      <c r="I1054" s="14">
        <v>0.0</v>
      </c>
      <c r="J1054" s="14">
        <v>1.0</v>
      </c>
      <c r="K1054" s="9" t="str">
        <f>HYPERLINK("https://katieroseguestpryal.com","Revive Old Posts KRGP")</f>
        <v>Revive Old Posts KRGP</v>
      </c>
      <c r="L1054" s="15">
        <v>5173.0</v>
      </c>
      <c r="M1054" s="15">
        <v>1981.0</v>
      </c>
      <c r="N1054" s="15">
        <v>185.0</v>
      </c>
      <c r="O1054" s="21" t="s">
        <v>522</v>
      </c>
      <c r="P1054" s="17">
        <v>40765.55736111111</v>
      </c>
      <c r="Q1054" s="10" t="s">
        <v>4754</v>
      </c>
      <c r="R1054" s="10" t="s">
        <v>4755</v>
      </c>
      <c r="S1054" s="11" t="s">
        <v>4756</v>
      </c>
      <c r="T1054" s="13"/>
      <c r="U1054" s="18" t="str">
        <f>HYPERLINK("https://pbs.twimg.com/profile_images/1202685894945361926/2N4M28QK.jpg","View")</f>
        <v>View</v>
      </c>
      <c r="V1054" s="13"/>
      <c r="W1054" s="13"/>
      <c r="X1054" s="13"/>
      <c r="Y1054" s="13"/>
      <c r="Z1054" s="13"/>
    </row>
    <row r="1055">
      <c r="A1055" s="8">
        <v>43848.521631944444</v>
      </c>
      <c r="B1055" s="9" t="str">
        <f>HYPERLINK("https://twitter.com/audasiter","@audasiter")</f>
        <v>@audasiter</v>
      </c>
      <c r="C1055" s="10" t="s">
        <v>4757</v>
      </c>
      <c r="D1055" s="10" t="s">
        <v>238</v>
      </c>
      <c r="E1055" s="9" t="str">
        <f>HYPERLINK("https://twitter.com/audasiter/status/1218586639120748545","1218586639120748545")</f>
        <v>1218586639120748545</v>
      </c>
      <c r="F1055" s="13"/>
      <c r="G1055" s="13"/>
      <c r="H1055" s="13"/>
      <c r="I1055" s="14">
        <v>0.0</v>
      </c>
      <c r="J1055" s="14">
        <v>0.0</v>
      </c>
      <c r="K1055" s="9" t="str">
        <f>HYPERLINK("http://twitter.com/#!/download/ipad","Twitter for iPad")</f>
        <v>Twitter for iPad</v>
      </c>
      <c r="L1055" s="15">
        <v>31.0</v>
      </c>
      <c r="M1055" s="15">
        <v>124.0</v>
      </c>
      <c r="N1055" s="15">
        <v>5.0</v>
      </c>
      <c r="O1055" s="16"/>
      <c r="P1055" s="17">
        <v>40695.96115740741</v>
      </c>
      <c r="Q1055" s="13"/>
      <c r="R1055" s="13"/>
      <c r="S1055" s="13"/>
      <c r="T1055" s="13"/>
      <c r="U1055" s="21" t="s">
        <v>292</v>
      </c>
      <c r="V1055" s="13"/>
      <c r="W1055" s="13"/>
      <c r="X1055" s="13"/>
      <c r="Y1055" s="13"/>
      <c r="Z1055" s="13"/>
    </row>
    <row r="1056">
      <c r="A1056" s="8">
        <v>43848.52149305555</v>
      </c>
      <c r="B1056" s="9" t="str">
        <f>HYPERLINK("https://twitter.com/KiranKTweets","@KiranKTweets")</f>
        <v>@KiranKTweets</v>
      </c>
      <c r="C1056" s="10" t="s">
        <v>4758</v>
      </c>
      <c r="D1056" s="10" t="s">
        <v>4759</v>
      </c>
      <c r="E1056" s="9" t="str">
        <f>HYPERLINK("https://twitter.com/KiranKTweets/status/1218586587082240001","1218586587082240001")</f>
        <v>1218586587082240001</v>
      </c>
      <c r="F1056" s="13"/>
      <c r="G1056" s="11" t="s">
        <v>4760</v>
      </c>
      <c r="H1056" s="13"/>
      <c r="I1056" s="14">
        <v>0.0</v>
      </c>
      <c r="J1056" s="14">
        <v>0.0</v>
      </c>
      <c r="K1056" s="9" t="str">
        <f>HYPERLINK("http://twitter.com/download/iphone","Twitter for iPhone")</f>
        <v>Twitter for iPhone</v>
      </c>
      <c r="L1056" s="15">
        <v>45.0</v>
      </c>
      <c r="M1056" s="15">
        <v>54.0</v>
      </c>
      <c r="N1056" s="15">
        <v>0.0</v>
      </c>
      <c r="O1056" s="16"/>
      <c r="P1056" s="17">
        <v>43030.35035879629</v>
      </c>
      <c r="Q1056" s="10" t="s">
        <v>1324</v>
      </c>
      <c r="R1056" s="10" t="s">
        <v>4761</v>
      </c>
      <c r="S1056" s="11" t="s">
        <v>4762</v>
      </c>
      <c r="T1056" s="13"/>
      <c r="U1056" s="18" t="str">
        <f>HYPERLINK("https://pbs.twimg.com/profile_images/1167126984012587008/iC8tQLXY.jpg","View")</f>
        <v>View</v>
      </c>
      <c r="V1056" s="13"/>
      <c r="W1056" s="13"/>
      <c r="X1056" s="13"/>
      <c r="Y1056" s="13"/>
      <c r="Z1056" s="13"/>
    </row>
    <row r="1057">
      <c r="A1057" s="8">
        <v>43848.52111111111</v>
      </c>
      <c r="B1057" s="9" t="str">
        <f>HYPERLINK("https://twitter.com/DiabeticCyborgg","@DiabeticCyborgg")</f>
        <v>@DiabeticCyborgg</v>
      </c>
      <c r="C1057" s="10" t="s">
        <v>4763</v>
      </c>
      <c r="D1057" s="10" t="s">
        <v>4764</v>
      </c>
      <c r="E1057" s="9" t="str">
        <f>HYPERLINK("https://twitter.com/DiabeticCyborgg/status/1218586448145895424","1218586448145895424")</f>
        <v>1218586448145895424</v>
      </c>
      <c r="F1057" s="11" t="s">
        <v>4765</v>
      </c>
      <c r="G1057" s="13"/>
      <c r="H1057" s="13"/>
      <c r="I1057" s="14">
        <v>0.0</v>
      </c>
      <c r="J1057" s="14">
        <v>0.0</v>
      </c>
      <c r="K1057" s="9" t="str">
        <f>HYPERLINK("http://twitter.com","Twitter Web Client")</f>
        <v>Twitter Web Client</v>
      </c>
      <c r="L1057" s="15">
        <v>6286.0</v>
      </c>
      <c r="M1057" s="15">
        <v>4734.0</v>
      </c>
      <c r="N1057" s="15">
        <v>2055.0</v>
      </c>
      <c r="O1057" s="16"/>
      <c r="P1057" s="17">
        <v>39533.70361111111</v>
      </c>
      <c r="Q1057" s="10" t="s">
        <v>4766</v>
      </c>
      <c r="R1057" s="10" t="s">
        <v>4767</v>
      </c>
      <c r="S1057" s="11" t="s">
        <v>4768</v>
      </c>
      <c r="T1057" s="13"/>
      <c r="U1057" s="18" t="str">
        <f>HYPERLINK("https://pbs.twimg.com/profile_images/801142830525579265/UFmfigEW.jpg","View")</f>
        <v>View</v>
      </c>
      <c r="V1057" s="13"/>
      <c r="W1057" s="13"/>
      <c r="X1057" s="13"/>
      <c r="Y1057" s="13"/>
      <c r="Z1057" s="13"/>
    </row>
    <row r="1058">
      <c r="A1058" s="8">
        <v>43848.52108796296</v>
      </c>
      <c r="B1058" s="9" t="str">
        <f>HYPERLINK("https://twitter.com/cbd_nutrition","@cbd_nutrition")</f>
        <v>@cbd_nutrition</v>
      </c>
      <c r="C1058" s="10" t="s">
        <v>4769</v>
      </c>
      <c r="D1058" s="10" t="s">
        <v>4770</v>
      </c>
      <c r="E1058" s="9" t="str">
        <f>HYPERLINK("https://twitter.com/cbd_nutrition/status/1218586442013839360","1218586442013839360")</f>
        <v>1218586442013839360</v>
      </c>
      <c r="F1058" s="13"/>
      <c r="G1058" s="11" t="s">
        <v>4771</v>
      </c>
      <c r="H1058" s="13"/>
      <c r="I1058" s="14">
        <v>0.0</v>
      </c>
      <c r="J1058" s="14">
        <v>2.0</v>
      </c>
      <c r="K1058" s="9" t="str">
        <f>HYPERLINK("https://www.hootsuite.com","Hootsuite Inc.")</f>
        <v>Hootsuite Inc.</v>
      </c>
      <c r="L1058" s="15">
        <v>1456.0</v>
      </c>
      <c r="M1058" s="15">
        <v>4823.0</v>
      </c>
      <c r="N1058" s="15">
        <v>3.0</v>
      </c>
      <c r="O1058" s="16"/>
      <c r="P1058" s="17">
        <v>43096.170636574076</v>
      </c>
      <c r="Q1058" s="10" t="s">
        <v>4772</v>
      </c>
      <c r="R1058" s="10" t="s">
        <v>4773</v>
      </c>
      <c r="S1058" s="11" t="s">
        <v>4774</v>
      </c>
      <c r="T1058" s="13"/>
      <c r="U1058" s="18" t="str">
        <f>HYPERLINK("https://pbs.twimg.com/profile_images/1072384666773131264/a6z8N_Y6.jpg","View")</f>
        <v>View</v>
      </c>
      <c r="V1058" s="13"/>
      <c r="W1058" s="13"/>
      <c r="X1058" s="13"/>
      <c r="Y1058" s="13"/>
      <c r="Z1058" s="13"/>
    </row>
    <row r="1059">
      <c r="A1059" s="8">
        <v>43848.52107638889</v>
      </c>
      <c r="B1059" s="9" t="str">
        <f>HYPERLINK("https://twitter.com/LindseyBoylan","@LindseyBoylan")</f>
        <v>@LindseyBoylan</v>
      </c>
      <c r="C1059" s="10" t="s">
        <v>4775</v>
      </c>
      <c r="D1059" s="10" t="s">
        <v>4776</v>
      </c>
      <c r="E1059" s="9" t="str">
        <f>HYPERLINK("https://twitter.com/LindseyBoylan/status/1218586435013480448","1218586435013480448")</f>
        <v>1218586435013480448</v>
      </c>
      <c r="F1059" s="10" t="s">
        <v>4777</v>
      </c>
      <c r="G1059" s="13"/>
      <c r="H1059" s="13"/>
      <c r="I1059" s="14">
        <v>1.0</v>
      </c>
      <c r="J1059" s="14">
        <v>16.0</v>
      </c>
      <c r="K1059" s="9" t="str">
        <f>HYPERLINK("http://twitter.com/download/iphone","Twitter for iPhone")</f>
        <v>Twitter for iPhone</v>
      </c>
      <c r="L1059" s="15">
        <v>18007.0</v>
      </c>
      <c r="M1059" s="15">
        <v>2922.0</v>
      </c>
      <c r="N1059" s="15">
        <v>105.0</v>
      </c>
      <c r="O1059" s="21" t="s">
        <v>522</v>
      </c>
      <c r="P1059" s="17">
        <v>42689.43305555556</v>
      </c>
      <c r="Q1059" s="10" t="s">
        <v>4778</v>
      </c>
      <c r="R1059" s="10" t="s">
        <v>4779</v>
      </c>
      <c r="S1059" s="11" t="s">
        <v>4780</v>
      </c>
      <c r="T1059" s="13"/>
      <c r="U1059" s="18" t="str">
        <f>HYPERLINK("https://pbs.twimg.com/profile_images/1199434870180724741/tno9BNoT.jpg","View")</f>
        <v>View</v>
      </c>
      <c r="V1059" s="13"/>
      <c r="W1059" s="13"/>
      <c r="X1059" s="13"/>
      <c r="Y1059" s="13"/>
      <c r="Z1059" s="13"/>
    </row>
    <row r="1060">
      <c r="A1060" s="8">
        <v>43848.52092592593</v>
      </c>
      <c r="B1060" s="9" t="str">
        <f>HYPERLINK("https://twitter.com/flawlessgrats","@flawlessgrats")</f>
        <v>@flawlessgrats</v>
      </c>
      <c r="C1060" s="10" t="s">
        <v>4781</v>
      </c>
      <c r="D1060" s="10" t="s">
        <v>4782</v>
      </c>
      <c r="E1060" s="9" t="str">
        <f>HYPERLINK("https://twitter.com/flawlessgrats/status/1218586381666136069","1218586381666136069")</f>
        <v>1218586381666136069</v>
      </c>
      <c r="F1060" s="13"/>
      <c r="G1060" s="11" t="s">
        <v>4783</v>
      </c>
      <c r="H1060" s="13"/>
      <c r="I1060" s="14">
        <v>3.0</v>
      </c>
      <c r="J1060" s="14">
        <v>14.0</v>
      </c>
      <c r="K1060" s="9" t="str">
        <f>HYPERLINK("https://www.hootsuite.com","Hootsuite Inc.")</f>
        <v>Hootsuite Inc.</v>
      </c>
      <c r="L1060" s="15">
        <v>24940.0</v>
      </c>
      <c r="M1060" s="15">
        <v>2370.0</v>
      </c>
      <c r="N1060" s="15">
        <v>209.0</v>
      </c>
      <c r="O1060" s="16"/>
      <c r="P1060" s="17">
        <v>40015.93653935185</v>
      </c>
      <c r="Q1060" s="10" t="s">
        <v>3116</v>
      </c>
      <c r="R1060" s="10" t="s">
        <v>4784</v>
      </c>
      <c r="S1060" s="11" t="s">
        <v>4785</v>
      </c>
      <c r="T1060" s="13"/>
      <c r="U1060" s="18" t="str">
        <f>HYPERLINK("https://pbs.twimg.com/profile_images/604389323467677697/Mb0IUjsb.png","View")</f>
        <v>View</v>
      </c>
      <c r="V1060" s="13"/>
      <c r="W1060" s="13"/>
      <c r="X1060" s="13"/>
      <c r="Y1060" s="13"/>
      <c r="Z1060" s="13"/>
    </row>
    <row r="1061">
      <c r="A1061" s="8">
        <v>43848.520902777775</v>
      </c>
      <c r="B1061" s="9" t="str">
        <f>HYPERLINK("https://twitter.com/wysabuddy","@wysabuddy")</f>
        <v>@wysabuddy</v>
      </c>
      <c r="C1061" s="10" t="s">
        <v>325</v>
      </c>
      <c r="D1061" s="10" t="s">
        <v>4786</v>
      </c>
      <c r="E1061" s="9" t="str">
        <f>HYPERLINK("https://twitter.com/wysabuddy/status/1218586376041586688","1218586376041586688")</f>
        <v>1218586376041586688</v>
      </c>
      <c r="F1061" s="11" t="s">
        <v>327</v>
      </c>
      <c r="G1061" s="11" t="s">
        <v>4787</v>
      </c>
      <c r="H1061" s="13"/>
      <c r="I1061" s="14">
        <v>1.0</v>
      </c>
      <c r="J1061" s="14">
        <v>3.0</v>
      </c>
      <c r="K1061" s="9" t="str">
        <f t="shared" ref="K1061:K1062" si="127">HYPERLINK("https://sproutsocial.com","Sprout Social")</f>
        <v>Sprout Social</v>
      </c>
      <c r="L1061" s="15">
        <v>3943.0</v>
      </c>
      <c r="M1061" s="15">
        <v>981.0</v>
      </c>
      <c r="N1061" s="15">
        <v>163.0</v>
      </c>
      <c r="O1061" s="16"/>
      <c r="P1061" s="17">
        <v>41735.31763888889</v>
      </c>
      <c r="Q1061" s="10" t="s">
        <v>329</v>
      </c>
      <c r="R1061" s="10" t="s">
        <v>330</v>
      </c>
      <c r="S1061" s="11" t="s">
        <v>327</v>
      </c>
      <c r="T1061" s="13"/>
      <c r="U1061" s="18" t="str">
        <f>HYPERLINK("https://pbs.twimg.com/profile_images/986922852900159488/b-suTNS6.jpg","View")</f>
        <v>View</v>
      </c>
      <c r="V1061" s="13"/>
      <c r="W1061" s="13"/>
      <c r="X1061" s="13"/>
      <c r="Y1061" s="13"/>
      <c r="Z1061" s="13"/>
    </row>
    <row r="1062">
      <c r="A1062" s="8">
        <v>43848.520902777775</v>
      </c>
      <c r="B1062" s="9" t="str">
        <f>HYPERLINK("https://twitter.com/HealthyPlace","@HealthyPlace")</f>
        <v>@HealthyPlace</v>
      </c>
      <c r="C1062" s="10" t="s">
        <v>1457</v>
      </c>
      <c r="D1062" s="22" t="s">
        <v>4788</v>
      </c>
      <c r="E1062" s="9" t="str">
        <f>HYPERLINK("https://twitter.com/HealthyPlace/status/1218586372371570688","1218586372371570688")</f>
        <v>1218586372371570688</v>
      </c>
      <c r="F1062" s="11" t="s">
        <v>4789</v>
      </c>
      <c r="G1062" s="13"/>
      <c r="H1062" s="13"/>
      <c r="I1062" s="14">
        <v>0.0</v>
      </c>
      <c r="J1062" s="14">
        <v>0.0</v>
      </c>
      <c r="K1062" s="9" t="str">
        <f t="shared" si="127"/>
        <v>Sprout Social</v>
      </c>
      <c r="L1062" s="15">
        <v>64943.0</v>
      </c>
      <c r="M1062" s="15">
        <v>25049.0</v>
      </c>
      <c r="N1062" s="15">
        <v>1710.0</v>
      </c>
      <c r="O1062" s="16"/>
      <c r="P1062" s="17">
        <v>39681.03928240741</v>
      </c>
      <c r="Q1062" s="10" t="s">
        <v>1460</v>
      </c>
      <c r="R1062" s="10" t="s">
        <v>1461</v>
      </c>
      <c r="S1062" s="11" t="s">
        <v>1462</v>
      </c>
      <c r="T1062" s="13"/>
      <c r="U1062" s="18" t="str">
        <f>HYPERLINK("https://pbs.twimg.com/profile_images/753613454083252225/i5pr2xny.jpg","View")</f>
        <v>View</v>
      </c>
      <c r="V1062" s="13"/>
      <c r="W1062" s="13"/>
      <c r="X1062" s="13"/>
      <c r="Y1062" s="13"/>
      <c r="Z1062" s="13"/>
    </row>
    <row r="1063">
      <c r="A1063" s="8">
        <v>43848.520891203705</v>
      </c>
      <c r="B1063" s="9" t="str">
        <f>HYPERLINK("https://twitter.com/Optimal_C","@Optimal_C")</f>
        <v>@Optimal_C</v>
      </c>
      <c r="C1063" s="10" t="s">
        <v>4790</v>
      </c>
      <c r="D1063" s="10" t="s">
        <v>4791</v>
      </c>
      <c r="E1063" s="9" t="str">
        <f>HYPERLINK("https://twitter.com/Optimal_C/status/1218586370291036161","1218586370291036161")</f>
        <v>1218586370291036161</v>
      </c>
      <c r="F1063" s="11" t="s">
        <v>4792</v>
      </c>
      <c r="G1063" s="13"/>
      <c r="H1063" s="13"/>
      <c r="I1063" s="14">
        <v>0.0</v>
      </c>
      <c r="J1063" s="14">
        <v>0.0</v>
      </c>
      <c r="K1063" s="9" t="str">
        <f>HYPERLINK("http://postplanner.com","Post Planner Inc.")</f>
        <v>Post Planner Inc.</v>
      </c>
      <c r="L1063" s="15">
        <v>15.0</v>
      </c>
      <c r="M1063" s="15">
        <v>38.0</v>
      </c>
      <c r="N1063" s="15">
        <v>0.0</v>
      </c>
      <c r="O1063" s="16"/>
      <c r="P1063" s="17">
        <v>43502.75827546296</v>
      </c>
      <c r="Q1063" s="10" t="s">
        <v>1624</v>
      </c>
      <c r="R1063" s="10" t="s">
        <v>4793</v>
      </c>
      <c r="S1063" s="11" t="s">
        <v>4794</v>
      </c>
      <c r="T1063" s="13"/>
      <c r="U1063" s="18" t="str">
        <f>HYPERLINK("https://pbs.twimg.com/profile_images/1116790052472811520/816OXjc-.png","View")</f>
        <v>View</v>
      </c>
      <c r="V1063" s="13"/>
      <c r="W1063" s="13"/>
      <c r="X1063" s="13"/>
      <c r="Y1063" s="13"/>
      <c r="Z1063" s="13"/>
    </row>
    <row r="1064">
      <c r="A1064" s="8">
        <v>43848.52009259259</v>
      </c>
      <c r="B1064" s="9" t="str">
        <f>HYPERLINK("https://twitter.com/parathumper","@parathumper")</f>
        <v>@parathumper</v>
      </c>
      <c r="C1064" s="10" t="s">
        <v>4795</v>
      </c>
      <c r="D1064" s="10" t="s">
        <v>4796</v>
      </c>
      <c r="E1064" s="9" t="str">
        <f>HYPERLINK("https://twitter.com/parathumper/status/1218586078988455936","1218586078988455936")</f>
        <v>1218586078988455936</v>
      </c>
      <c r="F1064" s="13"/>
      <c r="G1064" s="13"/>
      <c r="H1064" s="13"/>
      <c r="I1064" s="14">
        <v>1.0</v>
      </c>
      <c r="J1064" s="14">
        <v>1.0</v>
      </c>
      <c r="K1064" s="9" t="str">
        <f>HYPERLINK("http://twitter.com/download/android","Twitter for Android")</f>
        <v>Twitter for Android</v>
      </c>
      <c r="L1064" s="15">
        <v>111.0</v>
      </c>
      <c r="M1064" s="15">
        <v>118.0</v>
      </c>
      <c r="N1064" s="15">
        <v>0.0</v>
      </c>
      <c r="O1064" s="16"/>
      <c r="P1064" s="17">
        <v>42333.25842592593</v>
      </c>
      <c r="Q1064" s="10" t="s">
        <v>4797</v>
      </c>
      <c r="R1064" s="10" t="s">
        <v>4798</v>
      </c>
      <c r="S1064" s="13"/>
      <c r="T1064" s="13"/>
      <c r="U1064" s="18" t="str">
        <f>HYPERLINK("https://pbs.twimg.com/profile_images/1098525210700120065/GVMmDeKc.jpg","View")</f>
        <v>View</v>
      </c>
      <c r="V1064" s="13"/>
      <c r="W1064" s="13"/>
      <c r="X1064" s="13"/>
      <c r="Y1064" s="13"/>
      <c r="Z1064" s="13"/>
    </row>
    <row r="1065">
      <c r="A1065" s="8">
        <v>43848.51850694444</v>
      </c>
      <c r="B1065" s="9" t="str">
        <f>HYPERLINK("https://twitter.com/SocialWorkItOut","@SocialWorkItOut")</f>
        <v>@SocialWorkItOut</v>
      </c>
      <c r="C1065" s="10" t="s">
        <v>4799</v>
      </c>
      <c r="D1065" s="10" t="s">
        <v>4800</v>
      </c>
      <c r="E1065" s="9" t="str">
        <f>HYPERLINK("https://twitter.com/SocialWorkItOut/status/1218585507250286593","1218585507250286593")</f>
        <v>1218585507250286593</v>
      </c>
      <c r="F1065" s="13"/>
      <c r="G1065" s="11" t="s">
        <v>4801</v>
      </c>
      <c r="H1065" s="13"/>
      <c r="I1065" s="14">
        <v>0.0</v>
      </c>
      <c r="J1065" s="14">
        <v>4.0</v>
      </c>
      <c r="K1065" s="9" t="str">
        <f>HYPERLINK("http://twitter.com/download/iphone","Twitter for iPhone")</f>
        <v>Twitter for iPhone</v>
      </c>
      <c r="L1065" s="15">
        <v>24646.0</v>
      </c>
      <c r="M1065" s="15">
        <v>22612.0</v>
      </c>
      <c r="N1065" s="15">
        <v>51.0</v>
      </c>
      <c r="O1065" s="16"/>
      <c r="P1065" s="17">
        <v>40564.995416666665</v>
      </c>
      <c r="Q1065" s="10" t="s">
        <v>1454</v>
      </c>
      <c r="R1065" s="10" t="s">
        <v>4802</v>
      </c>
      <c r="S1065" s="11" t="s">
        <v>4803</v>
      </c>
      <c r="T1065" s="13"/>
      <c r="U1065" s="18" t="str">
        <f>HYPERLINK("https://pbs.twimg.com/profile_images/1161259324766863360/e5hJ8iNx.jpg","View")</f>
        <v>View</v>
      </c>
      <c r="V1065" s="13"/>
      <c r="W1065" s="13"/>
      <c r="X1065" s="13"/>
      <c r="Y1065" s="13"/>
      <c r="Z1065" s="13"/>
    </row>
    <row r="1066">
      <c r="A1066" s="8">
        <v>43848.51666666666</v>
      </c>
      <c r="B1066" s="9" t="str">
        <f>HYPERLINK("https://twitter.com/wisefamilies","@wisefamilies")</f>
        <v>@wisefamilies</v>
      </c>
      <c r="C1066" s="10" t="s">
        <v>4804</v>
      </c>
      <c r="D1066" s="10" t="s">
        <v>4805</v>
      </c>
      <c r="E1066" s="9" t="str">
        <f>HYPERLINK("https://twitter.com/wisefamilies/status/1218584838745272320","1218584838745272320")</f>
        <v>1218584838745272320</v>
      </c>
      <c r="F1066" s="11" t="s">
        <v>4806</v>
      </c>
      <c r="G1066" s="13"/>
      <c r="H1066" s="13"/>
      <c r="I1066" s="14">
        <v>0.0</v>
      </c>
      <c r="J1066" s="14">
        <v>0.0</v>
      </c>
      <c r="K1066" s="9" t="str">
        <f>HYPERLINK("https://socialbee.io/","SocialBee.io v2")</f>
        <v>SocialBee.io v2</v>
      </c>
      <c r="L1066" s="15">
        <v>338.0</v>
      </c>
      <c r="M1066" s="15">
        <v>688.0</v>
      </c>
      <c r="N1066" s="15">
        <v>13.0</v>
      </c>
      <c r="O1066" s="16"/>
      <c r="P1066" s="17">
        <v>41223.813668981486</v>
      </c>
      <c r="Q1066" s="10" t="s">
        <v>4807</v>
      </c>
      <c r="R1066" s="10" t="s">
        <v>4808</v>
      </c>
      <c r="S1066" s="11" t="s">
        <v>4809</v>
      </c>
      <c r="T1066" s="13"/>
      <c r="U1066" s="18" t="str">
        <f>HYPERLINK("https://pbs.twimg.com/profile_images/1192823278269808641/UvFNTSH-.jpg","View")</f>
        <v>View</v>
      </c>
      <c r="V1066" s="13"/>
      <c r="W1066" s="13"/>
      <c r="X1066" s="13"/>
      <c r="Y1066" s="13"/>
      <c r="Z1066" s="13"/>
    </row>
    <row r="1067">
      <c r="A1067" s="8">
        <v>43848.51615740741</v>
      </c>
      <c r="B1067" s="9" t="str">
        <f>HYPERLINK("https://twitter.com/Jsevry","@Jsevry")</f>
        <v>@Jsevry</v>
      </c>
      <c r="C1067" s="10" t="s">
        <v>4810</v>
      </c>
      <c r="D1067" s="10" t="s">
        <v>238</v>
      </c>
      <c r="E1067" s="9" t="str">
        <f>HYPERLINK("https://twitter.com/Jsevry/status/1218584654888030208","1218584654888030208")</f>
        <v>1218584654888030208</v>
      </c>
      <c r="F1067" s="13"/>
      <c r="G1067" s="13"/>
      <c r="H1067" s="13"/>
      <c r="I1067" s="14">
        <v>0.0</v>
      </c>
      <c r="J1067" s="14">
        <v>0.0</v>
      </c>
      <c r="K1067" s="9" t="str">
        <f>HYPERLINK("https://mobile.twitter.com","Twitter Web App")</f>
        <v>Twitter Web App</v>
      </c>
      <c r="L1067" s="15">
        <v>154.0</v>
      </c>
      <c r="M1067" s="15">
        <v>249.0</v>
      </c>
      <c r="N1067" s="15">
        <v>0.0</v>
      </c>
      <c r="O1067" s="16"/>
      <c r="P1067" s="17">
        <v>41747.55925925926</v>
      </c>
      <c r="Q1067" s="10" t="s">
        <v>4811</v>
      </c>
      <c r="R1067" s="10" t="s">
        <v>4812</v>
      </c>
      <c r="S1067" s="11" t="s">
        <v>4813</v>
      </c>
      <c r="T1067" s="13"/>
      <c r="U1067" s="18" t="str">
        <f>HYPERLINK("https://pbs.twimg.com/profile_images/1008290084070871040/lSMJnTz0.jpg","View")</f>
        <v>View</v>
      </c>
      <c r="V1067" s="13"/>
      <c r="W1067" s="13"/>
      <c r="X1067" s="13"/>
      <c r="Y1067" s="13"/>
      <c r="Z1067" s="13"/>
    </row>
    <row r="1068">
      <c r="A1068" s="8">
        <v>43848.51587962963</v>
      </c>
      <c r="B1068" s="9" t="str">
        <f>HYPERLINK("https://twitter.com/MandieMooMoo","@MandieMooMoo")</f>
        <v>@MandieMooMoo</v>
      </c>
      <c r="C1068" s="10" t="s">
        <v>4814</v>
      </c>
      <c r="D1068" s="10" t="s">
        <v>4815</v>
      </c>
      <c r="E1068" s="9" t="str">
        <f>HYPERLINK("https://twitter.com/MandieMooMoo/status/1218584551854870529","1218584551854870529")</f>
        <v>1218584551854870529</v>
      </c>
      <c r="F1068" s="11" t="s">
        <v>4816</v>
      </c>
      <c r="G1068" s="11" t="s">
        <v>4817</v>
      </c>
      <c r="H1068" s="13"/>
      <c r="I1068" s="14">
        <v>2.0</v>
      </c>
      <c r="J1068" s="14">
        <v>8.0</v>
      </c>
      <c r="K1068" s="9" t="str">
        <f t="shared" ref="K1068:K1069" si="128">HYPERLINK("http://twitter.com/download/iphone","Twitter for iPhone")</f>
        <v>Twitter for iPhone</v>
      </c>
      <c r="L1068" s="15">
        <v>658.0</v>
      </c>
      <c r="M1068" s="15">
        <v>2343.0</v>
      </c>
      <c r="N1068" s="15">
        <v>16.0</v>
      </c>
      <c r="O1068" s="16"/>
      <c r="P1068" s="17">
        <v>39850.70549768519</v>
      </c>
      <c r="Q1068" s="10" t="s">
        <v>4818</v>
      </c>
      <c r="R1068" s="10" t="s">
        <v>4819</v>
      </c>
      <c r="S1068" s="13"/>
      <c r="T1068" s="13"/>
      <c r="U1068" s="18" t="str">
        <f>HYPERLINK("https://pbs.twimg.com/profile_images/898673999311458304/5gMQMMqY.jpg","View")</f>
        <v>View</v>
      </c>
      <c r="V1068" s="13"/>
      <c r="W1068" s="13"/>
      <c r="X1068" s="13"/>
      <c r="Y1068" s="13"/>
      <c r="Z1068" s="13"/>
    </row>
    <row r="1069">
      <c r="A1069" s="8">
        <v>43848.51539351852</v>
      </c>
      <c r="B1069" s="9" t="str">
        <f>HYPERLINK("https://twitter.com/floreboni","@floreboni")</f>
        <v>@floreboni</v>
      </c>
      <c r="C1069" s="10" t="s">
        <v>4820</v>
      </c>
      <c r="D1069" s="10" t="s">
        <v>238</v>
      </c>
      <c r="E1069" s="9" t="str">
        <f>HYPERLINK("https://twitter.com/floreboni/status/1218584379724836865","1218584379724836865")</f>
        <v>1218584379724836865</v>
      </c>
      <c r="F1069" s="13"/>
      <c r="G1069" s="13"/>
      <c r="H1069" s="13"/>
      <c r="I1069" s="14">
        <v>0.0</v>
      </c>
      <c r="J1069" s="14">
        <v>0.0</v>
      </c>
      <c r="K1069" s="9" t="str">
        <f t="shared" si="128"/>
        <v>Twitter for iPhone</v>
      </c>
      <c r="L1069" s="15">
        <v>160.0</v>
      </c>
      <c r="M1069" s="15">
        <v>194.0</v>
      </c>
      <c r="N1069" s="15">
        <v>0.0</v>
      </c>
      <c r="O1069" s="16"/>
      <c r="P1069" s="17">
        <v>41534.57952546296</v>
      </c>
      <c r="Q1069" s="13"/>
      <c r="R1069" s="13"/>
      <c r="S1069" s="13"/>
      <c r="T1069" s="13"/>
      <c r="U1069" s="18" t="str">
        <f>HYPERLINK("https://pbs.twimg.com/profile_images/925174142911111169/V3VeYiFx.jpg","View")</f>
        <v>View</v>
      </c>
      <c r="V1069" s="13"/>
      <c r="W1069" s="13"/>
      <c r="X1069" s="13"/>
      <c r="Y1069" s="13"/>
      <c r="Z1069" s="13"/>
    </row>
    <row r="1070">
      <c r="A1070" s="8">
        <v>43848.51530092592</v>
      </c>
      <c r="B1070" s="9" t="str">
        <f>HYPERLINK("https://twitter.com/MiaLis79","@MiaLis79")</f>
        <v>@MiaLis79</v>
      </c>
      <c r="C1070" s="10" t="s">
        <v>1343</v>
      </c>
      <c r="D1070" s="10" t="s">
        <v>4821</v>
      </c>
      <c r="E1070" s="9" t="str">
        <f>HYPERLINK("https://twitter.com/MiaLis79/status/1218584345146949632","1218584345146949632")</f>
        <v>1218584345146949632</v>
      </c>
      <c r="F1070" s="11" t="s">
        <v>4822</v>
      </c>
      <c r="G1070" s="13"/>
      <c r="H1070" s="13"/>
      <c r="I1070" s="14">
        <v>0.0</v>
      </c>
      <c r="J1070" s="14">
        <v>0.0</v>
      </c>
      <c r="K1070" s="9" t="str">
        <f>HYPERLINK("https://www.mytweetpack.com","myTweetPack")</f>
        <v>myTweetPack</v>
      </c>
      <c r="L1070" s="15">
        <v>16902.0</v>
      </c>
      <c r="M1070" s="15">
        <v>12466.0</v>
      </c>
      <c r="N1070" s="15">
        <v>1642.0</v>
      </c>
      <c r="O1070" s="16"/>
      <c r="P1070" s="17">
        <v>39685.06575231481</v>
      </c>
      <c r="Q1070" s="10" t="s">
        <v>1346</v>
      </c>
      <c r="R1070" s="10" t="s">
        <v>1347</v>
      </c>
      <c r="S1070" s="11" t="s">
        <v>1348</v>
      </c>
      <c r="T1070" s="13"/>
      <c r="U1070" s="18" t="str">
        <f>HYPERLINK("https://pbs.twimg.com/profile_images/729868043153723394/O1HlkXlX.jpg","View")</f>
        <v>View</v>
      </c>
      <c r="V1070" s="13"/>
      <c r="W1070" s="13"/>
      <c r="X1070" s="13"/>
      <c r="Y1070" s="13"/>
      <c r="Z1070" s="13"/>
    </row>
    <row r="1071">
      <c r="A1071" s="8">
        <v>43848.51490740741</v>
      </c>
      <c r="B1071" s="9" t="str">
        <f>HYPERLINK("https://twitter.com/thebpdbabe","@thebpdbabe")</f>
        <v>@thebpdbabe</v>
      </c>
      <c r="C1071" s="10" t="s">
        <v>986</v>
      </c>
      <c r="D1071" s="10" t="s">
        <v>4823</v>
      </c>
      <c r="E1071" s="9" t="str">
        <f>HYPERLINK("https://twitter.com/thebpdbabe/status/1218584202297430019","1218584202297430019")</f>
        <v>1218584202297430019</v>
      </c>
      <c r="F1071" s="13"/>
      <c r="G1071" s="11" t="s">
        <v>4824</v>
      </c>
      <c r="H1071" s="13"/>
      <c r="I1071" s="14">
        <v>0.0</v>
      </c>
      <c r="J1071" s="14">
        <v>0.0</v>
      </c>
      <c r="K1071" s="9" t="str">
        <f>HYPERLINK("http://twitter.com/download/android","Twitter for Android")</f>
        <v>Twitter for Android</v>
      </c>
      <c r="L1071" s="15">
        <v>43.0</v>
      </c>
      <c r="M1071" s="15">
        <v>84.0</v>
      </c>
      <c r="N1071" s="15">
        <v>0.0</v>
      </c>
      <c r="O1071" s="16"/>
      <c r="P1071" s="17">
        <v>43808.85873842593</v>
      </c>
      <c r="Q1071" s="13"/>
      <c r="R1071" s="10" t="s">
        <v>988</v>
      </c>
      <c r="S1071" s="13"/>
      <c r="T1071" s="13"/>
      <c r="U1071" s="18" t="str">
        <f>HYPERLINK("https://pbs.twimg.com/profile_images/1208947228380925952/Z4HyV7z2.jpg","View")</f>
        <v>View</v>
      </c>
      <c r="V1071" s="13"/>
      <c r="W1071" s="13"/>
      <c r="X1071" s="13"/>
      <c r="Y1071" s="13"/>
      <c r="Z1071" s="13"/>
    </row>
    <row r="1072">
      <c r="A1072" s="8">
        <v>43848.514803240745</v>
      </c>
      <c r="B1072" s="9" t="str">
        <f>HYPERLINK("https://twitter.com/SecretlySurviv1","@SecretlySurviv1")</f>
        <v>@SecretlySurviv1</v>
      </c>
      <c r="C1072" s="10" t="s">
        <v>4825</v>
      </c>
      <c r="D1072" s="10" t="s">
        <v>4826</v>
      </c>
      <c r="E1072" s="9" t="str">
        <f>HYPERLINK("https://twitter.com/SecretlySurviv1/status/1218584162355044352","1218584162355044352")</f>
        <v>1218584162355044352</v>
      </c>
      <c r="F1072" s="13"/>
      <c r="G1072" s="11" t="s">
        <v>4827</v>
      </c>
      <c r="H1072" s="13"/>
      <c r="I1072" s="14">
        <v>0.0</v>
      </c>
      <c r="J1072" s="14">
        <v>6.0</v>
      </c>
      <c r="K1072" s="9" t="str">
        <f>HYPERLINK("http://twitter.com/download/iphone","Twitter for iPhone")</f>
        <v>Twitter for iPhone</v>
      </c>
      <c r="L1072" s="15">
        <v>312.0</v>
      </c>
      <c r="M1072" s="15">
        <v>238.0</v>
      </c>
      <c r="N1072" s="15">
        <v>0.0</v>
      </c>
      <c r="O1072" s="16"/>
      <c r="P1072" s="17">
        <v>43338.541967592595</v>
      </c>
      <c r="Q1072" s="10" t="s">
        <v>1324</v>
      </c>
      <c r="R1072" s="10" t="s">
        <v>4828</v>
      </c>
      <c r="S1072" s="13"/>
      <c r="T1072" s="13"/>
      <c r="U1072" s="18" t="str">
        <f>HYPERLINK("https://pbs.twimg.com/profile_images/1203335034687705091/vLNPI5Xy.jpg","View")</f>
        <v>View</v>
      </c>
      <c r="V1072" s="13"/>
      <c r="W1072" s="13"/>
      <c r="X1072" s="13"/>
      <c r="Y1072" s="13"/>
      <c r="Z1072" s="13"/>
    </row>
    <row r="1073">
      <c r="A1073" s="8">
        <v>43848.5141087963</v>
      </c>
      <c r="B1073" s="9" t="str">
        <f>HYPERLINK("https://twitter.com/Casual_H3ro","@Casual_H3ro")</f>
        <v>@Casual_H3ro</v>
      </c>
      <c r="C1073" s="10" t="s">
        <v>4829</v>
      </c>
      <c r="D1073" s="10" t="s">
        <v>4830</v>
      </c>
      <c r="E1073" s="9" t="str">
        <f>HYPERLINK("https://twitter.com/Casual_H3ro/status/1218583911514562560","1218583911514562560")</f>
        <v>1218583911514562560</v>
      </c>
      <c r="F1073" s="10" t="s">
        <v>4831</v>
      </c>
      <c r="G1073" s="13"/>
      <c r="H1073" s="13"/>
      <c r="I1073" s="14">
        <v>1.0</v>
      </c>
      <c r="J1073" s="14">
        <v>0.0</v>
      </c>
      <c r="K1073" s="9" t="str">
        <f>HYPERLINK("http://instagram.com","Instagram")</f>
        <v>Instagram</v>
      </c>
      <c r="L1073" s="15">
        <v>86.0</v>
      </c>
      <c r="M1073" s="15">
        <v>127.0</v>
      </c>
      <c r="N1073" s="15">
        <v>0.0</v>
      </c>
      <c r="O1073" s="16"/>
      <c r="P1073" s="17">
        <v>42755.76540509259</v>
      </c>
      <c r="Q1073" s="13"/>
      <c r="R1073" s="10" t="s">
        <v>4832</v>
      </c>
      <c r="S1073" s="11" t="s">
        <v>4833</v>
      </c>
      <c r="T1073" s="13"/>
      <c r="U1073" s="18" t="str">
        <f>HYPERLINK("https://pbs.twimg.com/profile_images/1212447190896934912/5cMgqGsO.jpg","View")</f>
        <v>View</v>
      </c>
      <c r="V1073" s="13"/>
      <c r="W1073" s="13"/>
      <c r="X1073" s="13"/>
      <c r="Y1073" s="13"/>
      <c r="Z1073" s="13"/>
    </row>
    <row r="1074">
      <c r="A1074" s="8">
        <v>43848.5137962963</v>
      </c>
      <c r="B1074" s="9" t="str">
        <f>HYPERLINK("https://twitter.com/MilitelloAsp","@MilitelloAsp")</f>
        <v>@MilitelloAsp</v>
      </c>
      <c r="C1074" s="10" t="s">
        <v>4834</v>
      </c>
      <c r="D1074" s="10" t="s">
        <v>4835</v>
      </c>
      <c r="E1074" s="9" t="str">
        <f>HYPERLINK("https://twitter.com/MilitelloAsp/status/1218583800894119941","1218583800894119941")</f>
        <v>1218583800894119941</v>
      </c>
      <c r="F1074" s="10" t="s">
        <v>4836</v>
      </c>
      <c r="G1074" s="13"/>
      <c r="H1074" s="13"/>
      <c r="I1074" s="14">
        <v>0.0</v>
      </c>
      <c r="J1074" s="14">
        <v>1.0</v>
      </c>
      <c r="K1074" s="9" t="str">
        <f>HYPERLINK("http://twitter.com/download/iphone","Twitter for iPhone")</f>
        <v>Twitter for iPhone</v>
      </c>
      <c r="L1074" s="15">
        <v>100.0</v>
      </c>
      <c r="M1074" s="15">
        <v>175.0</v>
      </c>
      <c r="N1074" s="15">
        <v>0.0</v>
      </c>
      <c r="O1074" s="16"/>
      <c r="P1074" s="17">
        <v>43495.067974537036</v>
      </c>
      <c r="Q1074" s="10" t="s">
        <v>4837</v>
      </c>
      <c r="R1074" s="10" t="s">
        <v>4838</v>
      </c>
      <c r="S1074" s="13"/>
      <c r="T1074" s="13"/>
      <c r="U1074" s="18" t="str">
        <f>HYPERLINK("https://pbs.twimg.com/profile_images/1102133765713903616/DziXdfb6.jpg","View")</f>
        <v>View</v>
      </c>
      <c r="V1074" s="13"/>
      <c r="W1074" s="13"/>
      <c r="X1074" s="13"/>
      <c r="Y1074" s="13"/>
      <c r="Z1074" s="13"/>
    </row>
    <row r="1075">
      <c r="A1075" s="8">
        <v>43848.513460648144</v>
      </c>
      <c r="B1075" s="9" t="str">
        <f>HYPERLINK("https://twitter.com/nrmentalhealth","@nrmentalhealth")</f>
        <v>@nrmentalhealth</v>
      </c>
      <c r="C1075" s="10" t="s">
        <v>4839</v>
      </c>
      <c r="D1075" s="10" t="s">
        <v>4840</v>
      </c>
      <c r="E1075" s="9" t="str">
        <f>HYPERLINK("https://twitter.com/nrmentalhealth/status/1218583675195011074","1218583675195011074")</f>
        <v>1218583675195011074</v>
      </c>
      <c r="F1075" s="13"/>
      <c r="G1075" s="11" t="s">
        <v>4841</v>
      </c>
      <c r="H1075" s="13"/>
      <c r="I1075" s="14">
        <v>6.0</v>
      </c>
      <c r="J1075" s="14">
        <v>21.0</v>
      </c>
      <c r="K1075" s="9" t="str">
        <f>HYPERLINK("https://mobile.twitter.com","Twitter Web App")</f>
        <v>Twitter Web App</v>
      </c>
      <c r="L1075" s="15">
        <v>12699.0</v>
      </c>
      <c r="M1075" s="15">
        <v>5908.0</v>
      </c>
      <c r="N1075" s="15">
        <v>107.0</v>
      </c>
      <c r="O1075" s="16"/>
      <c r="P1075" s="17">
        <v>42861.156875</v>
      </c>
      <c r="Q1075" s="10" t="s">
        <v>4842</v>
      </c>
      <c r="R1075" s="10" t="s">
        <v>4843</v>
      </c>
      <c r="S1075" s="13"/>
      <c r="T1075" s="13"/>
      <c r="U1075" s="18" t="str">
        <f>HYPERLINK("https://pbs.twimg.com/profile_images/860778979019694080/J1zhUtG3.jpg","View")</f>
        <v>View</v>
      </c>
      <c r="V1075" s="13"/>
      <c r="W1075" s="13"/>
      <c r="X1075" s="13"/>
      <c r="Y1075" s="13"/>
      <c r="Z1075" s="13"/>
    </row>
    <row r="1076">
      <c r="A1076" s="8">
        <v>43848.51342592592</v>
      </c>
      <c r="B1076" s="9" t="str">
        <f>HYPERLINK("https://twitter.com/The4thBeast","@The4thBeast")</f>
        <v>@The4thBeast</v>
      </c>
      <c r="C1076" s="10" t="s">
        <v>4844</v>
      </c>
      <c r="D1076" s="10" t="s">
        <v>4845</v>
      </c>
      <c r="E1076" s="9" t="str">
        <f>HYPERLINK("https://twitter.com/The4thBeast/status/1218583666642780162","1218583666642780162")</f>
        <v>1218583666642780162</v>
      </c>
      <c r="F1076" s="13"/>
      <c r="G1076" s="13"/>
      <c r="H1076" s="13"/>
      <c r="I1076" s="14">
        <v>1.0</v>
      </c>
      <c r="J1076" s="14">
        <v>2.0</v>
      </c>
      <c r="K1076" s="9" t="str">
        <f>HYPERLINK("http://twitter.com/download/android","Twitter for Android")</f>
        <v>Twitter for Android</v>
      </c>
      <c r="L1076" s="15">
        <v>6.0</v>
      </c>
      <c r="M1076" s="15">
        <v>35.0</v>
      </c>
      <c r="N1076" s="15">
        <v>0.0</v>
      </c>
      <c r="O1076" s="16"/>
      <c r="P1076" s="17">
        <v>42562.80163194444</v>
      </c>
      <c r="Q1076" s="10" t="s">
        <v>4846</v>
      </c>
      <c r="R1076" s="10" t="s">
        <v>4847</v>
      </c>
      <c r="S1076" s="13"/>
      <c r="T1076" s="13"/>
      <c r="U1076" s="18" t="str">
        <f>HYPERLINK("https://pbs.twimg.com/profile_images/1218249138372055041/AWAWFkxq.jpg","View")</f>
        <v>View</v>
      </c>
      <c r="V1076" s="13"/>
      <c r="W1076" s="13"/>
      <c r="X1076" s="13"/>
      <c r="Y1076" s="13"/>
      <c r="Z1076" s="13"/>
    </row>
    <row r="1077">
      <c r="A1077" s="8">
        <v>43848.51325231481</v>
      </c>
      <c r="B1077" s="9" t="str">
        <f>HYPERLINK("https://twitter.com/puffpuffpanda3","@puffpuffpanda3")</f>
        <v>@puffpuffpanda3</v>
      </c>
      <c r="C1077" s="10" t="s">
        <v>4848</v>
      </c>
      <c r="D1077" s="10" t="s">
        <v>4849</v>
      </c>
      <c r="E1077" s="9" t="str">
        <f>HYPERLINK("https://twitter.com/puffpuffpanda3/status/1218583600448319489","1218583600448319489")</f>
        <v>1218583600448319489</v>
      </c>
      <c r="F1077" s="13"/>
      <c r="G1077" s="13"/>
      <c r="H1077" s="13"/>
      <c r="I1077" s="14">
        <v>0.0</v>
      </c>
      <c r="J1077" s="14">
        <v>2.0</v>
      </c>
      <c r="K1077" s="9" t="str">
        <f>HYPERLINK("http://twitter.com/download/iphone","Twitter for iPhone")</f>
        <v>Twitter for iPhone</v>
      </c>
      <c r="L1077" s="15">
        <v>9.0</v>
      </c>
      <c r="M1077" s="15">
        <v>28.0</v>
      </c>
      <c r="N1077" s="15">
        <v>0.0</v>
      </c>
      <c r="O1077" s="16"/>
      <c r="P1077" s="17">
        <v>43805.81784722222</v>
      </c>
      <c r="Q1077" s="13"/>
      <c r="R1077" s="13"/>
      <c r="S1077" s="13"/>
      <c r="T1077" s="13"/>
      <c r="U1077" s="18" t="str">
        <f>HYPERLINK("https://pbs.twimg.com/profile_images/1203113838176014336/oHSxWD61.jpg","View")</f>
        <v>View</v>
      </c>
      <c r="V1077" s="13"/>
      <c r="W1077" s="13"/>
      <c r="X1077" s="13"/>
      <c r="Y1077" s="13"/>
      <c r="Z1077" s="13"/>
    </row>
    <row r="1078">
      <c r="A1078" s="8">
        <v>43848.513125</v>
      </c>
      <c r="B1078" s="9" t="str">
        <f>HYPERLINK("https://twitter.com/cheriewhite691","@cheriewhite691")</f>
        <v>@cheriewhite691</v>
      </c>
      <c r="C1078" s="10" t="s">
        <v>942</v>
      </c>
      <c r="D1078" s="10" t="s">
        <v>4850</v>
      </c>
      <c r="E1078" s="9" t="str">
        <f>HYPERLINK("https://twitter.com/cheriewhite691/status/1218583553765773312","1218583553765773312")</f>
        <v>1218583553765773312</v>
      </c>
      <c r="F1078" s="11" t="s">
        <v>4851</v>
      </c>
      <c r="G1078" s="13"/>
      <c r="H1078" s="13"/>
      <c r="I1078" s="14">
        <v>0.0</v>
      </c>
      <c r="J1078" s="14">
        <v>1.0</v>
      </c>
      <c r="K1078" s="9" t="str">
        <f>HYPERLINK("http://twitter.com","Twitter Web Client")</f>
        <v>Twitter Web Client</v>
      </c>
      <c r="L1078" s="15">
        <v>285.0</v>
      </c>
      <c r="M1078" s="15">
        <v>284.0</v>
      </c>
      <c r="N1078" s="15">
        <v>5.0</v>
      </c>
      <c r="O1078" s="16"/>
      <c r="P1078" s="17">
        <v>42474.71098379629</v>
      </c>
      <c r="Q1078" s="10" t="s">
        <v>945</v>
      </c>
      <c r="R1078" s="10" t="s">
        <v>946</v>
      </c>
      <c r="S1078" s="11" t="s">
        <v>947</v>
      </c>
      <c r="T1078" s="13"/>
      <c r="U1078" s="18" t="str">
        <f>HYPERLINK("https://pbs.twimg.com/profile_images/991372578634821632/7UAozkpm.jpg","View")</f>
        <v>View</v>
      </c>
      <c r="V1078" s="13"/>
      <c r="W1078" s="13"/>
      <c r="X1078" s="13"/>
      <c r="Y1078" s="13"/>
      <c r="Z1078" s="13"/>
    </row>
    <row r="1079">
      <c r="A1079" s="8">
        <v>43848.51265046296</v>
      </c>
      <c r="B1079" s="9" t="str">
        <f>HYPERLINK("https://twitter.com/askdrwoodchuck","@askdrwoodchuck")</f>
        <v>@askdrwoodchuck</v>
      </c>
      <c r="C1079" s="10" t="s">
        <v>4852</v>
      </c>
      <c r="D1079" s="10" t="s">
        <v>4853</v>
      </c>
      <c r="E1079" s="9" t="str">
        <f>HYPERLINK("https://twitter.com/askdrwoodchuck/status/1218583384537980929","1218583384537980929")</f>
        <v>1218583384537980929</v>
      </c>
      <c r="F1079" s="13"/>
      <c r="G1079" s="13"/>
      <c r="H1079" s="13"/>
      <c r="I1079" s="14">
        <v>0.0</v>
      </c>
      <c r="J1079" s="14">
        <v>1.0</v>
      </c>
      <c r="K1079" s="9" t="str">
        <f t="shared" ref="K1079:K1080" si="129">HYPERLINK("http://twitter.com/download/iphone","Twitter for iPhone")</f>
        <v>Twitter for iPhone</v>
      </c>
      <c r="L1079" s="15">
        <v>5.0</v>
      </c>
      <c r="M1079" s="15">
        <v>64.0</v>
      </c>
      <c r="N1079" s="15">
        <v>0.0</v>
      </c>
      <c r="O1079" s="16"/>
      <c r="P1079" s="17">
        <v>43635.89295138889</v>
      </c>
      <c r="Q1079" s="13"/>
      <c r="R1079" s="10" t="s">
        <v>4854</v>
      </c>
      <c r="S1079" s="13"/>
      <c r="T1079" s="13"/>
      <c r="U1079" s="18" t="str">
        <f>HYPERLINK("https://pbs.twimg.com/profile_images/1141517616516780032/_tmCuI2p.png","View")</f>
        <v>View</v>
      </c>
      <c r="V1079" s="13"/>
      <c r="W1079" s="13"/>
      <c r="X1079" s="13"/>
      <c r="Y1079" s="13"/>
      <c r="Z1079" s="13"/>
    </row>
    <row r="1080">
      <c r="A1080" s="8">
        <v>43848.51210648148</v>
      </c>
      <c r="B1080" s="9" t="str">
        <f>HYPERLINK("https://twitter.com/John_Smith_1980","@John_Smith_1980")</f>
        <v>@John_Smith_1980</v>
      </c>
      <c r="C1080" s="10" t="s">
        <v>4855</v>
      </c>
      <c r="D1080" s="10" t="s">
        <v>4856</v>
      </c>
      <c r="E1080" s="9" t="str">
        <f>HYPERLINK("https://twitter.com/John_Smith_1980/status/1218583185749168128","1218583185749168128")</f>
        <v>1218583185749168128</v>
      </c>
      <c r="F1080" s="13"/>
      <c r="G1080" s="11" t="s">
        <v>4857</v>
      </c>
      <c r="H1080" s="13"/>
      <c r="I1080" s="14">
        <v>0.0</v>
      </c>
      <c r="J1080" s="14">
        <v>0.0</v>
      </c>
      <c r="K1080" s="9" t="str">
        <f t="shared" si="129"/>
        <v>Twitter for iPhone</v>
      </c>
      <c r="L1080" s="15">
        <v>79.0</v>
      </c>
      <c r="M1080" s="15">
        <v>78.0</v>
      </c>
      <c r="N1080" s="15">
        <v>2.0</v>
      </c>
      <c r="O1080" s="16"/>
      <c r="P1080" s="17">
        <v>41839.26269675926</v>
      </c>
      <c r="Q1080" s="10" t="s">
        <v>4858</v>
      </c>
      <c r="R1080" s="10" t="s">
        <v>4859</v>
      </c>
      <c r="S1080" s="13"/>
      <c r="T1080" s="13"/>
      <c r="U1080" s="18" t="str">
        <f>HYPERLINK("https://pbs.twimg.com/profile_images/1213968254093402112/0aw35ELd.jpg","View")</f>
        <v>View</v>
      </c>
      <c r="V1080" s="13"/>
      <c r="W1080" s="13"/>
      <c r="X1080" s="13"/>
      <c r="Y1080" s="13"/>
      <c r="Z1080" s="13"/>
    </row>
    <row r="1081">
      <c r="A1081" s="8">
        <v>43848.51130787037</v>
      </c>
      <c r="B1081" s="9" t="str">
        <f>HYPERLINK("https://twitter.com/LetsTalkMHSG","@LetsTalkMHSG")</f>
        <v>@LetsTalkMHSG</v>
      </c>
      <c r="C1081" s="10" t="s">
        <v>4860</v>
      </c>
      <c r="D1081" s="10" t="s">
        <v>4861</v>
      </c>
      <c r="E1081" s="9" t="str">
        <f>HYPERLINK("https://twitter.com/LetsTalkMHSG/status/1218582895167541248","1218582895167541248")</f>
        <v>1218582895167541248</v>
      </c>
      <c r="F1081" s="13"/>
      <c r="G1081" s="11" t="s">
        <v>4862</v>
      </c>
      <c r="H1081" s="13"/>
      <c r="I1081" s="14">
        <v>0.0</v>
      </c>
      <c r="J1081" s="14">
        <v>0.0</v>
      </c>
      <c r="K1081" s="9" t="str">
        <f>HYPERLINK("http://twitter.com/download/android","Twitter for Android")</f>
        <v>Twitter for Android</v>
      </c>
      <c r="L1081" s="15">
        <v>11.0</v>
      </c>
      <c r="M1081" s="15">
        <v>13.0</v>
      </c>
      <c r="N1081" s="15">
        <v>0.0</v>
      </c>
      <c r="O1081" s="16"/>
      <c r="P1081" s="17">
        <v>43569.38304398148</v>
      </c>
      <c r="Q1081" s="10" t="s">
        <v>4863</v>
      </c>
      <c r="R1081" s="10" t="s">
        <v>4864</v>
      </c>
      <c r="S1081" s="11" t="s">
        <v>4865</v>
      </c>
      <c r="T1081" s="13"/>
      <c r="U1081" s="18" t="str">
        <f>HYPERLINK("https://pbs.twimg.com/profile_images/1216716142435340288/EqO7lJMS.jpg","View")</f>
        <v>View</v>
      </c>
      <c r="V1081" s="13"/>
      <c r="W1081" s="13"/>
      <c r="X1081" s="13"/>
      <c r="Y1081" s="13"/>
      <c r="Z1081" s="13"/>
    </row>
    <row r="1082">
      <c r="A1082" s="8">
        <v>43848.51101851852</v>
      </c>
      <c r="B1082" s="9" t="str">
        <f>HYPERLINK("https://twitter.com/SEWIwellness","@SEWIwellness")</f>
        <v>@SEWIwellness</v>
      </c>
      <c r="C1082" s="10" t="s">
        <v>4866</v>
      </c>
      <c r="D1082" s="10" t="s">
        <v>4867</v>
      </c>
      <c r="E1082" s="9" t="str">
        <f>HYPERLINK("https://twitter.com/SEWIwellness/status/1218582790297526272","1218582790297526272")</f>
        <v>1218582790297526272</v>
      </c>
      <c r="F1082" s="11" t="s">
        <v>4868</v>
      </c>
      <c r="G1082" s="11" t="s">
        <v>4869</v>
      </c>
      <c r="H1082" s="13"/>
      <c r="I1082" s="14">
        <v>0.0</v>
      </c>
      <c r="J1082" s="14">
        <v>0.0</v>
      </c>
      <c r="K1082" s="9" t="str">
        <f>HYPERLINK("https://www.later.com","LaterMedia")</f>
        <v>LaterMedia</v>
      </c>
      <c r="L1082" s="15">
        <v>13.0</v>
      </c>
      <c r="M1082" s="15">
        <v>47.0</v>
      </c>
      <c r="N1082" s="15">
        <v>0.0</v>
      </c>
      <c r="O1082" s="16"/>
      <c r="P1082" s="17">
        <v>42933.7334837963</v>
      </c>
      <c r="Q1082" s="10" t="s">
        <v>382</v>
      </c>
      <c r="R1082" s="10" t="s">
        <v>4870</v>
      </c>
      <c r="S1082" s="11" t="s">
        <v>4871</v>
      </c>
      <c r="T1082" s="13"/>
      <c r="U1082" s="18" t="str">
        <f>HYPERLINK("https://pbs.twimg.com/profile_images/1138179601203486720/-_YG20HN.png","View")</f>
        <v>View</v>
      </c>
      <c r="V1082" s="13"/>
      <c r="W1082" s="13"/>
      <c r="X1082" s="13"/>
      <c r="Y1082" s="13"/>
      <c r="Z1082" s="13"/>
    </row>
    <row r="1083">
      <c r="A1083" s="8">
        <v>43848.5105787037</v>
      </c>
      <c r="B1083" s="9" t="str">
        <f>HYPERLINK("https://twitter.com/CMHA_AB","@CMHA_AB")</f>
        <v>@CMHA_AB</v>
      </c>
      <c r="C1083" s="10" t="s">
        <v>4872</v>
      </c>
      <c r="D1083" s="10" t="s">
        <v>4873</v>
      </c>
      <c r="E1083" s="9" t="str">
        <f>HYPERLINK("https://twitter.com/CMHA_AB/status/1218582633002782721","1218582633002782721")</f>
        <v>1218582633002782721</v>
      </c>
      <c r="F1083" s="11" t="s">
        <v>4874</v>
      </c>
      <c r="G1083" s="13"/>
      <c r="H1083" s="13"/>
      <c r="I1083" s="14">
        <v>1.0</v>
      </c>
      <c r="J1083" s="14">
        <v>0.0</v>
      </c>
      <c r="K1083" s="9" t="str">
        <f t="shared" ref="K1083:K1086" si="130">HYPERLINK("https://www.hootsuite.com","Hootsuite Inc.")</f>
        <v>Hootsuite Inc.</v>
      </c>
      <c r="L1083" s="15">
        <v>3166.0</v>
      </c>
      <c r="M1083" s="15">
        <v>1860.0</v>
      </c>
      <c r="N1083" s="15">
        <v>87.0</v>
      </c>
      <c r="O1083" s="16"/>
      <c r="P1083" s="17">
        <v>41946.70484953704</v>
      </c>
      <c r="Q1083" s="10" t="s">
        <v>4875</v>
      </c>
      <c r="R1083" s="10" t="s">
        <v>4876</v>
      </c>
      <c r="S1083" s="11" t="s">
        <v>4877</v>
      </c>
      <c r="T1083" s="13"/>
      <c r="U1083" s="18" t="str">
        <f>HYPERLINK("https://pbs.twimg.com/profile_images/1014312479390777344/MT7rDqfH.jpg","View")</f>
        <v>View</v>
      </c>
      <c r="V1083" s="13"/>
      <c r="W1083" s="13"/>
      <c r="X1083" s="13"/>
      <c r="Y1083" s="13"/>
      <c r="Z1083" s="13"/>
    </row>
    <row r="1084">
      <c r="A1084" s="8">
        <v>43848.5105787037</v>
      </c>
      <c r="B1084" s="9" t="str">
        <f>HYPERLINK("https://twitter.com/BHR_CCGs","@BHR_CCGs")</f>
        <v>@BHR_CCGs</v>
      </c>
      <c r="C1084" s="10" t="s">
        <v>4878</v>
      </c>
      <c r="D1084" s="10" t="s">
        <v>4879</v>
      </c>
      <c r="E1084" s="9" t="str">
        <f>HYPERLINK("https://twitter.com/BHR_CCGs/status/1218582631580913665","1218582631580913665")</f>
        <v>1218582631580913665</v>
      </c>
      <c r="F1084" s="13"/>
      <c r="G1084" s="11" t="s">
        <v>4880</v>
      </c>
      <c r="H1084" s="13"/>
      <c r="I1084" s="14">
        <v>2.0</v>
      </c>
      <c r="J1084" s="14">
        <v>1.0</v>
      </c>
      <c r="K1084" s="9" t="str">
        <f t="shared" si="130"/>
        <v>Hootsuite Inc.</v>
      </c>
      <c r="L1084" s="15">
        <v>6156.0</v>
      </c>
      <c r="M1084" s="15">
        <v>406.0</v>
      </c>
      <c r="N1084" s="15">
        <v>221.0</v>
      </c>
      <c r="O1084" s="16"/>
      <c r="P1084" s="17">
        <v>39927.374386574076</v>
      </c>
      <c r="Q1084" s="10" t="s">
        <v>4881</v>
      </c>
      <c r="R1084" s="10" t="s">
        <v>4882</v>
      </c>
      <c r="S1084" s="11" t="s">
        <v>4883</v>
      </c>
      <c r="T1084" s="13"/>
      <c r="U1084" s="18" t="str">
        <f>HYPERLINK("https://pbs.twimg.com/profile_images/1083331042898001920/Z64Hpmj7.jpg","View")</f>
        <v>View</v>
      </c>
      <c r="V1084" s="13"/>
      <c r="W1084" s="13"/>
      <c r="X1084" s="13"/>
      <c r="Y1084" s="13"/>
      <c r="Z1084" s="13"/>
    </row>
    <row r="1085">
      <c r="A1085" s="8">
        <v>43848.51054398148</v>
      </c>
      <c r="B1085" s="9" t="str">
        <f>HYPERLINK("https://twitter.com/DrNoorUSHealth","@DrNoorUSHealth")</f>
        <v>@DrNoorUSHealth</v>
      </c>
      <c r="C1085" s="10" t="s">
        <v>4884</v>
      </c>
      <c r="D1085" s="10" t="s">
        <v>4885</v>
      </c>
      <c r="E1085" s="9" t="str">
        <f>HYPERLINK("https://twitter.com/DrNoorUSHealth/status/1218582618272403456","1218582618272403456")</f>
        <v>1218582618272403456</v>
      </c>
      <c r="F1085" s="11" t="s">
        <v>4886</v>
      </c>
      <c r="G1085" s="11" t="s">
        <v>4887</v>
      </c>
      <c r="H1085" s="13"/>
      <c r="I1085" s="14">
        <v>1.0</v>
      </c>
      <c r="J1085" s="14">
        <v>0.0</v>
      </c>
      <c r="K1085" s="9" t="str">
        <f t="shared" si="130"/>
        <v>Hootsuite Inc.</v>
      </c>
      <c r="L1085" s="15">
        <v>203.0</v>
      </c>
      <c r="M1085" s="15">
        <v>1004.0</v>
      </c>
      <c r="N1085" s="15">
        <v>0.0</v>
      </c>
      <c r="O1085" s="16"/>
      <c r="P1085" s="17">
        <v>40355.48726851852</v>
      </c>
      <c r="Q1085" s="10" t="s">
        <v>4888</v>
      </c>
      <c r="R1085" s="10" t="s">
        <v>4889</v>
      </c>
      <c r="S1085" s="11" t="s">
        <v>4890</v>
      </c>
      <c r="T1085" s="13"/>
      <c r="U1085" s="18" t="str">
        <f>HYPERLINK("https://pbs.twimg.com/profile_images/1182770206554447873/ks5DmfQ-.png","View")</f>
        <v>View</v>
      </c>
      <c r="V1085" s="13"/>
      <c r="W1085" s="13"/>
      <c r="X1085" s="13"/>
      <c r="Y1085" s="13"/>
      <c r="Z1085" s="13"/>
    </row>
    <row r="1086">
      <c r="A1086" s="8">
        <v>43848.51049768519</v>
      </c>
      <c r="B1086" s="9" t="str">
        <f>HYPERLINK("https://twitter.com/UConnCSCH","@UConnCSCH")</f>
        <v>@UConnCSCH</v>
      </c>
      <c r="C1086" s="10" t="s">
        <v>4891</v>
      </c>
      <c r="D1086" s="10" t="s">
        <v>4892</v>
      </c>
      <c r="E1086" s="9" t="str">
        <f>HYPERLINK("https://twitter.com/UConnCSCH/status/1218582603793600514","1218582603793600514")</f>
        <v>1218582603793600514</v>
      </c>
      <c r="F1086" s="10" t="s">
        <v>4893</v>
      </c>
      <c r="G1086" s="13"/>
      <c r="H1086" s="13"/>
      <c r="I1086" s="14">
        <v>2.0</v>
      </c>
      <c r="J1086" s="14">
        <v>3.0</v>
      </c>
      <c r="K1086" s="9" t="str">
        <f t="shared" si="130"/>
        <v>Hootsuite Inc.</v>
      </c>
      <c r="L1086" s="15">
        <v>1025.0</v>
      </c>
      <c r="M1086" s="15">
        <v>804.0</v>
      </c>
      <c r="N1086" s="15">
        <v>16.0</v>
      </c>
      <c r="O1086" s="16"/>
      <c r="P1086" s="17">
        <v>42309.88407407407</v>
      </c>
      <c r="Q1086" s="10" t="s">
        <v>4894</v>
      </c>
      <c r="R1086" s="10" t="s">
        <v>4895</v>
      </c>
      <c r="S1086" s="11" t="s">
        <v>4896</v>
      </c>
      <c r="T1086" s="13"/>
      <c r="U1086" s="18" t="str">
        <f>HYPERLINK("https://pbs.twimg.com/profile_images/661004180648235009/2M31I-Bv.png","View")</f>
        <v>View</v>
      </c>
      <c r="V1086" s="13"/>
      <c r="W1086" s="13"/>
      <c r="X1086" s="13"/>
      <c r="Y1086" s="13"/>
      <c r="Z1086" s="13"/>
    </row>
    <row r="1087">
      <c r="A1087" s="8">
        <v>43848.510462962964</v>
      </c>
      <c r="B1087" s="9" t="str">
        <f>HYPERLINK("https://twitter.com/HealthyPlace","@HealthyPlace")</f>
        <v>@HealthyPlace</v>
      </c>
      <c r="C1087" s="10" t="s">
        <v>1457</v>
      </c>
      <c r="D1087" s="10" t="s">
        <v>4897</v>
      </c>
      <c r="E1087" s="9" t="str">
        <f>HYPERLINK("https://twitter.com/HealthyPlace/status/1218582589528772609","1218582589528772609")</f>
        <v>1218582589528772609</v>
      </c>
      <c r="F1087" s="11" t="s">
        <v>4898</v>
      </c>
      <c r="G1087" s="11" t="s">
        <v>4899</v>
      </c>
      <c r="H1087" s="13"/>
      <c r="I1087" s="14">
        <v>1.0</v>
      </c>
      <c r="J1087" s="14">
        <v>0.0</v>
      </c>
      <c r="K1087" s="9" t="str">
        <f>HYPERLINK("https://sproutsocial.com","Sprout Social")</f>
        <v>Sprout Social</v>
      </c>
      <c r="L1087" s="15">
        <v>64943.0</v>
      </c>
      <c r="M1087" s="15">
        <v>25049.0</v>
      </c>
      <c r="N1087" s="15">
        <v>1710.0</v>
      </c>
      <c r="O1087" s="16"/>
      <c r="P1087" s="17">
        <v>39681.03928240741</v>
      </c>
      <c r="Q1087" s="10" t="s">
        <v>1460</v>
      </c>
      <c r="R1087" s="10" t="s">
        <v>1461</v>
      </c>
      <c r="S1087" s="11" t="s">
        <v>1462</v>
      </c>
      <c r="T1087" s="13"/>
      <c r="U1087" s="18" t="str">
        <f>HYPERLINK("https://pbs.twimg.com/profile_images/753613454083252225/i5pr2xny.jpg","View")</f>
        <v>View</v>
      </c>
      <c r="V1087" s="13"/>
      <c r="W1087" s="13"/>
      <c r="X1087" s="13"/>
      <c r="Y1087" s="13"/>
      <c r="Z1087" s="13"/>
    </row>
    <row r="1088">
      <c r="A1088" s="8">
        <v>43848.5103125</v>
      </c>
      <c r="B1088" s="9" t="str">
        <f>HYPERLINK("https://twitter.com/lexakb","@lexakb")</f>
        <v>@lexakb</v>
      </c>
      <c r="C1088" s="10" t="s">
        <v>4900</v>
      </c>
      <c r="D1088" s="10" t="s">
        <v>4901</v>
      </c>
      <c r="E1088" s="9" t="str">
        <f>HYPERLINK("https://twitter.com/lexakb/status/1218582534449033216","1218582534449033216")</f>
        <v>1218582534449033216</v>
      </c>
      <c r="F1088" s="11" t="s">
        <v>4902</v>
      </c>
      <c r="G1088" s="13"/>
      <c r="H1088" s="13"/>
      <c r="I1088" s="14">
        <v>1.0</v>
      </c>
      <c r="J1088" s="14">
        <v>2.0</v>
      </c>
      <c r="K1088" s="9" t="str">
        <f>HYPERLINK("https://mobile.twitter.com","Twitter Web App")</f>
        <v>Twitter Web App</v>
      </c>
      <c r="L1088" s="15">
        <v>94.0</v>
      </c>
      <c r="M1088" s="15">
        <v>286.0</v>
      </c>
      <c r="N1088" s="15">
        <v>1.0</v>
      </c>
      <c r="O1088" s="16"/>
      <c r="P1088" s="17">
        <v>41818.73023148148</v>
      </c>
      <c r="Q1088" s="10" t="s">
        <v>4903</v>
      </c>
      <c r="R1088" s="10" t="s">
        <v>4904</v>
      </c>
      <c r="S1088" s="13"/>
      <c r="T1088" s="13"/>
      <c r="U1088" s="18" t="str">
        <f>HYPERLINK("https://pbs.twimg.com/profile_images/1158242504673648640/iN0hwczz.jpg","View")</f>
        <v>View</v>
      </c>
      <c r="V1088" s="13"/>
      <c r="W1088" s="13"/>
      <c r="X1088" s="13"/>
      <c r="Y1088" s="13"/>
      <c r="Z1088" s="13"/>
    </row>
    <row r="1089">
      <c r="A1089" s="8">
        <v>43848.510150462964</v>
      </c>
      <c r="B1089" s="9" t="str">
        <f>HYPERLINK("https://twitter.com/CarBombBoom13","@CarBombBoom13")</f>
        <v>@CarBombBoom13</v>
      </c>
      <c r="C1089" s="10" t="s">
        <v>4905</v>
      </c>
      <c r="D1089" s="10" t="s">
        <v>4906</v>
      </c>
      <c r="E1089" s="9" t="str">
        <f>HYPERLINK("https://twitter.com/CarBombBoom13/status/1218582479558205440","1218582479558205440")</f>
        <v>1218582479558205440</v>
      </c>
      <c r="F1089" s="13"/>
      <c r="G1089" s="13"/>
      <c r="H1089" s="13"/>
      <c r="I1089" s="14">
        <v>3.0</v>
      </c>
      <c r="J1089" s="14">
        <v>61.0</v>
      </c>
      <c r="K1089" s="9" t="str">
        <f>HYPERLINK("http://twitter.com/download/iphone","Twitter for iPhone")</f>
        <v>Twitter for iPhone</v>
      </c>
      <c r="L1089" s="15">
        <v>93719.0</v>
      </c>
      <c r="M1089" s="15">
        <v>3698.0</v>
      </c>
      <c r="N1089" s="15">
        <v>1157.0</v>
      </c>
      <c r="O1089" s="21" t="s">
        <v>522</v>
      </c>
      <c r="P1089" s="17">
        <v>40784.98986111111</v>
      </c>
      <c r="Q1089" s="10" t="s">
        <v>4907</v>
      </c>
      <c r="R1089" s="10" t="s">
        <v>4908</v>
      </c>
      <c r="S1089" s="11" t="s">
        <v>4909</v>
      </c>
      <c r="T1089" s="13"/>
      <c r="U1089" s="18" t="str">
        <f>HYPERLINK("https://pbs.twimg.com/profile_images/1173423146453622784/SI2XaEwK.jpg","View")</f>
        <v>View</v>
      </c>
      <c r="V1089" s="13"/>
      <c r="W1089" s="13"/>
      <c r="X1089" s="13"/>
      <c r="Y1089" s="13"/>
      <c r="Z1089" s="13"/>
    </row>
    <row r="1090">
      <c r="A1090" s="8">
        <v>43848.510092592594</v>
      </c>
      <c r="B1090" s="9" t="str">
        <f>HYPERLINK("https://twitter.com/AorraCanada","@AorraCanada")</f>
        <v>@AorraCanada</v>
      </c>
      <c r="C1090" s="10" t="s">
        <v>4910</v>
      </c>
      <c r="D1090" s="10" t="s">
        <v>4911</v>
      </c>
      <c r="E1090" s="9" t="str">
        <f>HYPERLINK("https://twitter.com/AorraCanada/status/1218582457194295296","1218582457194295296")</f>
        <v>1218582457194295296</v>
      </c>
      <c r="F1090" s="11" t="s">
        <v>4912</v>
      </c>
      <c r="G1090" s="11" t="s">
        <v>4913</v>
      </c>
      <c r="H1090" s="13"/>
      <c r="I1090" s="14">
        <v>0.0</v>
      </c>
      <c r="J1090" s="14">
        <v>0.0</v>
      </c>
      <c r="K1090" s="9" t="str">
        <f>HYPERLINK("http://publicize.wp.com/","WordPress.com")</f>
        <v>WordPress.com</v>
      </c>
      <c r="L1090" s="15">
        <v>39.0</v>
      </c>
      <c r="M1090" s="15">
        <v>106.0</v>
      </c>
      <c r="N1090" s="15">
        <v>1.0</v>
      </c>
      <c r="O1090" s="16"/>
      <c r="P1090" s="17">
        <v>43454.54467592592</v>
      </c>
      <c r="Q1090" s="10" t="s">
        <v>91</v>
      </c>
      <c r="R1090" s="10" t="s">
        <v>4914</v>
      </c>
      <c r="S1090" s="11" t="s">
        <v>4915</v>
      </c>
      <c r="T1090" s="13"/>
      <c r="U1090" s="18" t="str">
        <f>HYPERLINK("https://pbs.twimg.com/profile_images/1075816343683792896/z0HgEVb5.jpg","View")</f>
        <v>View</v>
      </c>
      <c r="V1090" s="13"/>
      <c r="W1090" s="13"/>
      <c r="X1090" s="13"/>
      <c r="Y1090" s="13"/>
      <c r="Z1090" s="13"/>
    </row>
    <row r="1091">
      <c r="A1091" s="8">
        <v>43848.51003472222</v>
      </c>
      <c r="B1091" s="9" t="str">
        <f>HYPERLINK("https://twitter.com/KevinColley1987","@KevinColley1987")</f>
        <v>@KevinColley1987</v>
      </c>
      <c r="C1091" s="10" t="s">
        <v>4916</v>
      </c>
      <c r="D1091" s="10" t="s">
        <v>4917</v>
      </c>
      <c r="E1091" s="9" t="str">
        <f>HYPERLINK("https://twitter.com/KevinColley1987/status/1218582437283934209","1218582437283934209")</f>
        <v>1218582437283934209</v>
      </c>
      <c r="F1091" s="13"/>
      <c r="G1091" s="13"/>
      <c r="H1091" s="13"/>
      <c r="I1091" s="14">
        <v>0.0</v>
      </c>
      <c r="J1091" s="14">
        <v>5.0</v>
      </c>
      <c r="K1091" s="9" t="str">
        <f>HYPERLINK("http://twitter.com/download/android","Twitter for Android")</f>
        <v>Twitter for Android</v>
      </c>
      <c r="L1091" s="15">
        <v>232.0</v>
      </c>
      <c r="M1091" s="15">
        <v>282.0</v>
      </c>
      <c r="N1091" s="15">
        <v>23.0</v>
      </c>
      <c r="O1091" s="16"/>
      <c r="P1091" s="17">
        <v>42251.16028935185</v>
      </c>
      <c r="Q1091" s="10" t="s">
        <v>4918</v>
      </c>
      <c r="R1091" s="10" t="s">
        <v>4919</v>
      </c>
      <c r="S1091" s="11" t="s">
        <v>4920</v>
      </c>
      <c r="T1091" s="13"/>
      <c r="U1091" s="18" t="str">
        <f>HYPERLINK("https://pbs.twimg.com/profile_images/1033630265250336768/PhIPwIK0.jpg","View")</f>
        <v>View</v>
      </c>
      <c r="V1091" s="13"/>
      <c r="W1091" s="13"/>
      <c r="X1091" s="13"/>
      <c r="Y1091" s="13"/>
      <c r="Z1091" s="13"/>
    </row>
    <row r="1092">
      <c r="A1092" s="8">
        <v>43848.509733796294</v>
      </c>
      <c r="B1092" s="9" t="str">
        <f>HYPERLINK("https://twitter.com/darrenmmatthews","@darrenmmatthews")</f>
        <v>@darrenmmatthews</v>
      </c>
      <c r="C1092" s="10" t="s">
        <v>4921</v>
      </c>
      <c r="D1092" s="10" t="s">
        <v>4922</v>
      </c>
      <c r="E1092" s="9" t="str">
        <f>HYPERLINK("https://twitter.com/darrenmmatthews/status/1218582328387260418","1218582328387260418")</f>
        <v>1218582328387260418</v>
      </c>
      <c r="F1092" s="11" t="s">
        <v>4923</v>
      </c>
      <c r="G1092" s="11" t="s">
        <v>4924</v>
      </c>
      <c r="H1092" s="13"/>
      <c r="I1092" s="14">
        <v>0.0</v>
      </c>
      <c r="J1092" s="14">
        <v>1.0</v>
      </c>
      <c r="K1092" s="9" t="str">
        <f>HYPERLINK("https://buffer.com","Buffer")</f>
        <v>Buffer</v>
      </c>
      <c r="L1092" s="15">
        <v>196.0</v>
      </c>
      <c r="M1092" s="15">
        <v>535.0</v>
      </c>
      <c r="N1092" s="15">
        <v>8.0</v>
      </c>
      <c r="O1092" s="16"/>
      <c r="P1092" s="17">
        <v>40282.27357638889</v>
      </c>
      <c r="Q1092" s="10" t="s">
        <v>4925</v>
      </c>
      <c r="R1092" s="10" t="s">
        <v>4926</v>
      </c>
      <c r="S1092" s="11" t="s">
        <v>4927</v>
      </c>
      <c r="T1092" s="13"/>
      <c r="U1092" s="18" t="str">
        <f>HYPERLINK("https://pbs.twimg.com/profile_images/1053037548690448385/gY99XfOT.jpg","View")</f>
        <v>View</v>
      </c>
      <c r="V1092" s="13"/>
      <c r="W1092" s="13"/>
      <c r="X1092" s="13"/>
      <c r="Y1092" s="13"/>
      <c r="Z1092" s="13"/>
    </row>
    <row r="1093">
      <c r="A1093" s="8">
        <v>43848.50949074074</v>
      </c>
      <c r="B1093" s="9" t="str">
        <f>HYPERLINK("https://twitter.com/happymovement_","@happymovement_")</f>
        <v>@happymovement_</v>
      </c>
      <c r="C1093" s="10" t="s">
        <v>4928</v>
      </c>
      <c r="D1093" s="10" t="s">
        <v>4929</v>
      </c>
      <c r="E1093" s="9" t="str">
        <f>HYPERLINK("https://twitter.com/happymovement_/status/1218582238389882880","1218582238389882880")</f>
        <v>1218582238389882880</v>
      </c>
      <c r="F1093" s="11" t="s">
        <v>4930</v>
      </c>
      <c r="G1093" s="13"/>
      <c r="H1093" s="13"/>
      <c r="I1093" s="14">
        <v>1.0</v>
      </c>
      <c r="J1093" s="14">
        <v>0.0</v>
      </c>
      <c r="K1093" s="9" t="str">
        <f>HYPERLINK("https://mobile.twitter.com","Twitter Web App")</f>
        <v>Twitter Web App</v>
      </c>
      <c r="L1093" s="15">
        <v>765.0</v>
      </c>
      <c r="M1093" s="15">
        <v>314.0</v>
      </c>
      <c r="N1093" s="15">
        <v>28.0</v>
      </c>
      <c r="O1093" s="16"/>
      <c r="P1093" s="17">
        <v>42388.512291666666</v>
      </c>
      <c r="Q1093" s="10" t="s">
        <v>24</v>
      </c>
      <c r="R1093" s="10" t="s">
        <v>4931</v>
      </c>
      <c r="S1093" s="11" t="s">
        <v>4932</v>
      </c>
      <c r="T1093" s="13"/>
      <c r="U1093" s="18" t="str">
        <f>HYPERLINK("https://pbs.twimg.com/profile_images/991132099858989056/sfuo5D6f.jpg","View")</f>
        <v>View</v>
      </c>
      <c r="V1093" s="13"/>
      <c r="W1093" s="13"/>
      <c r="X1093" s="13"/>
      <c r="Y1093" s="13"/>
      <c r="Z1093" s="13"/>
    </row>
    <row r="1094">
      <c r="A1094" s="8">
        <v>43848.50912037037</v>
      </c>
      <c r="B1094" s="9" t="str">
        <f>HYPERLINK("https://twitter.com/MHConvos","@MHConvos")</f>
        <v>@MHConvos</v>
      </c>
      <c r="C1094" s="10" t="s">
        <v>4933</v>
      </c>
      <c r="D1094" s="10" t="s">
        <v>4934</v>
      </c>
      <c r="E1094" s="9" t="str">
        <f>HYPERLINK("https://twitter.com/MHConvos/status/1218582104528883712","1218582104528883712")</f>
        <v>1218582104528883712</v>
      </c>
      <c r="F1094" s="13"/>
      <c r="G1094" s="13"/>
      <c r="H1094" s="13"/>
      <c r="I1094" s="14">
        <v>0.0</v>
      </c>
      <c r="J1094" s="14">
        <v>8.0</v>
      </c>
      <c r="K1094" s="9" t="str">
        <f>HYPERLINK("http://twitter.com/download/iphone","Twitter for iPhone")</f>
        <v>Twitter for iPhone</v>
      </c>
      <c r="L1094" s="15">
        <v>636.0</v>
      </c>
      <c r="M1094" s="15">
        <v>600.0</v>
      </c>
      <c r="N1094" s="15">
        <v>1.0</v>
      </c>
      <c r="O1094" s="16"/>
      <c r="P1094" s="17">
        <v>43792.908368055556</v>
      </c>
      <c r="Q1094" s="13"/>
      <c r="R1094" s="10" t="s">
        <v>4935</v>
      </c>
      <c r="S1094" s="13"/>
      <c r="T1094" s="13"/>
      <c r="U1094" s="18" t="str">
        <f>HYPERLINK("https://pbs.twimg.com/profile_images/1215426213507817472/OMrKBpaz.jpg","View")</f>
        <v>View</v>
      </c>
      <c r="V1094" s="13"/>
      <c r="W1094" s="13"/>
      <c r="X1094" s="13"/>
      <c r="Y1094" s="13"/>
      <c r="Z1094" s="13"/>
    </row>
    <row r="1095">
      <c r="A1095" s="8">
        <v>43848.5084375</v>
      </c>
      <c r="B1095" s="9" t="str">
        <f>HYPERLINK("https://twitter.com/Trauma_Practice","@Trauma_Practice")</f>
        <v>@Trauma_Practice</v>
      </c>
      <c r="C1095" s="10" t="s">
        <v>4936</v>
      </c>
      <c r="D1095" s="10" t="s">
        <v>4937</v>
      </c>
      <c r="E1095" s="9" t="str">
        <f>HYPERLINK("https://twitter.com/Trauma_Practice/status/1218581856993652742","1218581856993652742")</f>
        <v>1218581856993652742</v>
      </c>
      <c r="F1095" s="11" t="s">
        <v>4938</v>
      </c>
      <c r="G1095" s="13"/>
      <c r="H1095" s="13"/>
      <c r="I1095" s="14">
        <v>0.0</v>
      </c>
      <c r="J1095" s="14">
        <v>0.0</v>
      </c>
      <c r="K1095" s="9" t="str">
        <f>HYPERLINK("http://app.sendblur.com","Social Media Publisher App ")</f>
        <v>Social Media Publisher App </v>
      </c>
      <c r="L1095" s="15">
        <v>939.0</v>
      </c>
      <c r="M1095" s="15">
        <v>1143.0</v>
      </c>
      <c r="N1095" s="15">
        <v>32.0</v>
      </c>
      <c r="O1095" s="16"/>
      <c r="P1095" s="17">
        <v>40467.61224537037</v>
      </c>
      <c r="Q1095" s="10" t="s">
        <v>177</v>
      </c>
      <c r="R1095" s="10" t="s">
        <v>4939</v>
      </c>
      <c r="S1095" s="11" t="s">
        <v>4940</v>
      </c>
      <c r="T1095" s="13"/>
      <c r="U1095" s="18" t="str">
        <f>HYPERLINK("https://pbs.twimg.com/profile_images/1110229661659877376/kdk-VziH.png","View")</f>
        <v>View</v>
      </c>
      <c r="V1095" s="13"/>
      <c r="W1095" s="13"/>
      <c r="X1095" s="13"/>
      <c r="Y1095" s="13"/>
      <c r="Z1095" s="13"/>
    </row>
    <row r="1096">
      <c r="A1096" s="8">
        <v>43848.50839120371</v>
      </c>
      <c r="B1096" s="9" t="str">
        <f>HYPERLINK("https://twitter.com/hanna_higher","@hanna_higher")</f>
        <v>@hanna_higher</v>
      </c>
      <c r="C1096" s="10" t="s">
        <v>1486</v>
      </c>
      <c r="D1096" s="10" t="s">
        <v>4941</v>
      </c>
      <c r="E1096" s="9" t="str">
        <f>HYPERLINK("https://twitter.com/hanna_higher/status/1218581838073139200","1218581838073139200")</f>
        <v>1218581838073139200</v>
      </c>
      <c r="F1096" s="11" t="s">
        <v>4942</v>
      </c>
      <c r="G1096" s="13"/>
      <c r="H1096" s="13"/>
      <c r="I1096" s="14">
        <v>0.0</v>
      </c>
      <c r="J1096" s="14">
        <v>0.0</v>
      </c>
      <c r="K1096" s="9" t="str">
        <f>HYPERLINK("https://coschedule.com","CoSchedule")</f>
        <v>CoSchedule</v>
      </c>
      <c r="L1096" s="15">
        <v>32622.0</v>
      </c>
      <c r="M1096" s="15">
        <v>22883.0</v>
      </c>
      <c r="N1096" s="15">
        <v>321.0</v>
      </c>
      <c r="O1096" s="16"/>
      <c r="P1096" s="17">
        <v>42464.42574074074</v>
      </c>
      <c r="Q1096" s="10" t="s">
        <v>382</v>
      </c>
      <c r="R1096" s="10" t="s">
        <v>1489</v>
      </c>
      <c r="S1096" s="11" t="s">
        <v>1490</v>
      </c>
      <c r="T1096" s="13"/>
      <c r="U1096" s="18" t="str">
        <f>HYPERLINK("https://pbs.twimg.com/profile_images/1170703917379928066/9Wzw-O1O.jpg","View")</f>
        <v>View</v>
      </c>
      <c r="V1096" s="13"/>
      <c r="W1096" s="13"/>
      <c r="X1096" s="13"/>
      <c r="Y1096" s="13"/>
      <c r="Z1096" s="13"/>
    </row>
    <row r="1097">
      <c r="A1097" s="8">
        <v>43848.508356481485</v>
      </c>
      <c r="B1097" s="9" t="str">
        <f>HYPERLINK("https://twitter.com/HeadHeart_Chi","@HeadHeart_Chi")</f>
        <v>@HeadHeart_Chi</v>
      </c>
      <c r="C1097" s="10" t="s">
        <v>4943</v>
      </c>
      <c r="D1097" s="10" t="s">
        <v>4944</v>
      </c>
      <c r="E1097" s="9" t="str">
        <f>HYPERLINK("https://twitter.com/HeadHeart_Chi/status/1218581828384194560","1218581828384194560")</f>
        <v>1218581828384194560</v>
      </c>
      <c r="F1097" s="13"/>
      <c r="G1097" s="11" t="s">
        <v>4945</v>
      </c>
      <c r="H1097" s="13"/>
      <c r="I1097" s="14">
        <v>0.0</v>
      </c>
      <c r="J1097" s="14">
        <v>1.0</v>
      </c>
      <c r="K1097" s="9" t="str">
        <f>HYPERLINK("https://ifttt.com","IFTTT")</f>
        <v>IFTTT</v>
      </c>
      <c r="L1097" s="15">
        <v>272.0</v>
      </c>
      <c r="M1097" s="15">
        <v>592.0</v>
      </c>
      <c r="N1097" s="15">
        <v>4.0</v>
      </c>
      <c r="O1097" s="16"/>
      <c r="P1097" s="17">
        <v>41596.78396990741</v>
      </c>
      <c r="Q1097" s="10" t="s">
        <v>4946</v>
      </c>
      <c r="R1097" s="10" t="s">
        <v>4947</v>
      </c>
      <c r="S1097" s="11" t="s">
        <v>4948</v>
      </c>
      <c r="T1097" s="13"/>
      <c r="U1097" s="18" t="str">
        <f>HYPERLINK("https://pbs.twimg.com/profile_images/378800000759227578/9c7374cf1c74ff85cf1bb7a69be50916.jpeg","View")</f>
        <v>View</v>
      </c>
      <c r="V1097" s="13"/>
      <c r="W1097" s="13"/>
      <c r="X1097" s="13"/>
      <c r="Y1097" s="13"/>
      <c r="Z1097" s="13"/>
    </row>
    <row r="1098">
      <c r="A1098" s="8">
        <v>43848.508101851854</v>
      </c>
      <c r="B1098" s="9" t="str">
        <f>HYPERLINK("https://twitter.com/truthnationca","@truthnationca")</f>
        <v>@truthnationca</v>
      </c>
      <c r="C1098" s="10" t="s">
        <v>4949</v>
      </c>
      <c r="D1098" s="10" t="s">
        <v>4950</v>
      </c>
      <c r="E1098" s="9" t="str">
        <f>HYPERLINK("https://twitter.com/truthnationca/status/1218581733781708800","1218581733781708800")</f>
        <v>1218581733781708800</v>
      </c>
      <c r="F1098" s="13"/>
      <c r="G1098" s="11" t="s">
        <v>4951</v>
      </c>
      <c r="H1098" s="13"/>
      <c r="I1098" s="14">
        <v>1.0</v>
      </c>
      <c r="J1098" s="14">
        <v>0.0</v>
      </c>
      <c r="K1098" s="9" t="str">
        <f>HYPERLINK("https://www.hootsuite.com","Hootsuite Inc.")</f>
        <v>Hootsuite Inc.</v>
      </c>
      <c r="L1098" s="15">
        <v>714.0</v>
      </c>
      <c r="M1098" s="15">
        <v>1300.0</v>
      </c>
      <c r="N1098" s="15">
        <v>14.0</v>
      </c>
      <c r="O1098" s="16"/>
      <c r="P1098" s="17">
        <v>41544.78564814815</v>
      </c>
      <c r="Q1098" s="13"/>
      <c r="R1098" s="13"/>
      <c r="S1098" s="11" t="s">
        <v>4952</v>
      </c>
      <c r="T1098" s="13"/>
      <c r="U1098" s="18" t="str">
        <f>HYPERLINK("https://pbs.twimg.com/profile_images/864941082076782592/HBMjQZor.jpg","View")</f>
        <v>View</v>
      </c>
      <c r="V1098" s="13"/>
      <c r="W1098" s="13"/>
      <c r="X1098" s="13"/>
      <c r="Y1098" s="13"/>
      <c r="Z1098" s="13"/>
    </row>
    <row r="1099">
      <c r="A1099" s="8">
        <v>43848.5080787037</v>
      </c>
      <c r="B1099" s="9" t="str">
        <f>HYPERLINK("https://twitter.com/jonathanlevitt","@jonathanlevitt")</f>
        <v>@jonathanlevitt</v>
      </c>
      <c r="C1099" s="10" t="s">
        <v>4953</v>
      </c>
      <c r="D1099" s="10" t="s">
        <v>4954</v>
      </c>
      <c r="E1099" s="9" t="str">
        <f>HYPERLINK("https://twitter.com/jonathanlevitt/status/1218581728924766218","1218581728924766218")</f>
        <v>1218581728924766218</v>
      </c>
      <c r="F1099" s="11" t="s">
        <v>4955</v>
      </c>
      <c r="G1099" s="13"/>
      <c r="H1099" s="13"/>
      <c r="I1099" s="14">
        <v>0.0</v>
      </c>
      <c r="J1099" s="14">
        <v>0.0</v>
      </c>
      <c r="K1099" s="9" t="str">
        <f>HYPERLINK("https://paper.li","Paper.li")</f>
        <v>Paper.li</v>
      </c>
      <c r="L1099" s="15">
        <v>23999.0</v>
      </c>
      <c r="M1099" s="15">
        <v>1772.0</v>
      </c>
      <c r="N1099" s="15">
        <v>453.0</v>
      </c>
      <c r="O1099" s="21" t="s">
        <v>522</v>
      </c>
      <c r="P1099" s="17">
        <v>39597.50579861111</v>
      </c>
      <c r="Q1099" s="10" t="s">
        <v>4956</v>
      </c>
      <c r="R1099" s="10" t="s">
        <v>4957</v>
      </c>
      <c r="S1099" s="11" t="s">
        <v>4958</v>
      </c>
      <c r="T1099" s="13"/>
      <c r="U1099" s="18" t="str">
        <f>HYPERLINK("https://pbs.twimg.com/profile_images/695345380871917569/eSSF3tiH.jpg","View")</f>
        <v>View</v>
      </c>
      <c r="V1099" s="13"/>
      <c r="W1099" s="13"/>
      <c r="X1099" s="13"/>
      <c r="Y1099" s="13"/>
      <c r="Z1099" s="13"/>
    </row>
    <row r="1100">
      <c r="A1100" s="8">
        <v>43848.507731481484</v>
      </c>
      <c r="B1100" s="9" t="str">
        <f>HYPERLINK("https://twitter.com/sbssforme","@sbssforme")</f>
        <v>@sbssforme</v>
      </c>
      <c r="C1100" s="10" t="s">
        <v>4959</v>
      </c>
      <c r="D1100" s="10" t="s">
        <v>4960</v>
      </c>
      <c r="E1100" s="9" t="str">
        <f>HYPERLINK("https://twitter.com/sbssforme/status/1218581601602244610","1218581601602244610")</f>
        <v>1218581601602244610</v>
      </c>
      <c r="F1100" s="11" t="s">
        <v>4961</v>
      </c>
      <c r="G1100" s="11" t="s">
        <v>4962</v>
      </c>
      <c r="H1100" s="13"/>
      <c r="I1100" s="14">
        <v>0.0</v>
      </c>
      <c r="J1100" s="14">
        <v>1.0</v>
      </c>
      <c r="K1100" s="9" t="str">
        <f t="shared" ref="K1100:K1101" si="131">HYPERLINK("http://twitter.com/download/iphone","Twitter for iPhone")</f>
        <v>Twitter for iPhone</v>
      </c>
      <c r="L1100" s="15">
        <v>152.0</v>
      </c>
      <c r="M1100" s="15">
        <v>239.0</v>
      </c>
      <c r="N1100" s="15">
        <v>2.0</v>
      </c>
      <c r="O1100" s="16"/>
      <c r="P1100" s="17">
        <v>43767.61344907407</v>
      </c>
      <c r="Q1100" s="10" t="s">
        <v>24</v>
      </c>
      <c r="R1100" s="10" t="s">
        <v>4963</v>
      </c>
      <c r="S1100" s="11" t="s">
        <v>4964</v>
      </c>
      <c r="T1100" s="13"/>
      <c r="U1100" s="18" t="str">
        <f>HYPERLINK("https://pbs.twimg.com/profile_images/1191240230365302785/edWasDoD.jpg","View")</f>
        <v>View</v>
      </c>
      <c r="V1100" s="13"/>
      <c r="W1100" s="13"/>
      <c r="X1100" s="13"/>
      <c r="Y1100" s="13"/>
      <c r="Z1100" s="13"/>
    </row>
    <row r="1101">
      <c r="A1101" s="8">
        <v>43848.50739583334</v>
      </c>
      <c r="B1101" s="9" t="str">
        <f>HYPERLINK("https://twitter.com/SusanaDeLeonMD","@SusanaDeLeonMD")</f>
        <v>@SusanaDeLeonMD</v>
      </c>
      <c r="C1101" s="10" t="s">
        <v>4965</v>
      </c>
      <c r="D1101" s="10" t="s">
        <v>4966</v>
      </c>
      <c r="E1101" s="9" t="str">
        <f>HYPERLINK("https://twitter.com/SusanaDeLeonMD/status/1218581479351078913","1218581479351078913")</f>
        <v>1218581479351078913</v>
      </c>
      <c r="F1101" s="11" t="s">
        <v>4967</v>
      </c>
      <c r="G1101" s="13"/>
      <c r="H1101" s="13"/>
      <c r="I1101" s="14">
        <v>1.0</v>
      </c>
      <c r="J1101" s="14">
        <v>2.0</v>
      </c>
      <c r="K1101" s="9" t="str">
        <f t="shared" si="131"/>
        <v>Twitter for iPhone</v>
      </c>
      <c r="L1101" s="15">
        <v>18176.0</v>
      </c>
      <c r="M1101" s="15">
        <v>18233.0</v>
      </c>
      <c r="N1101" s="15">
        <v>1135.0</v>
      </c>
      <c r="O1101" s="16"/>
      <c r="P1101" s="17">
        <v>40789.91793981481</v>
      </c>
      <c r="Q1101" s="10" t="s">
        <v>4968</v>
      </c>
      <c r="R1101" s="10" t="s">
        <v>4969</v>
      </c>
      <c r="S1101" s="13"/>
      <c r="T1101" s="13"/>
      <c r="U1101" s="18" t="str">
        <f>HYPERLINK("https://pbs.twimg.com/profile_images/949296764603035650/asBYYLun.jpg","View")</f>
        <v>View</v>
      </c>
      <c r="V1101" s="13"/>
      <c r="W1101" s="13"/>
      <c r="X1101" s="13"/>
      <c r="Y1101" s="13"/>
      <c r="Z1101" s="13"/>
    </row>
    <row r="1102">
      <c r="A1102" s="8">
        <v>43848.50707175926</v>
      </c>
      <c r="B1102" s="9" t="str">
        <f>HYPERLINK("https://twitter.com/KingswayLiving","@KingswayLiving")</f>
        <v>@KingswayLiving</v>
      </c>
      <c r="C1102" s="10" t="s">
        <v>4970</v>
      </c>
      <c r="D1102" s="10" t="s">
        <v>4971</v>
      </c>
      <c r="E1102" s="9" t="str">
        <f>HYPERLINK("https://twitter.com/KingswayLiving/status/1218581363265277952","1218581363265277952")</f>
        <v>1218581363265277952</v>
      </c>
      <c r="F1102" s="13"/>
      <c r="G1102" s="11" t="s">
        <v>4972</v>
      </c>
      <c r="H1102" s="13"/>
      <c r="I1102" s="14">
        <v>0.0</v>
      </c>
      <c r="J1102" s="14">
        <v>0.0</v>
      </c>
      <c r="K1102" s="9" t="str">
        <f>HYPERLINK("https://www.hootsuite.com","Hootsuite Inc.")</f>
        <v>Hootsuite Inc.</v>
      </c>
      <c r="L1102" s="15">
        <v>9.0</v>
      </c>
      <c r="M1102" s="15">
        <v>1.0</v>
      </c>
      <c r="N1102" s="15">
        <v>0.0</v>
      </c>
      <c r="O1102" s="16"/>
      <c r="P1102" s="17">
        <v>43181.63048611111</v>
      </c>
      <c r="Q1102" s="10" t="s">
        <v>4973</v>
      </c>
      <c r="R1102" s="10" t="s">
        <v>4974</v>
      </c>
      <c r="S1102" s="11" t="s">
        <v>4975</v>
      </c>
      <c r="T1102" s="13"/>
      <c r="U1102" s="18" t="str">
        <f>HYPERLINK("https://pbs.twimg.com/profile_images/1014233797749977088/5IQUwmav.jpg","View")</f>
        <v>View</v>
      </c>
      <c r="V1102" s="13"/>
      <c r="W1102" s="13"/>
      <c r="X1102" s="13"/>
      <c r="Y1102" s="13"/>
      <c r="Z1102" s="13"/>
    </row>
    <row r="1103">
      <c r="A1103" s="8">
        <v>43848.50640046297</v>
      </c>
      <c r="B1103" s="9" t="str">
        <f>HYPERLINK("https://twitter.com/JoeAccardi","@JoeAccardi")</f>
        <v>@JoeAccardi</v>
      </c>
      <c r="C1103" s="10" t="s">
        <v>570</v>
      </c>
      <c r="D1103" s="10" t="s">
        <v>4976</v>
      </c>
      <c r="E1103" s="9" t="str">
        <f>HYPERLINK("https://twitter.com/JoeAccardi/status/1218581118125051906","1218581118125051906")</f>
        <v>1218581118125051906</v>
      </c>
      <c r="F1103" s="11" t="s">
        <v>3298</v>
      </c>
      <c r="G1103" s="13"/>
      <c r="H1103" s="13"/>
      <c r="I1103" s="14">
        <v>0.0</v>
      </c>
      <c r="J1103" s="14">
        <v>0.0</v>
      </c>
      <c r="K1103" s="9" t="str">
        <f>HYPERLINK("http://apps.twitter.com","Tweet4Joe")</f>
        <v>Tweet4Joe</v>
      </c>
      <c r="L1103" s="15">
        <v>7452.0</v>
      </c>
      <c r="M1103" s="15">
        <v>3963.0</v>
      </c>
      <c r="N1103" s="15">
        <v>180.0</v>
      </c>
      <c r="O1103" s="16"/>
      <c r="P1103" s="17">
        <v>41954.40488425926</v>
      </c>
      <c r="Q1103" s="10" t="s">
        <v>73</v>
      </c>
      <c r="R1103" s="10" t="s">
        <v>573</v>
      </c>
      <c r="S1103" s="11" t="s">
        <v>574</v>
      </c>
      <c r="T1103" s="13"/>
      <c r="U1103" s="18" t="str">
        <f>HYPERLINK("https://pbs.twimg.com/profile_images/532181977642721280/iVWYxAYE.jpeg","View")</f>
        <v>View</v>
      </c>
      <c r="V1103" s="13"/>
      <c r="W1103" s="13"/>
      <c r="X1103" s="13"/>
      <c r="Y1103" s="13"/>
      <c r="Z1103" s="13"/>
    </row>
    <row r="1104">
      <c r="A1104" s="8">
        <v>43848.5062962963</v>
      </c>
      <c r="B1104" s="9" t="str">
        <f>HYPERLINK("https://twitter.com/CriticalCareDVM","@CriticalCareDVM")</f>
        <v>@CriticalCareDVM</v>
      </c>
      <c r="C1104" s="10" t="s">
        <v>4977</v>
      </c>
      <c r="D1104" s="10" t="s">
        <v>4978</v>
      </c>
      <c r="E1104" s="9" t="str">
        <f>HYPERLINK("https://twitter.com/CriticalCareDVM/status/1218581079390588928","1218581079390588928")</f>
        <v>1218581079390588928</v>
      </c>
      <c r="F1104" s="11" t="s">
        <v>4979</v>
      </c>
      <c r="G1104" s="13"/>
      <c r="H1104" s="13"/>
      <c r="I1104" s="14">
        <v>0.0</v>
      </c>
      <c r="J1104" s="14">
        <v>1.0</v>
      </c>
      <c r="K1104" s="9" t="str">
        <f>HYPERLINK("http://instagram.com","Instagram")</f>
        <v>Instagram</v>
      </c>
      <c r="L1104" s="15">
        <v>1883.0</v>
      </c>
      <c r="M1104" s="15">
        <v>622.0</v>
      </c>
      <c r="N1104" s="15">
        <v>40.0</v>
      </c>
      <c r="O1104" s="16"/>
      <c r="P1104" s="17">
        <v>41013.6784837963</v>
      </c>
      <c r="Q1104" s="13"/>
      <c r="R1104" s="10" t="s">
        <v>4980</v>
      </c>
      <c r="S1104" s="11" t="s">
        <v>4981</v>
      </c>
      <c r="T1104" s="13"/>
      <c r="U1104" s="18" t="str">
        <f>HYPERLINK("https://pbs.twimg.com/profile_images/1131212968245514242/6N8KRSXk.png","View")</f>
        <v>View</v>
      </c>
      <c r="V1104" s="13"/>
      <c r="W1104" s="13"/>
      <c r="X1104" s="13"/>
      <c r="Y1104" s="13"/>
      <c r="Z1104" s="13"/>
    </row>
    <row r="1105">
      <c r="A1105" s="8">
        <v>43848.50575231481</v>
      </c>
      <c r="B1105" s="9" t="str">
        <f>HYPERLINK("https://twitter.com/xuphtobe","@xuphtobe")</f>
        <v>@xuphtobe</v>
      </c>
      <c r="C1105" s="10" t="s">
        <v>4982</v>
      </c>
      <c r="D1105" s="10" t="s">
        <v>238</v>
      </c>
      <c r="E1105" s="9" t="str">
        <f>HYPERLINK("https://twitter.com/xuphtobe/status/1218580884011569153","1218580884011569153")</f>
        <v>1218580884011569153</v>
      </c>
      <c r="F1105" s="13"/>
      <c r="G1105" s="13"/>
      <c r="H1105" s="13"/>
      <c r="I1105" s="14">
        <v>0.0</v>
      </c>
      <c r="J1105" s="14">
        <v>3.0</v>
      </c>
      <c r="K1105" s="9" t="str">
        <f>HYPERLINK("http://twitter.com/download/android","Twitter for Android")</f>
        <v>Twitter for Android</v>
      </c>
      <c r="L1105" s="15">
        <v>717.0</v>
      </c>
      <c r="M1105" s="15">
        <v>1051.0</v>
      </c>
      <c r="N1105" s="15">
        <v>0.0</v>
      </c>
      <c r="O1105" s="16"/>
      <c r="P1105" s="17">
        <v>42411.71262731482</v>
      </c>
      <c r="Q1105" s="10" t="s">
        <v>4983</v>
      </c>
      <c r="R1105" s="10" t="s">
        <v>4984</v>
      </c>
      <c r="S1105" s="13"/>
      <c r="T1105" s="13"/>
      <c r="U1105" s="18" t="str">
        <f>HYPERLINK("https://pbs.twimg.com/profile_images/1213781165573844992/5VsmXuOa.jpg","View")</f>
        <v>View</v>
      </c>
      <c r="V1105" s="13"/>
      <c r="W1105" s="13"/>
      <c r="X1105" s="13"/>
      <c r="Y1105" s="13"/>
      <c r="Z1105" s="13"/>
    </row>
    <row r="1106">
      <c r="A1106" s="8">
        <v>43848.50548611111</v>
      </c>
      <c r="B1106" s="9" t="str">
        <f>HYPERLINK("https://twitter.com/IntrovertedPath","@IntrovertedPath")</f>
        <v>@IntrovertedPath</v>
      </c>
      <c r="C1106" s="10" t="s">
        <v>4985</v>
      </c>
      <c r="D1106" s="10" t="s">
        <v>4986</v>
      </c>
      <c r="E1106" s="9" t="str">
        <f>HYPERLINK("https://twitter.com/IntrovertedPath/status/1218580785264984065","1218580785264984065")</f>
        <v>1218580785264984065</v>
      </c>
      <c r="F1106" s="13"/>
      <c r="G1106" s="13"/>
      <c r="H1106" s="13"/>
      <c r="I1106" s="14">
        <v>1.0</v>
      </c>
      <c r="J1106" s="14">
        <v>3.0</v>
      </c>
      <c r="K1106" s="9" t="str">
        <f t="shared" ref="K1106:K1107" si="132">HYPERLINK("https://mobile.twitter.com","Twitter Web App")</f>
        <v>Twitter Web App</v>
      </c>
      <c r="L1106" s="15">
        <v>20.0</v>
      </c>
      <c r="M1106" s="15">
        <v>225.0</v>
      </c>
      <c r="N1106" s="15">
        <v>0.0</v>
      </c>
      <c r="O1106" s="16"/>
      <c r="P1106" s="17">
        <v>43771.768483796295</v>
      </c>
      <c r="Q1106" s="10" t="s">
        <v>4987</v>
      </c>
      <c r="R1106" s="10" t="s">
        <v>4988</v>
      </c>
      <c r="S1106" s="13"/>
      <c r="T1106" s="13"/>
      <c r="U1106" s="18" t="str">
        <f>HYPERLINK("https://pbs.twimg.com/profile_images/1199137947808915457/3i-RoD4l.jpg","View")</f>
        <v>View</v>
      </c>
      <c r="V1106" s="13"/>
      <c r="W1106" s="13"/>
      <c r="X1106" s="13"/>
      <c r="Y1106" s="13"/>
      <c r="Z1106" s="13"/>
    </row>
    <row r="1107">
      <c r="A1107" s="8">
        <v>43848.50521990741</v>
      </c>
      <c r="B1107" s="9" t="str">
        <f>HYPERLINK("https://twitter.com/TomTwitch91","@TomTwitch91")</f>
        <v>@TomTwitch91</v>
      </c>
      <c r="C1107" s="10" t="s">
        <v>4989</v>
      </c>
      <c r="D1107" s="10" t="s">
        <v>4990</v>
      </c>
      <c r="E1107" s="9" t="str">
        <f>HYPERLINK("https://twitter.com/TomTwitch91/status/1218580688926052352","1218580688926052352")</f>
        <v>1218580688926052352</v>
      </c>
      <c r="F1107" s="11" t="s">
        <v>4991</v>
      </c>
      <c r="G1107" s="13"/>
      <c r="H1107" s="13"/>
      <c r="I1107" s="14">
        <v>0.0</v>
      </c>
      <c r="J1107" s="14">
        <v>1.0</v>
      </c>
      <c r="K1107" s="9" t="str">
        <f t="shared" si="132"/>
        <v>Twitter Web App</v>
      </c>
      <c r="L1107" s="15">
        <v>465.0</v>
      </c>
      <c r="M1107" s="15">
        <v>383.0</v>
      </c>
      <c r="N1107" s="15">
        <v>44.0</v>
      </c>
      <c r="O1107" s="16"/>
      <c r="P1107" s="17">
        <v>40650.97225694444</v>
      </c>
      <c r="Q1107" s="10" t="s">
        <v>24</v>
      </c>
      <c r="R1107" s="13"/>
      <c r="S1107" s="13"/>
      <c r="T1107" s="13"/>
      <c r="U1107" s="18" t="str">
        <f>HYPERLINK("https://pbs.twimg.com/profile_images/1030420191350534144/Uxnn9DvR.jpg","View")</f>
        <v>View</v>
      </c>
      <c r="V1107" s="13"/>
      <c r="W1107" s="13"/>
      <c r="X1107" s="13"/>
      <c r="Y1107" s="13"/>
      <c r="Z1107" s="13"/>
    </row>
    <row r="1108">
      <c r="A1108" s="8">
        <v>43848.50515046297</v>
      </c>
      <c r="B1108" s="9" t="str">
        <f>HYPERLINK("https://twitter.com/AnnaArmadillo","@AnnaArmadillo")</f>
        <v>@AnnaArmadillo</v>
      </c>
      <c r="C1108" s="10" t="s">
        <v>600</v>
      </c>
      <c r="D1108" s="10" t="s">
        <v>4992</v>
      </c>
      <c r="E1108" s="9" t="str">
        <f>HYPERLINK("https://twitter.com/AnnaArmadillo/status/1218580665647665153","1218580665647665153")</f>
        <v>1218580665647665153</v>
      </c>
      <c r="F1108" s="13"/>
      <c r="G1108" s="11" t="s">
        <v>4993</v>
      </c>
      <c r="H1108" s="13"/>
      <c r="I1108" s="14">
        <v>1.0</v>
      </c>
      <c r="J1108" s="14">
        <v>5.0</v>
      </c>
      <c r="K1108" s="9" t="str">
        <f t="shared" ref="K1108:K1110" si="133">HYPERLINK("http://twitter.com/download/android","Twitter for Android")</f>
        <v>Twitter for Android</v>
      </c>
      <c r="L1108" s="15">
        <v>1833.0</v>
      </c>
      <c r="M1108" s="15">
        <v>4905.0</v>
      </c>
      <c r="N1108" s="15">
        <v>8.0</v>
      </c>
      <c r="O1108" s="16"/>
      <c r="P1108" s="17">
        <v>42927.15138888889</v>
      </c>
      <c r="Q1108" s="10" t="s">
        <v>603</v>
      </c>
      <c r="R1108" s="10" t="s">
        <v>604</v>
      </c>
      <c r="S1108" s="11" t="s">
        <v>605</v>
      </c>
      <c r="T1108" s="13"/>
      <c r="U1108" s="18" t="str">
        <f>HYPERLINK("https://pbs.twimg.com/profile_images/1160590662028419081/_OeOK6NT.jpg","View")</f>
        <v>View</v>
      </c>
      <c r="V1108" s="13"/>
      <c r="W1108" s="13"/>
      <c r="X1108" s="13"/>
      <c r="Y1108" s="13"/>
      <c r="Z1108" s="13"/>
    </row>
    <row r="1109">
      <c r="A1109" s="8">
        <v>43848.50445601852</v>
      </c>
      <c r="B1109" s="9" t="str">
        <f>HYPERLINK("https://twitter.com/shattered2386","@shattered2386")</f>
        <v>@shattered2386</v>
      </c>
      <c r="C1109" s="10" t="s">
        <v>1391</v>
      </c>
      <c r="D1109" s="10" t="s">
        <v>4994</v>
      </c>
      <c r="E1109" s="9" t="str">
        <f>HYPERLINK("https://twitter.com/shattered2386/status/1218580413653946368","1218580413653946368")</f>
        <v>1218580413653946368</v>
      </c>
      <c r="F1109" s="13"/>
      <c r="G1109" s="13"/>
      <c r="H1109" s="13"/>
      <c r="I1109" s="14">
        <v>0.0</v>
      </c>
      <c r="J1109" s="14">
        <v>1.0</v>
      </c>
      <c r="K1109" s="9" t="str">
        <f t="shared" si="133"/>
        <v>Twitter for Android</v>
      </c>
      <c r="L1109" s="15">
        <v>17.0</v>
      </c>
      <c r="M1109" s="15">
        <v>40.0</v>
      </c>
      <c r="N1109" s="15">
        <v>0.0</v>
      </c>
      <c r="O1109" s="16"/>
      <c r="P1109" s="17">
        <v>43692.600011574075</v>
      </c>
      <c r="Q1109" s="13"/>
      <c r="R1109" s="10" t="s">
        <v>1394</v>
      </c>
      <c r="S1109" s="13"/>
      <c r="T1109" s="13"/>
      <c r="U1109" s="18" t="str">
        <f>HYPERLINK("https://pbs.twimg.com/profile_images/1162068159056240641/OV62CzBX.jpg","View")</f>
        <v>View</v>
      </c>
      <c r="V1109" s="13"/>
      <c r="W1109" s="13"/>
      <c r="X1109" s="13"/>
      <c r="Y1109" s="13"/>
      <c r="Z1109" s="13"/>
    </row>
    <row r="1110">
      <c r="A1110" s="8">
        <v>43848.50438657407</v>
      </c>
      <c r="B1110" s="9" t="str">
        <f>HYPERLINK("https://twitter.com/AmandaGreenUK","@AmandaGreenUK")</f>
        <v>@AmandaGreenUK</v>
      </c>
      <c r="C1110" s="10" t="s">
        <v>4995</v>
      </c>
      <c r="D1110" s="10" t="s">
        <v>4996</v>
      </c>
      <c r="E1110" s="9" t="str">
        <f>HYPERLINK("https://twitter.com/AmandaGreenUK/status/1218580390467817472","1218580390467817472")</f>
        <v>1218580390467817472</v>
      </c>
      <c r="F1110" s="11" t="s">
        <v>4997</v>
      </c>
      <c r="G1110" s="13"/>
      <c r="H1110" s="13"/>
      <c r="I1110" s="14">
        <v>1.0</v>
      </c>
      <c r="J1110" s="14">
        <v>0.0</v>
      </c>
      <c r="K1110" s="9" t="str">
        <f t="shared" si="133"/>
        <v>Twitter for Android</v>
      </c>
      <c r="L1110" s="15">
        <v>12409.0</v>
      </c>
      <c r="M1110" s="15">
        <v>12163.0</v>
      </c>
      <c r="N1110" s="15">
        <v>1059.0</v>
      </c>
      <c r="O1110" s="16"/>
      <c r="P1110" s="17">
        <v>40963.520833333336</v>
      </c>
      <c r="Q1110" s="10" t="s">
        <v>4998</v>
      </c>
      <c r="R1110" s="10" t="s">
        <v>4999</v>
      </c>
      <c r="S1110" s="11" t="s">
        <v>5000</v>
      </c>
      <c r="T1110" s="13"/>
      <c r="U1110" s="18" t="str">
        <f>HYPERLINK("https://pbs.twimg.com/profile_images/1127663612384952320/XvCz4Pxo.jpg","View")</f>
        <v>View</v>
      </c>
      <c r="V1110" s="13"/>
      <c r="W1110" s="13"/>
      <c r="X1110" s="13"/>
      <c r="Y1110" s="13"/>
      <c r="Z1110" s="13"/>
    </row>
    <row r="1111">
      <c r="A1111" s="8">
        <v>43848.50434027778</v>
      </c>
      <c r="B1111" s="9" t="str">
        <f>HYPERLINK("https://twitter.com/lauripoldre","@lauripoldre")</f>
        <v>@lauripoldre</v>
      </c>
      <c r="C1111" s="10" t="s">
        <v>4716</v>
      </c>
      <c r="D1111" s="10" t="s">
        <v>5001</v>
      </c>
      <c r="E1111" s="9" t="str">
        <f>HYPERLINK("https://twitter.com/lauripoldre/status/1218580372239220737","1218580372239220737")</f>
        <v>1218580372239220737</v>
      </c>
      <c r="F1111" s="11" t="s">
        <v>5002</v>
      </c>
      <c r="G1111" s="13"/>
      <c r="H1111" s="13"/>
      <c r="I1111" s="14">
        <v>0.0</v>
      </c>
      <c r="J1111" s="14">
        <v>1.0</v>
      </c>
      <c r="K1111" s="9" t="str">
        <f>HYPERLINK("https://mobile.twitter.com","Twitter Web App")</f>
        <v>Twitter Web App</v>
      </c>
      <c r="L1111" s="15">
        <v>2493.0</v>
      </c>
      <c r="M1111" s="15">
        <v>1862.0</v>
      </c>
      <c r="N1111" s="15">
        <v>54.0</v>
      </c>
      <c r="O1111" s="16"/>
      <c r="P1111" s="17">
        <v>42571.92189814815</v>
      </c>
      <c r="Q1111" s="10" t="s">
        <v>2050</v>
      </c>
      <c r="R1111" s="10" t="s">
        <v>4719</v>
      </c>
      <c r="S1111" s="11" t="s">
        <v>4720</v>
      </c>
      <c r="T1111" s="13"/>
      <c r="U1111" s="18" t="str">
        <f>HYPERLINK("https://pbs.twimg.com/profile_images/1169252535842091009/bRAaqkap.jpg","View")</f>
        <v>View</v>
      </c>
      <c r="V1111" s="13"/>
      <c r="W1111" s="13"/>
      <c r="X1111" s="13"/>
      <c r="Y1111" s="13"/>
      <c r="Z1111" s="13"/>
    </row>
    <row r="1112">
      <c r="A1112" s="8">
        <v>43848.503483796296</v>
      </c>
      <c r="B1112" s="9" t="str">
        <f>HYPERLINK("https://twitter.com/SkypeTherapist","@SkypeTherapist")</f>
        <v>@SkypeTherapist</v>
      </c>
      <c r="C1112" s="10" t="s">
        <v>39</v>
      </c>
      <c r="D1112" s="10" t="s">
        <v>4569</v>
      </c>
      <c r="E1112" s="9" t="str">
        <f>HYPERLINK("https://twitter.com/SkypeTherapist/status/1218580062758408193","1218580062758408193")</f>
        <v>1218580062758408193</v>
      </c>
      <c r="F1112" s="11" t="s">
        <v>43</v>
      </c>
      <c r="G1112" s="13"/>
      <c r="H1112" s="13"/>
      <c r="I1112" s="14">
        <v>0.0</v>
      </c>
      <c r="J1112" s="14">
        <v>0.0</v>
      </c>
      <c r="K1112" s="9" t="str">
        <f>HYPERLINK("https://buffer.com","Buffer")</f>
        <v>Buffer</v>
      </c>
      <c r="L1112" s="15">
        <v>31074.0</v>
      </c>
      <c r="M1112" s="15">
        <v>29180.0</v>
      </c>
      <c r="N1112" s="15">
        <v>397.0</v>
      </c>
      <c r="O1112" s="16"/>
      <c r="P1112" s="17">
        <v>40131.457777777774</v>
      </c>
      <c r="Q1112" s="10" t="s">
        <v>46</v>
      </c>
      <c r="R1112" s="10" t="s">
        <v>47</v>
      </c>
      <c r="S1112" s="11" t="s">
        <v>43</v>
      </c>
      <c r="T1112" s="13"/>
      <c r="U1112" s="18" t="str">
        <f>HYPERLINK("https://pbs.twimg.com/profile_images/1093911234120798208/G4lphODU.jpg","View")</f>
        <v>View</v>
      </c>
      <c r="V1112" s="13"/>
      <c r="W1112" s="13"/>
      <c r="X1112" s="13"/>
      <c r="Y1112" s="13"/>
      <c r="Z1112" s="13"/>
    </row>
    <row r="1113">
      <c r="A1113" s="8">
        <v>43848.50347222222</v>
      </c>
      <c r="B1113" s="9" t="str">
        <f>HYPERLINK("https://twitter.com/sjfrankdennis","@sjfrankdennis")</f>
        <v>@sjfrankdennis</v>
      </c>
      <c r="C1113" s="10" t="s">
        <v>5003</v>
      </c>
      <c r="D1113" s="10" t="s">
        <v>5004</v>
      </c>
      <c r="E1113" s="9" t="str">
        <f>HYPERLINK("https://twitter.com/sjfrankdennis/status/1218580056731074560","1218580056731074560")</f>
        <v>1218580056731074560</v>
      </c>
      <c r="F1113" s="11" t="s">
        <v>5005</v>
      </c>
      <c r="G1113" s="13"/>
      <c r="H1113" s="13"/>
      <c r="I1113" s="14">
        <v>0.0</v>
      </c>
      <c r="J1113" s="14">
        <v>0.0</v>
      </c>
      <c r="K1113" s="9" t="str">
        <f>HYPERLINK("https://about.twitter.com/products/tweetdeck","TweetDeck")</f>
        <v>TweetDeck</v>
      </c>
      <c r="L1113" s="15">
        <v>2046.0</v>
      </c>
      <c r="M1113" s="15">
        <v>4491.0</v>
      </c>
      <c r="N1113" s="15">
        <v>7.0</v>
      </c>
      <c r="O1113" s="16"/>
      <c r="P1113" s="17">
        <v>41825.05903935185</v>
      </c>
      <c r="Q1113" s="10" t="s">
        <v>5006</v>
      </c>
      <c r="R1113" s="10" t="s">
        <v>5007</v>
      </c>
      <c r="S1113" s="13"/>
      <c r="T1113" s="13"/>
      <c r="U1113" s="18" t="str">
        <f>HYPERLINK("https://pbs.twimg.com/profile_images/1209303346290581504/Ky2pW_Ib.jpg","View")</f>
        <v>View</v>
      </c>
      <c r="V1113" s="13"/>
      <c r="W1113" s="13"/>
      <c r="X1113" s="13"/>
      <c r="Y1113" s="13"/>
      <c r="Z1113" s="13"/>
    </row>
    <row r="1114">
      <c r="A1114" s="8">
        <v>43848.503067129626</v>
      </c>
      <c r="B1114" s="9" t="str">
        <f>HYPERLINK("https://twitter.com/RoseEnDiamant","@RoseEnDiamant")</f>
        <v>@RoseEnDiamant</v>
      </c>
      <c r="C1114" s="10" t="s">
        <v>5008</v>
      </c>
      <c r="D1114" s="10" t="s">
        <v>5009</v>
      </c>
      <c r="E1114" s="9" t="str">
        <f>HYPERLINK("https://twitter.com/RoseEnDiamant/status/1218579910291226624","1218579910291226624")</f>
        <v>1218579910291226624</v>
      </c>
      <c r="F1114" s="11" t="s">
        <v>5010</v>
      </c>
      <c r="G1114" s="13"/>
      <c r="H1114" s="13"/>
      <c r="I1114" s="14">
        <v>0.0</v>
      </c>
      <c r="J1114" s="14">
        <v>0.0</v>
      </c>
      <c r="K1114" s="9" t="str">
        <f>HYPERLINK("http://twitter.com/download/android","Twitter for Android")</f>
        <v>Twitter for Android</v>
      </c>
      <c r="L1114" s="15">
        <v>110.0</v>
      </c>
      <c r="M1114" s="15">
        <v>189.0</v>
      </c>
      <c r="N1114" s="15">
        <v>1.0</v>
      </c>
      <c r="O1114" s="16"/>
      <c r="P1114" s="17">
        <v>43650.800416666665</v>
      </c>
      <c r="Q1114" s="13"/>
      <c r="R1114" s="10" t="s">
        <v>5011</v>
      </c>
      <c r="S1114" s="11" t="s">
        <v>5012</v>
      </c>
      <c r="T1114" s="13"/>
      <c r="U1114" s="18" t="str">
        <f>HYPERLINK("https://pbs.twimg.com/profile_images/1146926306648571904/D0GPcLMX.jpg","View")</f>
        <v>View</v>
      </c>
      <c r="V1114" s="13"/>
      <c r="W1114" s="13"/>
      <c r="X1114" s="13"/>
      <c r="Y1114" s="13"/>
      <c r="Z1114" s="13"/>
    </row>
    <row r="1115">
      <c r="A1115" s="8">
        <v>43848.50246527778</v>
      </c>
      <c r="B1115" s="9" t="str">
        <f>HYPERLINK("https://twitter.com/TGalauska","@TGalauska")</f>
        <v>@TGalauska</v>
      </c>
      <c r="C1115" s="10" t="s">
        <v>5013</v>
      </c>
      <c r="D1115" s="10" t="s">
        <v>5014</v>
      </c>
      <c r="E1115" s="9" t="str">
        <f>HYPERLINK("https://twitter.com/TGalauska/status/1218579693915344897","1218579693915344897")</f>
        <v>1218579693915344897</v>
      </c>
      <c r="F1115" s="11" t="s">
        <v>5015</v>
      </c>
      <c r="G1115" s="13"/>
      <c r="H1115" s="13"/>
      <c r="I1115" s="14">
        <v>0.0</v>
      </c>
      <c r="J1115" s="14">
        <v>0.0</v>
      </c>
      <c r="K1115" s="9" t="str">
        <f>HYPERLINK("https://mobile.twitter.com","Twitter Web App")</f>
        <v>Twitter Web App</v>
      </c>
      <c r="L1115" s="15">
        <v>123.0</v>
      </c>
      <c r="M1115" s="15">
        <v>333.0</v>
      </c>
      <c r="N1115" s="15">
        <v>0.0</v>
      </c>
      <c r="O1115" s="16"/>
      <c r="P1115" s="17">
        <v>43554.23114583333</v>
      </c>
      <c r="Q1115" s="10" t="s">
        <v>5016</v>
      </c>
      <c r="R1115" s="10" t="s">
        <v>5017</v>
      </c>
      <c r="S1115" s="11" t="s">
        <v>5018</v>
      </c>
      <c r="T1115" s="13"/>
      <c r="U1115" s="18" t="str">
        <f>HYPERLINK("https://pbs.twimg.com/profile_images/1111924370035769344/NBhtPrP_.jpg","View")</f>
        <v>View</v>
      </c>
      <c r="V1115" s="13"/>
      <c r="W1115" s="13"/>
      <c r="X1115" s="13"/>
      <c r="Y1115" s="13"/>
      <c r="Z1115" s="13"/>
    </row>
    <row r="1116">
      <c r="A1116" s="8">
        <v>43848.50238425926</v>
      </c>
      <c r="B1116" s="9" t="str">
        <f>HYPERLINK("https://twitter.com/f_metcalfe","@f_metcalfe")</f>
        <v>@f_metcalfe</v>
      </c>
      <c r="C1116" s="10" t="s">
        <v>5019</v>
      </c>
      <c r="D1116" s="10" t="s">
        <v>5020</v>
      </c>
      <c r="E1116" s="9" t="str">
        <f>HYPERLINK("https://twitter.com/f_metcalfe/status/1218579663137669120","1218579663137669120")</f>
        <v>1218579663137669120</v>
      </c>
      <c r="F1116" s="13"/>
      <c r="G1116" s="11" t="s">
        <v>5021</v>
      </c>
      <c r="H1116" s="13"/>
      <c r="I1116" s="14">
        <v>0.0</v>
      </c>
      <c r="J1116" s="14">
        <v>0.0</v>
      </c>
      <c r="K1116" s="9" t="str">
        <f>HYPERLINK("http://twitter.com/download/android","Twitter for Android")</f>
        <v>Twitter for Android</v>
      </c>
      <c r="L1116" s="15">
        <v>72.0</v>
      </c>
      <c r="M1116" s="15">
        <v>126.0</v>
      </c>
      <c r="N1116" s="15">
        <v>0.0</v>
      </c>
      <c r="O1116" s="16"/>
      <c r="P1116" s="17">
        <v>41128.32592592593</v>
      </c>
      <c r="Q1116" s="10" t="s">
        <v>5022</v>
      </c>
      <c r="R1116" s="10" t="s">
        <v>5023</v>
      </c>
      <c r="S1116" s="13"/>
      <c r="T1116" s="13"/>
      <c r="U1116" s="18" t="str">
        <f>HYPERLINK("https://pbs.twimg.com/profile_images/1210614899866505216/0La5W8DD.jpg","View")</f>
        <v>View</v>
      </c>
      <c r="V1116" s="13"/>
      <c r="W1116" s="13"/>
      <c r="X1116" s="13"/>
      <c r="Y1116" s="13"/>
      <c r="Z1116" s="13"/>
    </row>
    <row r="1117">
      <c r="A1117" s="8">
        <v>43848.50206018519</v>
      </c>
      <c r="B1117" s="9" t="str">
        <f>HYPERLINK("https://twitter.com/JMHUSTLE","@JMHUSTLE")</f>
        <v>@JMHUSTLE</v>
      </c>
      <c r="C1117" s="10" t="s">
        <v>5024</v>
      </c>
      <c r="D1117" s="10" t="s">
        <v>5025</v>
      </c>
      <c r="E1117" s="9" t="str">
        <f>HYPERLINK("https://twitter.com/JMHUSTLE/status/1218579544401006592","1218579544401006592")</f>
        <v>1218579544401006592</v>
      </c>
      <c r="F1117" s="13"/>
      <c r="G1117" s="13"/>
      <c r="H1117" s="13"/>
      <c r="I1117" s="14">
        <v>0.0</v>
      </c>
      <c r="J1117" s="14">
        <v>1.0</v>
      </c>
      <c r="K1117" s="9" t="str">
        <f>HYPERLINK("https://mobile.twitter.com","Twitter Web App")</f>
        <v>Twitter Web App</v>
      </c>
      <c r="L1117" s="15">
        <v>163.0</v>
      </c>
      <c r="M1117" s="15">
        <v>0.0</v>
      </c>
      <c r="N1117" s="15">
        <v>9.0</v>
      </c>
      <c r="O1117" s="16"/>
      <c r="P1117" s="17">
        <v>40450.61199074074</v>
      </c>
      <c r="Q1117" s="10" t="s">
        <v>5026</v>
      </c>
      <c r="R1117" s="10" t="s">
        <v>5027</v>
      </c>
      <c r="S1117" s="13"/>
      <c r="T1117" s="13"/>
      <c r="U1117" s="18" t="str">
        <f>HYPERLINK("https://pbs.twimg.com/profile_images/1210190979577171969/6kTQcCfN.jpg","View")</f>
        <v>View</v>
      </c>
      <c r="V1117" s="13"/>
      <c r="W1117" s="13"/>
      <c r="X1117" s="13"/>
      <c r="Y1117" s="13"/>
      <c r="Z1117" s="13"/>
    </row>
    <row r="1118">
      <c r="A1118" s="8">
        <v>43848.50170138889</v>
      </c>
      <c r="B1118" s="9" t="str">
        <f>HYPERLINK("https://twitter.com/theCIOB","@theCIOB")</f>
        <v>@theCIOB</v>
      </c>
      <c r="C1118" s="10" t="s">
        <v>5028</v>
      </c>
      <c r="D1118" s="10" t="s">
        <v>5029</v>
      </c>
      <c r="E1118" s="9" t="str">
        <f>HYPERLINK("https://twitter.com/theCIOB/status/1218579417502560256","1218579417502560256")</f>
        <v>1218579417502560256</v>
      </c>
      <c r="F1118" s="11" t="s">
        <v>5030</v>
      </c>
      <c r="G1118" s="11" t="s">
        <v>5031</v>
      </c>
      <c r="H1118" s="13"/>
      <c r="I1118" s="14">
        <v>1.0</v>
      </c>
      <c r="J1118" s="14">
        <v>10.0</v>
      </c>
      <c r="K1118" s="9" t="str">
        <f>HYPERLINK("http://crowdcontrolhq.com/","CrowdControlHQ")</f>
        <v>CrowdControlHQ</v>
      </c>
      <c r="L1118" s="15">
        <v>37233.0</v>
      </c>
      <c r="M1118" s="15">
        <v>243.0</v>
      </c>
      <c r="N1118" s="15">
        <v>475.0</v>
      </c>
      <c r="O1118" s="21" t="s">
        <v>522</v>
      </c>
      <c r="P1118" s="17">
        <v>40042.3796875</v>
      </c>
      <c r="Q1118" s="10" t="s">
        <v>5032</v>
      </c>
      <c r="R1118" s="10" t="s">
        <v>5033</v>
      </c>
      <c r="S1118" s="11" t="s">
        <v>5034</v>
      </c>
      <c r="T1118" s="13"/>
      <c r="U1118" s="18" t="str">
        <f>HYPERLINK("https://pbs.twimg.com/profile_images/1172121526998654976/1QUsZARs.jpg","View")</f>
        <v>View</v>
      </c>
      <c r="V1118" s="13"/>
      <c r="W1118" s="13"/>
      <c r="X1118" s="13"/>
      <c r="Y1118" s="13"/>
      <c r="Z1118" s="13"/>
    </row>
    <row r="1119">
      <c r="A1119" s="8">
        <v>43848.50162037037</v>
      </c>
      <c r="B1119" s="9" t="str">
        <f>HYPERLINK("https://twitter.com/nrmentalhealth","@nrmentalhealth")</f>
        <v>@nrmentalhealth</v>
      </c>
      <c r="C1119" s="10" t="s">
        <v>4839</v>
      </c>
      <c r="D1119" s="10" t="s">
        <v>5035</v>
      </c>
      <c r="E1119" s="9" t="str">
        <f>HYPERLINK("https://twitter.com/nrmentalhealth/status/1218579384493314048","1218579384493314048")</f>
        <v>1218579384493314048</v>
      </c>
      <c r="F1119" s="13"/>
      <c r="G1119" s="11" t="s">
        <v>5036</v>
      </c>
      <c r="H1119" s="13"/>
      <c r="I1119" s="14">
        <v>6.0</v>
      </c>
      <c r="J1119" s="14">
        <v>27.0</v>
      </c>
      <c r="K1119" s="9" t="str">
        <f>HYPERLINK("https://mobile.twitter.com","Twitter Web App")</f>
        <v>Twitter Web App</v>
      </c>
      <c r="L1119" s="15">
        <v>12699.0</v>
      </c>
      <c r="M1119" s="15">
        <v>5908.0</v>
      </c>
      <c r="N1119" s="15">
        <v>107.0</v>
      </c>
      <c r="O1119" s="16"/>
      <c r="P1119" s="17">
        <v>42861.156875</v>
      </c>
      <c r="Q1119" s="10" t="s">
        <v>4842</v>
      </c>
      <c r="R1119" s="10" t="s">
        <v>4843</v>
      </c>
      <c r="S1119" s="13"/>
      <c r="T1119" s="13"/>
      <c r="U1119" s="18" t="str">
        <f>HYPERLINK("https://pbs.twimg.com/profile_images/860778979019694080/J1zhUtG3.jpg","View")</f>
        <v>View</v>
      </c>
      <c r="V1119" s="13"/>
      <c r="W1119" s="13"/>
      <c r="X1119" s="13"/>
      <c r="Y1119" s="13"/>
      <c r="Z1119" s="13"/>
    </row>
    <row r="1120">
      <c r="A1120" s="8">
        <v>43848.50150462963</v>
      </c>
      <c r="B1120" s="9" t="str">
        <f>HYPERLINK("https://twitter.com/_Paul_Hill_","@_Paul_Hill_")</f>
        <v>@_Paul_Hill_</v>
      </c>
      <c r="C1120" s="10" t="s">
        <v>5037</v>
      </c>
      <c r="D1120" s="10" t="s">
        <v>5038</v>
      </c>
      <c r="E1120" s="9" t="str">
        <f>HYPERLINK("https://twitter.com/_Paul_Hill_/status/1218579344836235264","1218579344836235264")</f>
        <v>1218579344836235264</v>
      </c>
      <c r="F1120" s="13"/>
      <c r="G1120" s="11" t="s">
        <v>5039</v>
      </c>
      <c r="H1120" s="13"/>
      <c r="I1120" s="14">
        <v>2.0</v>
      </c>
      <c r="J1120" s="14">
        <v>29.0</v>
      </c>
      <c r="K1120" s="9" t="str">
        <f>HYPERLINK("http://twitter.com/download/android","Twitter for Android")</f>
        <v>Twitter for Android</v>
      </c>
      <c r="L1120" s="15">
        <v>1526.0</v>
      </c>
      <c r="M1120" s="15">
        <v>1627.0</v>
      </c>
      <c r="N1120" s="15">
        <v>3.0</v>
      </c>
      <c r="O1120" s="16"/>
      <c r="P1120" s="17">
        <v>43743.73486111111</v>
      </c>
      <c r="Q1120" s="10" t="s">
        <v>3138</v>
      </c>
      <c r="R1120" s="10" t="s">
        <v>5040</v>
      </c>
      <c r="S1120" s="13"/>
      <c r="T1120" s="13"/>
      <c r="U1120" s="18" t="str">
        <f>HYPERLINK("https://pbs.twimg.com/profile_images/1216313941162364929/IJwqd_Fi.jpg","View")</f>
        <v>View</v>
      </c>
      <c r="V1120" s="13"/>
      <c r="W1120" s="13"/>
      <c r="X1120" s="13"/>
      <c r="Y1120" s="13"/>
      <c r="Z1120" s="13"/>
    </row>
    <row r="1121">
      <c r="A1121" s="8">
        <v>43848.50137731481</v>
      </c>
      <c r="B1121" s="9" t="str">
        <f>HYPERLINK("https://twitter.com/eva_serhal","@eva_serhal")</f>
        <v>@eva_serhal</v>
      </c>
      <c r="C1121" s="10" t="s">
        <v>5041</v>
      </c>
      <c r="D1121" s="10" t="s">
        <v>5042</v>
      </c>
      <c r="E1121" s="9" t="str">
        <f>HYPERLINK("https://twitter.com/eva_serhal/status/1218579296421281800","1218579296421281800")</f>
        <v>1218579296421281800</v>
      </c>
      <c r="F1121" s="10" t="s">
        <v>5043</v>
      </c>
      <c r="G1121" s="13"/>
      <c r="H1121" s="13"/>
      <c r="I1121" s="14">
        <v>2.0</v>
      </c>
      <c r="J1121" s="14">
        <v>9.0</v>
      </c>
      <c r="K1121" s="9" t="str">
        <f t="shared" ref="K1121:K1122" si="134">HYPERLINK("http://twitter.com/download/iphone","Twitter for iPhone")</f>
        <v>Twitter for iPhone</v>
      </c>
      <c r="L1121" s="15">
        <v>891.0</v>
      </c>
      <c r="M1121" s="15">
        <v>1533.0</v>
      </c>
      <c r="N1121" s="15">
        <v>18.0</v>
      </c>
      <c r="O1121" s="16"/>
      <c r="P1121" s="17">
        <v>42200.05298611111</v>
      </c>
      <c r="Q1121" s="13"/>
      <c r="R1121" s="10" t="s">
        <v>5044</v>
      </c>
      <c r="S1121" s="13"/>
      <c r="T1121" s="13"/>
      <c r="U1121" s="18" t="str">
        <f>HYPERLINK("https://pbs.twimg.com/profile_images/1043107864523333632/855VOXWR.jpg","View")</f>
        <v>View</v>
      </c>
      <c r="V1121" s="13"/>
      <c r="W1121" s="13"/>
      <c r="X1121" s="13"/>
      <c r="Y1121" s="13"/>
      <c r="Z1121" s="13"/>
    </row>
    <row r="1122">
      <c r="A1122" s="8">
        <v>43848.501238425924</v>
      </c>
      <c r="B1122" s="9" t="str">
        <f>HYPERLINK("https://twitter.com/raven_coop","@raven_coop")</f>
        <v>@raven_coop</v>
      </c>
      <c r="C1122" s="10" t="s">
        <v>5045</v>
      </c>
      <c r="D1122" s="10" t="s">
        <v>5046</v>
      </c>
      <c r="E1122" s="9" t="str">
        <f>HYPERLINK("https://twitter.com/raven_coop/status/1218579248094408705","1218579248094408705")</f>
        <v>1218579248094408705</v>
      </c>
      <c r="F1122" s="13"/>
      <c r="G1122" s="11" t="s">
        <v>5047</v>
      </c>
      <c r="H1122" s="13"/>
      <c r="I1122" s="14">
        <v>0.0</v>
      </c>
      <c r="J1122" s="14">
        <v>6.0</v>
      </c>
      <c r="K1122" s="9" t="str">
        <f t="shared" si="134"/>
        <v>Twitter for iPhone</v>
      </c>
      <c r="L1122" s="15">
        <v>593.0</v>
      </c>
      <c r="M1122" s="15">
        <v>1446.0</v>
      </c>
      <c r="N1122" s="15">
        <v>0.0</v>
      </c>
      <c r="O1122" s="16"/>
      <c r="P1122" s="17">
        <v>42097.64344907408</v>
      </c>
      <c r="Q1122" s="10" t="s">
        <v>505</v>
      </c>
      <c r="R1122" s="10" t="s">
        <v>5048</v>
      </c>
      <c r="S1122" s="11" t="s">
        <v>5049</v>
      </c>
      <c r="T1122" s="13"/>
      <c r="U1122" s="18" t="str">
        <f>HYPERLINK("https://pbs.twimg.com/profile_images/1208834770576109568/HFzvWjVx.jpg","View")</f>
        <v>View</v>
      </c>
      <c r="V1122" s="13"/>
      <c r="W1122" s="13"/>
      <c r="X1122" s="13"/>
      <c r="Y1122" s="13"/>
      <c r="Z1122" s="13"/>
    </row>
    <row r="1123">
      <c r="A1123" s="8">
        <v>43848.501122685186</v>
      </c>
      <c r="B1123" s="9" t="str">
        <f>HYPERLINK("https://twitter.com/AmandaGreenUK","@AmandaGreenUK")</f>
        <v>@AmandaGreenUK</v>
      </c>
      <c r="C1123" s="10" t="s">
        <v>4995</v>
      </c>
      <c r="D1123" s="10" t="s">
        <v>5050</v>
      </c>
      <c r="E1123" s="9" t="str">
        <f>HYPERLINK("https://twitter.com/AmandaGreenUK/status/1218579205379756032","1218579205379756032")</f>
        <v>1218579205379756032</v>
      </c>
      <c r="F1123" s="10" t="s">
        <v>5051</v>
      </c>
      <c r="G1123" s="13"/>
      <c r="H1123" s="13"/>
      <c r="I1123" s="14">
        <v>0.0</v>
      </c>
      <c r="J1123" s="14">
        <v>2.0</v>
      </c>
      <c r="K1123" s="9" t="str">
        <f>HYPERLINK("http://twitter.com/download/android","Twitter for Android")</f>
        <v>Twitter for Android</v>
      </c>
      <c r="L1123" s="15">
        <v>12409.0</v>
      </c>
      <c r="M1123" s="15">
        <v>12163.0</v>
      </c>
      <c r="N1123" s="15">
        <v>1059.0</v>
      </c>
      <c r="O1123" s="16"/>
      <c r="P1123" s="17">
        <v>40963.520833333336</v>
      </c>
      <c r="Q1123" s="10" t="s">
        <v>4998</v>
      </c>
      <c r="R1123" s="10" t="s">
        <v>4999</v>
      </c>
      <c r="S1123" s="11" t="s">
        <v>5000</v>
      </c>
      <c r="T1123" s="13"/>
      <c r="U1123" s="18" t="str">
        <f>HYPERLINK("https://pbs.twimg.com/profile_images/1127663612384952320/XvCz4Pxo.jpg","View")</f>
        <v>View</v>
      </c>
      <c r="V1123" s="13"/>
      <c r="W1123" s="13"/>
      <c r="X1123" s="13"/>
      <c r="Y1123" s="13"/>
      <c r="Z1123" s="13"/>
    </row>
    <row r="1124">
      <c r="A1124" s="8">
        <v>43848.50090277778</v>
      </c>
      <c r="B1124" s="9" t="str">
        <f>HYPERLINK("https://twitter.com/PrimePsychiatry","@PrimePsychiatry")</f>
        <v>@PrimePsychiatry</v>
      </c>
      <c r="C1124" s="10" t="s">
        <v>5052</v>
      </c>
      <c r="D1124" s="10" t="s">
        <v>5053</v>
      </c>
      <c r="E1124" s="9" t="str">
        <f>HYPERLINK("https://twitter.com/PrimePsychiatry/status/1218579126510026753","1218579126510026753")</f>
        <v>1218579126510026753</v>
      </c>
      <c r="F1124" s="11" t="s">
        <v>5054</v>
      </c>
      <c r="G1124" s="13"/>
      <c r="H1124" s="13"/>
      <c r="I1124" s="14">
        <v>0.0</v>
      </c>
      <c r="J1124" s="14">
        <v>0.0</v>
      </c>
      <c r="K1124" s="9" t="str">
        <f>HYPERLINK("https://www.hootsuite.com","Hootsuite Inc.")</f>
        <v>Hootsuite Inc.</v>
      </c>
      <c r="L1124" s="15">
        <v>226.0</v>
      </c>
      <c r="M1124" s="15">
        <v>895.0</v>
      </c>
      <c r="N1124" s="15">
        <v>4.0</v>
      </c>
      <c r="O1124" s="16"/>
      <c r="P1124" s="17">
        <v>42697.40844907408</v>
      </c>
      <c r="Q1124" s="10" t="s">
        <v>5055</v>
      </c>
      <c r="R1124" s="10" t="s">
        <v>5056</v>
      </c>
      <c r="S1124" s="11" t="s">
        <v>5057</v>
      </c>
      <c r="T1124" s="13"/>
      <c r="U1124" s="18" t="str">
        <f>HYPERLINK("https://pbs.twimg.com/profile_images/935952804186861569/OfeIVrOd.jpg","View")</f>
        <v>View</v>
      </c>
      <c r="V1124" s="13"/>
      <c r="W1124" s="13"/>
      <c r="X1124" s="13"/>
      <c r="Y1124" s="13"/>
      <c r="Z1124" s="13"/>
    </row>
    <row r="1125">
      <c r="A1125" s="8">
        <v>43848.50074074074</v>
      </c>
      <c r="B1125" s="9" t="str">
        <f>HYPERLINK("https://twitter.com/g_balesh","@g_balesh")</f>
        <v>@g_balesh</v>
      </c>
      <c r="C1125" s="10" t="s">
        <v>5058</v>
      </c>
      <c r="D1125" s="10" t="s">
        <v>2354</v>
      </c>
      <c r="E1125" s="9" t="str">
        <f>HYPERLINK("https://twitter.com/g_balesh/status/1218579068679049217","1218579068679049217")</f>
        <v>1218579068679049217</v>
      </c>
      <c r="F1125" s="13"/>
      <c r="G1125" s="11" t="s">
        <v>5059</v>
      </c>
      <c r="H1125" s="13"/>
      <c r="I1125" s="14">
        <v>0.0</v>
      </c>
      <c r="J1125" s="14">
        <v>0.0</v>
      </c>
      <c r="K1125" s="9" t="str">
        <f>HYPERLINK("https://crowdfireapp.com","Crowdfire App")</f>
        <v>Crowdfire App</v>
      </c>
      <c r="L1125" s="15">
        <v>281.0</v>
      </c>
      <c r="M1125" s="15">
        <v>689.0</v>
      </c>
      <c r="N1125" s="15">
        <v>3.0</v>
      </c>
      <c r="O1125" s="16"/>
      <c r="P1125" s="17">
        <v>40831.670428240745</v>
      </c>
      <c r="Q1125" s="10" t="s">
        <v>5060</v>
      </c>
      <c r="R1125" s="13"/>
      <c r="S1125" s="11" t="s">
        <v>5061</v>
      </c>
      <c r="T1125" s="13"/>
      <c r="U1125" s="18" t="str">
        <f>HYPERLINK("https://pbs.twimg.com/profile_images/597657796008513536/X4k5BQeN.jpg","View")</f>
        <v>View</v>
      </c>
      <c r="V1125" s="13"/>
      <c r="W1125" s="13"/>
      <c r="X1125" s="13"/>
      <c r="Y1125" s="13"/>
      <c r="Z1125" s="13"/>
    </row>
    <row r="1126">
      <c r="A1126" s="8">
        <v>43848.50064814815</v>
      </c>
      <c r="B1126" s="9" t="str">
        <f>HYPERLINK("https://twitter.com/TheMixUK","@TheMixUK")</f>
        <v>@TheMixUK</v>
      </c>
      <c r="C1126" s="10" t="s">
        <v>5062</v>
      </c>
      <c r="D1126" s="10" t="s">
        <v>5063</v>
      </c>
      <c r="E1126" s="9" t="str">
        <f>HYPERLINK("https://twitter.com/TheMixUK/status/1218579032113106948","1218579032113106948")</f>
        <v>1218579032113106948</v>
      </c>
      <c r="F1126" s="11" t="s">
        <v>5064</v>
      </c>
      <c r="G1126" s="11" t="s">
        <v>5065</v>
      </c>
      <c r="H1126" s="13"/>
      <c r="I1126" s="14">
        <v>0.0</v>
      </c>
      <c r="J1126" s="14">
        <v>2.0</v>
      </c>
      <c r="K1126" s="9" t="str">
        <f t="shared" ref="K1126:K1128" si="135">HYPERLINK("https://www.hootsuite.com","Hootsuite Inc.")</f>
        <v>Hootsuite Inc.</v>
      </c>
      <c r="L1126" s="15">
        <v>40741.0</v>
      </c>
      <c r="M1126" s="15">
        <v>2954.0</v>
      </c>
      <c r="N1126" s="15">
        <v>491.0</v>
      </c>
      <c r="O1126" s="21" t="s">
        <v>522</v>
      </c>
      <c r="P1126" s="17">
        <v>39540.38212962963</v>
      </c>
      <c r="Q1126" s="10" t="s">
        <v>1324</v>
      </c>
      <c r="R1126" s="10" t="s">
        <v>5066</v>
      </c>
      <c r="S1126" s="11" t="s">
        <v>5067</v>
      </c>
      <c r="T1126" s="13"/>
      <c r="U1126" s="18" t="str">
        <f>HYPERLINK("https://pbs.twimg.com/profile_images/1153949027186163712/aerxdPgy.png","View")</f>
        <v>View</v>
      </c>
      <c r="V1126" s="13"/>
      <c r="W1126" s="13"/>
      <c r="X1126" s="13"/>
      <c r="Y1126" s="13"/>
      <c r="Z1126" s="13"/>
    </row>
    <row r="1127">
      <c r="A1127" s="8">
        <v>43848.50060185185</v>
      </c>
      <c r="B1127" s="9" t="str">
        <f>HYPERLINK("https://twitter.com/ELHT_NHS","@ELHT_NHS")</f>
        <v>@ELHT_NHS</v>
      </c>
      <c r="C1127" s="10" t="s">
        <v>5068</v>
      </c>
      <c r="D1127" s="10" t="s">
        <v>5069</v>
      </c>
      <c r="E1127" s="9" t="str">
        <f>HYPERLINK("https://twitter.com/ELHT_NHS/status/1218579017546158082","1218579017546158082")</f>
        <v>1218579017546158082</v>
      </c>
      <c r="F1127" s="13"/>
      <c r="G1127" s="11" t="s">
        <v>5070</v>
      </c>
      <c r="H1127" s="13"/>
      <c r="I1127" s="14">
        <v>2.0</v>
      </c>
      <c r="J1127" s="14">
        <v>6.0</v>
      </c>
      <c r="K1127" s="9" t="str">
        <f t="shared" si="135"/>
        <v>Hootsuite Inc.</v>
      </c>
      <c r="L1127" s="15">
        <v>6780.0</v>
      </c>
      <c r="M1127" s="15">
        <v>648.0</v>
      </c>
      <c r="N1127" s="15">
        <v>90.0</v>
      </c>
      <c r="O1127" s="16"/>
      <c r="P1127" s="17">
        <v>41163.237488425926</v>
      </c>
      <c r="Q1127" s="10" t="s">
        <v>5071</v>
      </c>
      <c r="R1127" s="10" t="s">
        <v>5072</v>
      </c>
      <c r="S1127" s="11" t="s">
        <v>5073</v>
      </c>
      <c r="T1127" s="13"/>
      <c r="U1127" s="18" t="str">
        <f>HYPERLINK("https://pbs.twimg.com/profile_images/905768218870075392/2VCg9iTE.jpg","View")</f>
        <v>View</v>
      </c>
      <c r="V1127" s="13"/>
      <c r="W1127" s="13"/>
      <c r="X1127" s="13"/>
      <c r="Y1127" s="13"/>
      <c r="Z1127" s="13"/>
    </row>
    <row r="1128">
      <c r="A1128" s="8">
        <v>43848.50046296296</v>
      </c>
      <c r="B1128" s="9" t="str">
        <f>HYPERLINK("https://twitter.com/TBS_Canada","@TBS_Canada")</f>
        <v>@TBS_Canada</v>
      </c>
      <c r="C1128" s="10" t="s">
        <v>5074</v>
      </c>
      <c r="D1128" s="10" t="s">
        <v>5075</v>
      </c>
      <c r="E1128" s="9" t="str">
        <f>HYPERLINK("https://twitter.com/TBS_Canada/status/1218578967843819520","1218578967843819520")</f>
        <v>1218578967843819520</v>
      </c>
      <c r="F1128" s="13"/>
      <c r="G1128" s="13"/>
      <c r="H1128" s="13"/>
      <c r="I1128" s="14">
        <v>1.0</v>
      </c>
      <c r="J1128" s="14">
        <v>15.0</v>
      </c>
      <c r="K1128" s="9" t="str">
        <f t="shared" si="135"/>
        <v>Hootsuite Inc.</v>
      </c>
      <c r="L1128" s="15">
        <v>22215.0</v>
      </c>
      <c r="M1128" s="15">
        <v>142.0</v>
      </c>
      <c r="N1128" s="15">
        <v>337.0</v>
      </c>
      <c r="O1128" s="21" t="s">
        <v>522</v>
      </c>
      <c r="P1128" s="17">
        <v>40882.411828703705</v>
      </c>
      <c r="Q1128" s="10" t="s">
        <v>177</v>
      </c>
      <c r="R1128" s="10" t="s">
        <v>5076</v>
      </c>
      <c r="S1128" s="11" t="s">
        <v>5077</v>
      </c>
      <c r="T1128" s="13"/>
      <c r="U1128" s="18" t="str">
        <f>HYPERLINK("https://pbs.twimg.com/profile_images/378800000088077660/95d085c3780618ce5efd17251154a139.png","View")</f>
        <v>View</v>
      </c>
      <c r="V1128" s="13"/>
      <c r="W1128" s="13"/>
      <c r="X1128" s="13"/>
      <c r="Y1128" s="13"/>
      <c r="Z1128" s="13"/>
    </row>
    <row r="1129">
      <c r="A1129" s="8">
        <v>43848.50025462963</v>
      </c>
      <c r="B1129" s="9" t="str">
        <f>HYPERLINK("https://twitter.com/HealthyPlace","@HealthyPlace")</f>
        <v>@HealthyPlace</v>
      </c>
      <c r="C1129" s="10" t="s">
        <v>1457</v>
      </c>
      <c r="D1129" s="10" t="s">
        <v>5078</v>
      </c>
      <c r="E1129" s="9" t="str">
        <f>HYPERLINK("https://twitter.com/HealthyPlace/status/1218578891712933889","1218578891712933889")</f>
        <v>1218578891712933889</v>
      </c>
      <c r="F1129" s="11" t="s">
        <v>2494</v>
      </c>
      <c r="G1129" s="11" t="s">
        <v>5079</v>
      </c>
      <c r="H1129" s="13"/>
      <c r="I1129" s="14">
        <v>0.0</v>
      </c>
      <c r="J1129" s="14">
        <v>1.0</v>
      </c>
      <c r="K1129" s="9" t="str">
        <f>HYPERLINK("https://sproutsocial.com","Sprout Social")</f>
        <v>Sprout Social</v>
      </c>
      <c r="L1129" s="15">
        <v>64943.0</v>
      </c>
      <c r="M1129" s="15">
        <v>25049.0</v>
      </c>
      <c r="N1129" s="15">
        <v>1710.0</v>
      </c>
      <c r="O1129" s="16"/>
      <c r="P1129" s="17">
        <v>39681.03928240741</v>
      </c>
      <c r="Q1129" s="10" t="s">
        <v>1460</v>
      </c>
      <c r="R1129" s="10" t="s">
        <v>1461</v>
      </c>
      <c r="S1129" s="11" t="s">
        <v>1462</v>
      </c>
      <c r="T1129" s="13"/>
      <c r="U1129" s="18" t="str">
        <f>HYPERLINK("https://pbs.twimg.com/profile_images/753613454083252225/i5pr2xny.jpg","View")</f>
        <v>View</v>
      </c>
      <c r="V1129" s="13"/>
      <c r="W1129" s="13"/>
      <c r="X1129" s="13"/>
      <c r="Y1129" s="13"/>
      <c r="Z1129" s="13"/>
    </row>
    <row r="1130">
      <c r="A1130" s="8">
        <v>43848.500243055554</v>
      </c>
      <c r="B1130" s="9" t="str">
        <f>HYPERLINK("https://twitter.com/djemal_ua","@djemal_ua")</f>
        <v>@djemal_ua</v>
      </c>
      <c r="C1130" s="10" t="s">
        <v>1161</v>
      </c>
      <c r="D1130" s="10" t="s">
        <v>5080</v>
      </c>
      <c r="E1130" s="9" t="str">
        <f>HYPERLINK("https://twitter.com/djemal_ua/status/1218578886478438401","1218578886478438401")</f>
        <v>1218578886478438401</v>
      </c>
      <c r="F1130" s="11" t="s">
        <v>5081</v>
      </c>
      <c r="G1130" s="13"/>
      <c r="H1130" s="13"/>
      <c r="I1130" s="14">
        <v>0.0</v>
      </c>
      <c r="J1130" s="14">
        <v>1.0</v>
      </c>
      <c r="K1130" s="9" t="str">
        <f>HYPERLINK("https://www.hootsuite.com","Hootsuite Inc.")</f>
        <v>Hootsuite Inc.</v>
      </c>
      <c r="L1130" s="15">
        <v>5127.0</v>
      </c>
      <c r="M1130" s="15">
        <v>4724.0</v>
      </c>
      <c r="N1130" s="15">
        <v>60.0</v>
      </c>
      <c r="O1130" s="16"/>
      <c r="P1130" s="17">
        <v>43530.25729166667</v>
      </c>
      <c r="Q1130" s="10" t="s">
        <v>95</v>
      </c>
      <c r="R1130" s="10" t="s">
        <v>1164</v>
      </c>
      <c r="S1130" s="11" t="s">
        <v>1165</v>
      </c>
      <c r="T1130" s="13"/>
      <c r="U1130" s="18" t="str">
        <f>HYPERLINK("https://pbs.twimg.com/profile_images/1202978381106761728/aqUhVSTO.jpg","View")</f>
        <v>View</v>
      </c>
      <c r="V1130" s="13"/>
      <c r="W1130" s="13"/>
      <c r="X1130" s="13"/>
      <c r="Y1130" s="13"/>
      <c r="Z1130" s="13"/>
    </row>
    <row r="1131">
      <c r="A1131" s="8">
        <v>43848.500196759254</v>
      </c>
      <c r="B1131" s="9" t="str">
        <f>HYPERLINK("https://twitter.com/dlhampton","@dlhampton")</f>
        <v>@dlhampton</v>
      </c>
      <c r="C1131" s="10" t="s">
        <v>717</v>
      </c>
      <c r="D1131" s="10" t="s">
        <v>5082</v>
      </c>
      <c r="E1131" s="9" t="str">
        <f>HYPERLINK("https://twitter.com/dlhampton/status/1218578869453803520","1218578869453803520")</f>
        <v>1218578869453803520</v>
      </c>
      <c r="F1131" s="11" t="s">
        <v>5083</v>
      </c>
      <c r="G1131" s="11" t="s">
        <v>5084</v>
      </c>
      <c r="H1131" s="13"/>
      <c r="I1131" s="14">
        <v>3.0</v>
      </c>
      <c r="J1131" s="14">
        <v>5.0</v>
      </c>
      <c r="K1131" s="9" t="str">
        <f>HYPERLINK("https://buffer.com","Buffer")</f>
        <v>Buffer</v>
      </c>
      <c r="L1131" s="15">
        <v>7461.0</v>
      </c>
      <c r="M1131" s="15">
        <v>4433.0</v>
      </c>
      <c r="N1131" s="15">
        <v>622.0</v>
      </c>
      <c r="O1131" s="16"/>
      <c r="P1131" s="17">
        <v>39704.697847222225</v>
      </c>
      <c r="Q1131" s="10" t="s">
        <v>721</v>
      </c>
      <c r="R1131" s="10" t="s">
        <v>722</v>
      </c>
      <c r="S1131" s="11" t="s">
        <v>723</v>
      </c>
      <c r="T1131" s="13"/>
      <c r="U1131" s="18" t="str">
        <f>HYPERLINK("https://pbs.twimg.com/profile_images/845255674162425856/wUuxsnEE.jpg","View")</f>
        <v>View</v>
      </c>
      <c r="V1131" s="13"/>
      <c r="W1131" s="13"/>
      <c r="X1131" s="13"/>
      <c r="Y1131" s="13"/>
      <c r="Z1131" s="13"/>
    </row>
    <row r="1132">
      <c r="A1132" s="8">
        <v>43848.500173611115</v>
      </c>
      <c r="B1132" s="9" t="str">
        <f>HYPERLINK("https://twitter.com/BoltonMedic","@BoltonMedic")</f>
        <v>@BoltonMedic</v>
      </c>
      <c r="C1132" s="10" t="s">
        <v>5085</v>
      </c>
      <c r="D1132" s="10" t="s">
        <v>5086</v>
      </c>
      <c r="E1132" s="9" t="str">
        <f>HYPERLINK("https://twitter.com/BoltonMedic/status/1218578860108808192","1218578860108808192")</f>
        <v>1218578860108808192</v>
      </c>
      <c r="F1132" s="13"/>
      <c r="G1132" s="11" t="s">
        <v>5087</v>
      </c>
      <c r="H1132" s="13"/>
      <c r="I1132" s="14">
        <v>0.0</v>
      </c>
      <c r="J1132" s="14">
        <v>0.0</v>
      </c>
      <c r="K1132" s="9" t="str">
        <f>HYPERLINK("https://eclincher.com","eClincher")</f>
        <v>eClincher</v>
      </c>
      <c r="L1132" s="15">
        <v>20.0</v>
      </c>
      <c r="M1132" s="15">
        <v>54.0</v>
      </c>
      <c r="N1132" s="15">
        <v>0.0</v>
      </c>
      <c r="O1132" s="16"/>
      <c r="P1132" s="17">
        <v>42959.520995370374</v>
      </c>
      <c r="Q1132" s="10" t="s">
        <v>91</v>
      </c>
      <c r="R1132" s="10" t="s">
        <v>5088</v>
      </c>
      <c r="S1132" s="11" t="s">
        <v>5089</v>
      </c>
      <c r="T1132" s="13"/>
      <c r="U1132" s="18" t="str">
        <f>HYPERLINK("https://pbs.twimg.com/profile_images/901236228942684161/cd4MTtf4.jpg","View")</f>
        <v>View</v>
      </c>
      <c r="V1132" s="13"/>
      <c r="W1132" s="13"/>
      <c r="X1132" s="13"/>
      <c r="Y1132" s="13"/>
      <c r="Z1132" s="13"/>
    </row>
    <row r="1133">
      <c r="A1133" s="8">
        <v>43848.50010416667</v>
      </c>
      <c r="B1133" s="9" t="str">
        <f>HYPERLINK("https://twitter.com/MHPHope","@MHPHope")</f>
        <v>@MHPHope</v>
      </c>
      <c r="C1133" s="10" t="s">
        <v>5090</v>
      </c>
      <c r="D1133" s="10" t="s">
        <v>5091</v>
      </c>
      <c r="E1133" s="9" t="str">
        <f>HYPERLINK("https://twitter.com/MHPHope/status/1218578837052760069","1218578837052760069")</f>
        <v>1218578837052760069</v>
      </c>
      <c r="F1133" s="11" t="s">
        <v>5092</v>
      </c>
      <c r="G1133" s="11" t="s">
        <v>5093</v>
      </c>
      <c r="H1133" s="13"/>
      <c r="I1133" s="14">
        <v>0.0</v>
      </c>
      <c r="J1133" s="14">
        <v>0.0</v>
      </c>
      <c r="K1133" s="9" t="str">
        <f>HYPERLINK("https://www.heyorca.com","HeyOrca")</f>
        <v>HeyOrca</v>
      </c>
      <c r="L1133" s="15">
        <v>624.0</v>
      </c>
      <c r="M1133" s="15">
        <v>1175.0</v>
      </c>
      <c r="N1133" s="15">
        <v>12.0</v>
      </c>
      <c r="O1133" s="16"/>
      <c r="P1133" s="17">
        <v>40564.30952546296</v>
      </c>
      <c r="Q1133" s="10" t="s">
        <v>2967</v>
      </c>
      <c r="R1133" s="10" t="s">
        <v>5094</v>
      </c>
      <c r="S1133" s="11" t="s">
        <v>5095</v>
      </c>
      <c r="T1133" s="13"/>
      <c r="U1133" s="18" t="str">
        <f>HYPERLINK("https://pbs.twimg.com/profile_images/1190344952070443015/w8MUUxhw.jpg","View")</f>
        <v>View</v>
      </c>
      <c r="V1133" s="13"/>
      <c r="W1133" s="13"/>
      <c r="X1133" s="13"/>
      <c r="Y1133" s="13"/>
      <c r="Z1133" s="13"/>
    </row>
    <row r="1134">
      <c r="A1134" s="8">
        <v>43848.5</v>
      </c>
      <c r="B1134" s="9" t="str">
        <f>HYPERLINK("https://twitter.com/DrJudyHo","@DrJudyHo")</f>
        <v>@DrJudyHo</v>
      </c>
      <c r="C1134" s="10" t="s">
        <v>5096</v>
      </c>
      <c r="D1134" s="10" t="s">
        <v>5097</v>
      </c>
      <c r="E1134" s="9" t="str">
        <f>HYPERLINK("https://twitter.com/DrJudyHo/status/1218578799446675459","1218578799446675459")</f>
        <v>1218578799446675459</v>
      </c>
      <c r="F1134" s="13"/>
      <c r="G1134" s="11" t="s">
        <v>5098</v>
      </c>
      <c r="H1134" s="13"/>
      <c r="I1134" s="14">
        <v>0.0</v>
      </c>
      <c r="J1134" s="14">
        <v>5.0</v>
      </c>
      <c r="K1134" s="9" t="str">
        <f>HYPERLINK("https://ads.twitter.com","Twitter Ads")</f>
        <v>Twitter Ads</v>
      </c>
      <c r="L1134" s="15">
        <v>7135.0</v>
      </c>
      <c r="M1134" s="15">
        <v>225.0</v>
      </c>
      <c r="N1134" s="15">
        <v>87.0</v>
      </c>
      <c r="O1134" s="21" t="s">
        <v>522</v>
      </c>
      <c r="P1134" s="17">
        <v>40833.61178240741</v>
      </c>
      <c r="Q1134" s="10" t="s">
        <v>382</v>
      </c>
      <c r="R1134" s="10" t="s">
        <v>5099</v>
      </c>
      <c r="S1134" s="11" t="s">
        <v>5100</v>
      </c>
      <c r="T1134" s="13"/>
      <c r="U1134" s="18" t="str">
        <f>HYPERLINK("https://pbs.twimg.com/profile_images/1153377604281327621/rZ39VmV0.jpg","View")</f>
        <v>View</v>
      </c>
      <c r="V1134" s="13"/>
      <c r="W1134" s="13"/>
      <c r="X1134" s="13"/>
      <c r="Y1134" s="13"/>
      <c r="Z1134" s="13"/>
    </row>
    <row r="1135">
      <c r="A1135" s="8">
        <v>43848.49969907408</v>
      </c>
      <c r="B1135" s="9" t="str">
        <f>HYPERLINK("https://twitter.com/AmandaGreenUK","@AmandaGreenUK")</f>
        <v>@AmandaGreenUK</v>
      </c>
      <c r="C1135" s="10" t="s">
        <v>4995</v>
      </c>
      <c r="D1135" s="10" t="s">
        <v>5101</v>
      </c>
      <c r="E1135" s="9" t="str">
        <f>HYPERLINK("https://twitter.com/AmandaGreenUK/status/1218578691778846720","1218578691778846720")</f>
        <v>1218578691778846720</v>
      </c>
      <c r="F1135" s="11" t="s">
        <v>5102</v>
      </c>
      <c r="G1135" s="13"/>
      <c r="H1135" s="13"/>
      <c r="I1135" s="14">
        <v>3.0</v>
      </c>
      <c r="J1135" s="14">
        <v>1.0</v>
      </c>
      <c r="K1135" s="9" t="str">
        <f>HYPERLINK("http://twitter.com/download/android","Twitter for Android")</f>
        <v>Twitter for Android</v>
      </c>
      <c r="L1135" s="15">
        <v>12409.0</v>
      </c>
      <c r="M1135" s="15">
        <v>12163.0</v>
      </c>
      <c r="N1135" s="15">
        <v>1059.0</v>
      </c>
      <c r="O1135" s="16"/>
      <c r="P1135" s="17">
        <v>40963.520833333336</v>
      </c>
      <c r="Q1135" s="10" t="s">
        <v>4998</v>
      </c>
      <c r="R1135" s="10" t="s">
        <v>4999</v>
      </c>
      <c r="S1135" s="11" t="s">
        <v>5000</v>
      </c>
      <c r="T1135" s="13"/>
      <c r="U1135" s="18" t="str">
        <f>HYPERLINK("https://pbs.twimg.com/profile_images/1127663612384952320/XvCz4Pxo.jpg","View")</f>
        <v>View</v>
      </c>
      <c r="V1135" s="13"/>
      <c r="W1135" s="13"/>
      <c r="X1135" s="13"/>
      <c r="Y1135" s="13"/>
      <c r="Z1135" s="13"/>
    </row>
    <row r="1136">
      <c r="A1136" s="8">
        <v>43848.4990625</v>
      </c>
      <c r="B1136" s="9" t="str">
        <f>HYPERLINK("https://twitter.com/DrGurdeepParhar","@DrGurdeepParhar")</f>
        <v>@DrGurdeepParhar</v>
      </c>
      <c r="C1136" s="10" t="s">
        <v>54</v>
      </c>
      <c r="D1136" s="10" t="s">
        <v>5103</v>
      </c>
      <c r="E1136" s="9" t="str">
        <f>HYPERLINK("https://twitter.com/DrGurdeepParhar/status/1218578458617503745","1218578458617503745")</f>
        <v>1218578458617503745</v>
      </c>
      <c r="F1136" s="11" t="s">
        <v>5104</v>
      </c>
      <c r="G1136" s="13"/>
      <c r="H1136" s="13"/>
      <c r="I1136" s="14">
        <v>0.0</v>
      </c>
      <c r="J1136" s="14">
        <v>0.0</v>
      </c>
      <c r="K1136" s="9" t="str">
        <f>HYPERLINK("https://nectar.social","BHIVE Nectar")</f>
        <v>BHIVE Nectar</v>
      </c>
      <c r="L1136" s="15">
        <v>81427.0</v>
      </c>
      <c r="M1136" s="15">
        <v>30.0</v>
      </c>
      <c r="N1136" s="15">
        <v>73.0</v>
      </c>
      <c r="O1136" s="16"/>
      <c r="P1136" s="17">
        <v>42450.41334490741</v>
      </c>
      <c r="Q1136" s="10" t="s">
        <v>57</v>
      </c>
      <c r="R1136" s="10" t="s">
        <v>58</v>
      </c>
      <c r="S1136" s="11" t="s">
        <v>59</v>
      </c>
      <c r="T1136" s="13"/>
      <c r="U1136" s="18" t="str">
        <f>HYPERLINK("https://pbs.twimg.com/profile_images/1013719377697357824/2F3Qgmy6.jpg","View")</f>
        <v>View</v>
      </c>
      <c r="V1136" s="13"/>
      <c r="W1136" s="13"/>
      <c r="X1136" s="13"/>
      <c r="Y1136" s="13"/>
      <c r="Z1136" s="13"/>
    </row>
    <row r="1137">
      <c r="A1137" s="8">
        <v>43848.49899305556</v>
      </c>
      <c r="B1137" s="9" t="str">
        <f>HYPERLINK("https://twitter.com/anndresizq","@anndresizq")</f>
        <v>@anndresizq</v>
      </c>
      <c r="C1137" s="10" t="s">
        <v>5105</v>
      </c>
      <c r="D1137" s="10" t="s">
        <v>238</v>
      </c>
      <c r="E1137" s="9" t="str">
        <f>HYPERLINK("https://twitter.com/anndresizq/status/1218578432952557568","1218578432952557568")</f>
        <v>1218578432952557568</v>
      </c>
      <c r="F1137" s="13"/>
      <c r="G1137" s="13"/>
      <c r="H1137" s="13"/>
      <c r="I1137" s="14">
        <v>0.0</v>
      </c>
      <c r="J1137" s="14">
        <v>0.0</v>
      </c>
      <c r="K1137" s="9" t="str">
        <f>HYPERLINK("http://twitter.com/download/iphone","Twitter for iPhone")</f>
        <v>Twitter for iPhone</v>
      </c>
      <c r="L1137" s="15">
        <v>10.0</v>
      </c>
      <c r="M1137" s="15">
        <v>37.0</v>
      </c>
      <c r="N1137" s="15">
        <v>0.0</v>
      </c>
      <c r="O1137" s="16"/>
      <c r="P1137" s="17">
        <v>41094.31730324074</v>
      </c>
      <c r="Q1137" s="13"/>
      <c r="R1137" s="13"/>
      <c r="S1137" s="13"/>
      <c r="T1137" s="13"/>
      <c r="U1137" s="18" t="str">
        <f>HYPERLINK("https://pbs.twimg.com/profile_images/658674055604752386/Zv6Jecm6.jpg","View")</f>
        <v>View</v>
      </c>
      <c r="V1137" s="13"/>
      <c r="W1137" s="13"/>
      <c r="X1137" s="13"/>
      <c r="Y1137" s="13"/>
      <c r="Z1137" s="13"/>
    </row>
    <row r="1138">
      <c r="A1138" s="8">
        <v>43848.4982175926</v>
      </c>
      <c r="B1138" s="9" t="str">
        <f>HYPERLINK("https://twitter.com/AllanRogers10","@AllanRogers10")</f>
        <v>@AllanRogers10</v>
      </c>
      <c r="C1138" s="10" t="s">
        <v>508</v>
      </c>
      <c r="D1138" s="10" t="s">
        <v>5106</v>
      </c>
      <c r="E1138" s="9" t="str">
        <f>HYPERLINK("https://twitter.com/AllanRogers10/status/1218578154585018373","1218578154585018373")</f>
        <v>1218578154585018373</v>
      </c>
      <c r="F1138" s="11" t="s">
        <v>5107</v>
      </c>
      <c r="G1138" s="13"/>
      <c r="H1138" s="13"/>
      <c r="I1138" s="14">
        <v>1.0</v>
      </c>
      <c r="J1138" s="14">
        <v>1.0</v>
      </c>
      <c r="K1138" s="9" t="str">
        <f>HYPERLINK("http://twitter.com","Twitty4Allan")</f>
        <v>Twitty4Allan</v>
      </c>
      <c r="L1138" s="15">
        <v>8776.0</v>
      </c>
      <c r="M1138" s="15">
        <v>3894.0</v>
      </c>
      <c r="N1138" s="15">
        <v>190.0</v>
      </c>
      <c r="O1138" s="16"/>
      <c r="P1138" s="17">
        <v>41611.290659722225</v>
      </c>
      <c r="Q1138" s="10" t="s">
        <v>73</v>
      </c>
      <c r="R1138" s="10" t="s">
        <v>510</v>
      </c>
      <c r="S1138" s="11" t="s">
        <v>511</v>
      </c>
      <c r="T1138" s="13"/>
      <c r="U1138" s="18" t="str">
        <f>HYPERLINK("https://pbs.twimg.com/profile_images/378800000824156439/97c448bf86f24c9c381e2cdc310a4912.jpeg","View")</f>
        <v>View</v>
      </c>
      <c r="V1138" s="13"/>
      <c r="W1138" s="13"/>
      <c r="X1138" s="13"/>
      <c r="Y1138" s="13"/>
      <c r="Z1138" s="13"/>
    </row>
    <row r="1139">
      <c r="A1139" s="8">
        <v>43848.498090277775</v>
      </c>
      <c r="B1139" s="9" t="str">
        <f>HYPERLINK("https://twitter.com/apospodcast","@apospodcast")</f>
        <v>@apospodcast</v>
      </c>
      <c r="C1139" s="10" t="s">
        <v>5108</v>
      </c>
      <c r="D1139" s="10" t="s">
        <v>5109</v>
      </c>
      <c r="E1139" s="9" t="str">
        <f>HYPERLINK("https://twitter.com/apospodcast/status/1218578105205477377","1218578105205477377")</f>
        <v>1218578105205477377</v>
      </c>
      <c r="F1139" s="11" t="s">
        <v>5110</v>
      </c>
      <c r="G1139" s="13"/>
      <c r="H1139" s="13"/>
      <c r="I1139" s="14">
        <v>2.0</v>
      </c>
      <c r="J1139" s="14">
        <v>2.0</v>
      </c>
      <c r="K1139" s="9" t="str">
        <f>HYPERLINK("http://twitter.com/download/android","Twitter for Android")</f>
        <v>Twitter for Android</v>
      </c>
      <c r="L1139" s="15">
        <v>289.0</v>
      </c>
      <c r="M1139" s="15">
        <v>251.0</v>
      </c>
      <c r="N1139" s="15">
        <v>2.0</v>
      </c>
      <c r="O1139" s="16"/>
      <c r="P1139" s="17">
        <v>43502.44390046297</v>
      </c>
      <c r="Q1139" s="13"/>
      <c r="R1139" s="10" t="s">
        <v>5111</v>
      </c>
      <c r="S1139" s="13"/>
      <c r="T1139" s="13"/>
      <c r="U1139" s="18" t="str">
        <f>HYPERLINK("https://pbs.twimg.com/profile_images/1093172422847672320/oH3-zmjX.jpg","View")</f>
        <v>View</v>
      </c>
      <c r="V1139" s="13"/>
      <c r="W1139" s="13"/>
      <c r="X1139" s="13"/>
      <c r="Y1139" s="13"/>
      <c r="Z1139" s="13"/>
    </row>
    <row r="1140">
      <c r="A1140" s="8">
        <v>43848.49797453704</v>
      </c>
      <c r="B1140" s="9" t="str">
        <f>HYPERLINK("https://twitter.com/CarolinaRosa112","@CarolinaRosa112")</f>
        <v>@CarolinaRosa112</v>
      </c>
      <c r="C1140" s="10" t="s">
        <v>5112</v>
      </c>
      <c r="D1140" s="10" t="s">
        <v>5113</v>
      </c>
      <c r="E1140" s="9" t="str">
        <f>HYPERLINK("https://twitter.com/CarolinaRosa112/status/1218578066076839936","1218578066076839936")</f>
        <v>1218578066076839936</v>
      </c>
      <c r="F1140" s="13"/>
      <c r="G1140" s="13"/>
      <c r="H1140" s="13"/>
      <c r="I1140" s="14">
        <v>0.0</v>
      </c>
      <c r="J1140" s="14">
        <v>0.0</v>
      </c>
      <c r="K1140" s="9" t="str">
        <f>HYPERLINK("https://mobile.twitter.com","Twitter Web App")</f>
        <v>Twitter Web App</v>
      </c>
      <c r="L1140" s="15">
        <v>209.0</v>
      </c>
      <c r="M1140" s="15">
        <v>462.0</v>
      </c>
      <c r="N1140" s="15">
        <v>6.0</v>
      </c>
      <c r="O1140" s="16"/>
      <c r="P1140" s="17">
        <v>40131.4809837963</v>
      </c>
      <c r="Q1140" s="13"/>
      <c r="R1140" s="10" t="s">
        <v>5114</v>
      </c>
      <c r="S1140" s="11" t="s">
        <v>5115</v>
      </c>
      <c r="T1140" s="13"/>
      <c r="U1140" s="18" t="str">
        <f>HYPERLINK("https://pbs.twimg.com/profile_images/952265440948113408/0-gOb0LX.jpg","View")</f>
        <v>View</v>
      </c>
      <c r="V1140" s="13"/>
      <c r="W1140" s="13"/>
      <c r="X1140" s="13"/>
      <c r="Y1140" s="13"/>
      <c r="Z1140" s="13"/>
    </row>
    <row r="1141">
      <c r="A1141" s="8">
        <v>43848.49777777778</v>
      </c>
      <c r="B1141" s="9" t="str">
        <f>HYPERLINK("https://twitter.com/JayHollingshed","@JayHollingshed")</f>
        <v>@JayHollingshed</v>
      </c>
      <c r="C1141" s="10" t="s">
        <v>592</v>
      </c>
      <c r="D1141" s="10" t="s">
        <v>593</v>
      </c>
      <c r="E1141" s="9" t="str">
        <f>HYPERLINK("https://twitter.com/JayHollingshed/status/1218577994366824449","1218577994366824449")</f>
        <v>1218577994366824449</v>
      </c>
      <c r="F1141" s="13"/>
      <c r="G1141" s="11" t="s">
        <v>5116</v>
      </c>
      <c r="H1141" s="13"/>
      <c r="I1141" s="14">
        <v>0.0</v>
      </c>
      <c r="J1141" s="14">
        <v>0.0</v>
      </c>
      <c r="K1141" s="9" t="str">
        <f t="shared" ref="K1141:K1142" si="136">HYPERLINK("http://twitter.com/download/iphone","Twitter for iPhone")</f>
        <v>Twitter for iPhone</v>
      </c>
      <c r="L1141" s="15">
        <v>900.0</v>
      </c>
      <c r="M1141" s="15">
        <v>1448.0</v>
      </c>
      <c r="N1141" s="15">
        <v>47.0</v>
      </c>
      <c r="O1141" s="16"/>
      <c r="P1141" s="17">
        <v>42066.47707175926</v>
      </c>
      <c r="Q1141" s="10" t="s">
        <v>595</v>
      </c>
      <c r="R1141" s="10" t="s">
        <v>596</v>
      </c>
      <c r="S1141" s="11" t="s">
        <v>597</v>
      </c>
      <c r="T1141" s="13"/>
      <c r="U1141" s="18" t="str">
        <f>HYPERLINK("https://pbs.twimg.com/profile_images/1145534655560585216/-J1bWgqf.jpg","View")</f>
        <v>View</v>
      </c>
      <c r="V1141" s="13"/>
      <c r="W1141" s="13"/>
      <c r="X1141" s="13"/>
      <c r="Y1141" s="13"/>
      <c r="Z1141" s="13"/>
    </row>
    <row r="1142">
      <c r="A1142" s="8">
        <v>43848.49773148148</v>
      </c>
      <c r="B1142" s="9" t="str">
        <f>HYPERLINK("https://twitter.com/bellcoaching6","@bellcoaching6")</f>
        <v>@bellcoaching6</v>
      </c>
      <c r="C1142" s="10" t="s">
        <v>5117</v>
      </c>
      <c r="D1142" s="10" t="s">
        <v>5118</v>
      </c>
      <c r="E1142" s="9" t="str">
        <f>HYPERLINK("https://twitter.com/bellcoaching6/status/1218577977447010310","1218577977447010310")</f>
        <v>1218577977447010310</v>
      </c>
      <c r="F1142" s="13"/>
      <c r="G1142" s="11" t="s">
        <v>5119</v>
      </c>
      <c r="H1142" s="13"/>
      <c r="I1142" s="14">
        <v>0.0</v>
      </c>
      <c r="J1142" s="14">
        <v>0.0</v>
      </c>
      <c r="K1142" s="9" t="str">
        <f t="shared" si="136"/>
        <v>Twitter for iPhone</v>
      </c>
      <c r="L1142" s="15">
        <v>641.0</v>
      </c>
      <c r="M1142" s="15">
        <v>554.0</v>
      </c>
      <c r="N1142" s="15">
        <v>18.0</v>
      </c>
      <c r="O1142" s="16"/>
      <c r="P1142" s="17">
        <v>40097.51221064815</v>
      </c>
      <c r="Q1142" s="10" t="s">
        <v>5120</v>
      </c>
      <c r="R1142" s="10" t="s">
        <v>5121</v>
      </c>
      <c r="S1142" s="11" t="s">
        <v>5122</v>
      </c>
      <c r="T1142" s="13"/>
      <c r="U1142" s="18" t="str">
        <f>HYPERLINK("https://pbs.twimg.com/profile_images/1014115674996830208/4wL3UT8p.jpg","View")</f>
        <v>View</v>
      </c>
      <c r="V1142" s="13"/>
      <c r="W1142" s="13"/>
      <c r="X1142" s="13"/>
      <c r="Y1142" s="13"/>
      <c r="Z1142" s="13"/>
    </row>
    <row r="1143">
      <c r="A1143" s="8">
        <v>43848.497569444444</v>
      </c>
      <c r="B1143" s="9" t="str">
        <f>HYPERLINK("https://twitter.com/thornhillmom","@thornhillmom")</f>
        <v>@thornhillmom</v>
      </c>
      <c r="C1143" s="10" t="s">
        <v>2702</v>
      </c>
      <c r="D1143" s="10" t="s">
        <v>5123</v>
      </c>
      <c r="E1143" s="9" t="str">
        <f>HYPERLINK("https://twitter.com/thornhillmom/status/1218577919666032640","1218577919666032640")</f>
        <v>1218577919666032640</v>
      </c>
      <c r="F1143" s="11" t="s">
        <v>5124</v>
      </c>
      <c r="G1143" s="13"/>
      <c r="H1143" s="13"/>
      <c r="I1143" s="14">
        <v>0.0</v>
      </c>
      <c r="J1143" s="14">
        <v>0.0</v>
      </c>
      <c r="K1143" s="9" t="str">
        <f>HYPERLINK("http://www.twitter.com","Marietweet")</f>
        <v>Marietweet</v>
      </c>
      <c r="L1143" s="15">
        <v>10918.0</v>
      </c>
      <c r="M1143" s="15">
        <v>3968.0</v>
      </c>
      <c r="N1143" s="15">
        <v>510.0</v>
      </c>
      <c r="O1143" s="16"/>
      <c r="P1143" s="17">
        <v>41233.47824074074</v>
      </c>
      <c r="Q1143" s="10" t="s">
        <v>2705</v>
      </c>
      <c r="R1143" s="10" t="s">
        <v>2706</v>
      </c>
      <c r="S1143" s="11" t="s">
        <v>2707</v>
      </c>
      <c r="T1143" s="13"/>
      <c r="U1143" s="18" t="str">
        <f>HYPERLINK("https://pbs.twimg.com/profile_images/528657627157233664/mAw3lKf_.jpeg","View")</f>
        <v>View</v>
      </c>
      <c r="V1143" s="13"/>
      <c r="W1143" s="13"/>
      <c r="X1143" s="13"/>
      <c r="Y1143" s="13"/>
      <c r="Z1143" s="13"/>
    </row>
    <row r="1144">
      <c r="A1144" s="8">
        <v>43848.49679398148</v>
      </c>
      <c r="B1144" s="9" t="str">
        <f>HYPERLINK("https://twitter.com/Vamp_Rouge","@Vamp_Rouge")</f>
        <v>@Vamp_Rouge</v>
      </c>
      <c r="C1144" s="10" t="s">
        <v>5125</v>
      </c>
      <c r="D1144" s="10" t="s">
        <v>5126</v>
      </c>
      <c r="E1144" s="9" t="str">
        <f>HYPERLINK("https://twitter.com/Vamp_Rouge/status/1218577637448155136","1218577637448155136")</f>
        <v>1218577637448155136</v>
      </c>
      <c r="F1144" s="11" t="s">
        <v>5127</v>
      </c>
      <c r="G1144" s="13"/>
      <c r="H1144" s="13"/>
      <c r="I1144" s="14">
        <v>0.0</v>
      </c>
      <c r="J1144" s="14">
        <v>0.0</v>
      </c>
      <c r="K1144" s="9" t="str">
        <f>HYPERLINK("http://instagram.com","Instagram")</f>
        <v>Instagram</v>
      </c>
      <c r="L1144" s="15">
        <v>368.0</v>
      </c>
      <c r="M1144" s="15">
        <v>240.0</v>
      </c>
      <c r="N1144" s="15">
        <v>11.0</v>
      </c>
      <c r="O1144" s="16"/>
      <c r="P1144" s="17">
        <v>41045.72976851852</v>
      </c>
      <c r="Q1144" s="13"/>
      <c r="R1144" s="10" t="s">
        <v>5128</v>
      </c>
      <c r="S1144" s="11" t="s">
        <v>5129</v>
      </c>
      <c r="T1144" s="13"/>
      <c r="U1144" s="18" t="str">
        <f>HYPERLINK("https://pbs.twimg.com/profile_images/1130608039445319681/o8clUxOh.jpg","View")</f>
        <v>View</v>
      </c>
      <c r="V1144" s="13"/>
      <c r="W1144" s="13"/>
      <c r="X1144" s="13"/>
      <c r="Y1144" s="13"/>
      <c r="Z1144" s="13"/>
    </row>
    <row r="1145">
      <c r="A1145" s="8">
        <v>43848.496620370366</v>
      </c>
      <c r="B1145" s="9" t="str">
        <f>HYPERLINK("https://twitter.com/OCD_Bart","@OCD_Bart")</f>
        <v>@OCD_Bart</v>
      </c>
      <c r="C1145" s="10" t="s">
        <v>5130</v>
      </c>
      <c r="D1145" s="10" t="s">
        <v>5131</v>
      </c>
      <c r="E1145" s="9" t="str">
        <f>HYPERLINK("https://twitter.com/OCD_Bart/status/1218577575125168128","1218577575125168128")</f>
        <v>1218577575125168128</v>
      </c>
      <c r="F1145" s="13"/>
      <c r="G1145" s="13"/>
      <c r="H1145" s="13"/>
      <c r="I1145" s="14">
        <v>0.0</v>
      </c>
      <c r="J1145" s="14">
        <v>0.0</v>
      </c>
      <c r="K1145" s="9" t="str">
        <f>HYPERLINK("http://twitter.com/download/android","Twitter for Android")</f>
        <v>Twitter for Android</v>
      </c>
      <c r="L1145" s="15">
        <v>10.0</v>
      </c>
      <c r="M1145" s="15">
        <v>35.0</v>
      </c>
      <c r="N1145" s="15">
        <v>0.0</v>
      </c>
      <c r="O1145" s="16"/>
      <c r="P1145" s="17">
        <v>43841.659525462965</v>
      </c>
      <c r="Q1145" s="13"/>
      <c r="R1145" s="10" t="s">
        <v>5132</v>
      </c>
      <c r="S1145" s="13"/>
      <c r="T1145" s="13"/>
      <c r="U1145" s="18" t="str">
        <f>HYPERLINK("https://pbs.twimg.com/profile_images/1216107304329924614/5Tvs0KeS.jpg","View")</f>
        <v>View</v>
      </c>
      <c r="V1145" s="13"/>
      <c r="W1145" s="13"/>
      <c r="X1145" s="13"/>
      <c r="Y1145" s="13"/>
      <c r="Z1145" s="13"/>
    </row>
    <row r="1146">
      <c r="A1146" s="8">
        <v>43848.49653935185</v>
      </c>
      <c r="B1146" s="9" t="str">
        <f>HYPERLINK("https://twitter.com/starpt4u","@starpt4u")</f>
        <v>@starpt4u</v>
      </c>
      <c r="C1146" s="10" t="s">
        <v>5133</v>
      </c>
      <c r="D1146" s="10" t="s">
        <v>5134</v>
      </c>
      <c r="E1146" s="9" t="str">
        <f>HYPERLINK("https://twitter.com/starpt4u/status/1218577544368349185","1218577544368349185")</f>
        <v>1218577544368349185</v>
      </c>
      <c r="F1146" s="13"/>
      <c r="G1146" s="11" t="s">
        <v>5135</v>
      </c>
      <c r="H1146" s="13"/>
      <c r="I1146" s="14">
        <v>0.0</v>
      </c>
      <c r="J1146" s="14">
        <v>1.0</v>
      </c>
      <c r="K1146" s="9" t="str">
        <f>HYPERLINK("http://twitter.com/download/iphone","Twitter for iPhone")</f>
        <v>Twitter for iPhone</v>
      </c>
      <c r="L1146" s="15">
        <v>848.0</v>
      </c>
      <c r="M1146" s="15">
        <v>4834.0</v>
      </c>
      <c r="N1146" s="15">
        <v>15.0</v>
      </c>
      <c r="O1146" s="16"/>
      <c r="P1146" s="17">
        <v>40557.910462962966</v>
      </c>
      <c r="Q1146" s="10" t="s">
        <v>5136</v>
      </c>
      <c r="R1146" s="10" t="s">
        <v>5137</v>
      </c>
      <c r="S1146" s="11" t="s">
        <v>5138</v>
      </c>
      <c r="T1146" s="13"/>
      <c r="U1146" s="18" t="str">
        <f>HYPERLINK("https://pbs.twimg.com/profile_images/950508001429016576/DpanfKrd.jpg","View")</f>
        <v>View</v>
      </c>
      <c r="V1146" s="13"/>
      <c r="W1146" s="13"/>
      <c r="X1146" s="13"/>
      <c r="Y1146" s="13"/>
      <c r="Z1146" s="13"/>
    </row>
    <row r="1147">
      <c r="A1147" s="8">
        <v>43848.495671296296</v>
      </c>
      <c r="B1147" s="9" t="str">
        <f>HYPERLINK("https://twitter.com/practselfcare","@practselfcare")</f>
        <v>@practselfcare</v>
      </c>
      <c r="C1147" s="10" t="s">
        <v>5139</v>
      </c>
      <c r="D1147" s="10" t="s">
        <v>5140</v>
      </c>
      <c r="E1147" s="9" t="str">
        <f>HYPERLINK("https://twitter.com/practselfcare/status/1218577232366592002","1218577232366592002")</f>
        <v>1218577232366592002</v>
      </c>
      <c r="F1147" s="13"/>
      <c r="G1147" s="11" t="s">
        <v>5141</v>
      </c>
      <c r="H1147" s="13"/>
      <c r="I1147" s="14">
        <v>0.0</v>
      </c>
      <c r="J1147" s="14">
        <v>0.0</v>
      </c>
      <c r="K1147" s="9" t="str">
        <f>HYPERLINK("https://mobile.twitter.com","Twitter Web App")</f>
        <v>Twitter Web App</v>
      </c>
      <c r="L1147" s="15">
        <v>2.0</v>
      </c>
      <c r="M1147" s="15">
        <v>7.0</v>
      </c>
      <c r="N1147" s="15">
        <v>0.0</v>
      </c>
      <c r="O1147" s="16"/>
      <c r="P1147" s="17">
        <v>43842.52726851852</v>
      </c>
      <c r="Q1147" s="13"/>
      <c r="R1147" s="13"/>
      <c r="S1147" s="13"/>
      <c r="T1147" s="13"/>
      <c r="U1147" s="18" t="str">
        <f>HYPERLINK("https://pbs.twimg.com/profile_images/1216416983513694208/SXmHFgLE.jpg","View")</f>
        <v>View</v>
      </c>
      <c r="V1147" s="13"/>
      <c r="W1147" s="13"/>
      <c r="X1147" s="13"/>
      <c r="Y1147" s="13"/>
      <c r="Z1147" s="13"/>
    </row>
    <row r="1148">
      <c r="A1148" s="8">
        <v>43848.495347222226</v>
      </c>
      <c r="B1148" s="9" t="str">
        <f>HYPERLINK("https://twitter.com/grouptherapy33","@grouptherapy33")</f>
        <v>@grouptherapy33</v>
      </c>
      <c r="C1148" s="10" t="s">
        <v>831</v>
      </c>
      <c r="D1148" s="10" t="s">
        <v>5142</v>
      </c>
      <c r="E1148" s="9" t="str">
        <f>HYPERLINK("https://twitter.com/grouptherapy33/status/1218577114666061824","1218577114666061824")</f>
        <v>1218577114666061824</v>
      </c>
      <c r="F1148" s="13"/>
      <c r="G1148" s="13"/>
      <c r="H1148" s="13"/>
      <c r="I1148" s="14">
        <v>1.0</v>
      </c>
      <c r="J1148" s="14">
        <v>0.0</v>
      </c>
      <c r="K1148" s="9" t="str">
        <f>HYPERLINK("http://www.DynamicTweets.com","Dynamic Tweets")</f>
        <v>Dynamic Tweets</v>
      </c>
      <c r="L1148" s="15">
        <v>4053.0</v>
      </c>
      <c r="M1148" s="15">
        <v>3517.0</v>
      </c>
      <c r="N1148" s="15">
        <v>74.0</v>
      </c>
      <c r="O1148" s="16"/>
      <c r="P1148" s="17">
        <v>42375.45542824074</v>
      </c>
      <c r="Q1148" s="13"/>
      <c r="R1148" s="13"/>
      <c r="S1148" s="11" t="s">
        <v>833</v>
      </c>
      <c r="T1148" s="13"/>
      <c r="U1148" s="18" t="str">
        <f>HYPERLINK("https://pbs.twimg.com/profile_images/773354507157671941/wE10yy8j.jpg","View")</f>
        <v>View</v>
      </c>
      <c r="V1148" s="13"/>
      <c r="W1148" s="13"/>
      <c r="X1148" s="13"/>
      <c r="Y1148" s="13"/>
      <c r="Z1148" s="13"/>
    </row>
    <row r="1149">
      <c r="A1149" s="8">
        <v>43848.49457175926</v>
      </c>
      <c r="B1149" s="9" t="str">
        <f>HYPERLINK("https://twitter.com/jusippe","@jusippe")</f>
        <v>@jusippe</v>
      </c>
      <c r="C1149" s="10" t="s">
        <v>5143</v>
      </c>
      <c r="D1149" s="10" t="s">
        <v>5144</v>
      </c>
      <c r="E1149" s="9" t="str">
        <f>HYPERLINK("https://twitter.com/jusippe/status/1218576832871784448","1218576832871784448")</f>
        <v>1218576832871784448</v>
      </c>
      <c r="F1149" s="11" t="s">
        <v>5145</v>
      </c>
      <c r="G1149" s="11" t="s">
        <v>5146</v>
      </c>
      <c r="H1149" s="13"/>
      <c r="I1149" s="14">
        <v>0.0</v>
      </c>
      <c r="J1149" s="14">
        <v>0.0</v>
      </c>
      <c r="K1149" s="9" t="str">
        <f>HYPERLINK("https://www.corelistingmachine.com/","CORE ListingMachine")</f>
        <v>CORE ListingMachine</v>
      </c>
      <c r="L1149" s="15">
        <v>9.0</v>
      </c>
      <c r="M1149" s="15">
        <v>36.0</v>
      </c>
      <c r="N1149" s="15">
        <v>0.0</v>
      </c>
      <c r="O1149" s="16"/>
      <c r="P1149" s="17">
        <v>40805.82606481481</v>
      </c>
      <c r="Q1149" s="13"/>
      <c r="R1149" s="13"/>
      <c r="S1149" s="13"/>
      <c r="T1149" s="13"/>
      <c r="U1149" s="18" t="str">
        <f>HYPERLINK("https://pbs.twimg.com/profile_images/452410131243098112/E77AHzrl.jpeg","View")</f>
        <v>View</v>
      </c>
      <c r="V1149" s="13"/>
      <c r="W1149" s="13"/>
      <c r="X1149" s="13"/>
      <c r="Y1149" s="13"/>
      <c r="Z1149" s="13"/>
    </row>
    <row r="1150">
      <c r="A1150" s="8">
        <v>43848.49444444444</v>
      </c>
      <c r="B1150" s="9" t="str">
        <f>HYPERLINK("https://twitter.com/AWPNHS","@AWPNHS")</f>
        <v>@AWPNHS</v>
      </c>
      <c r="C1150" s="10" t="s">
        <v>5147</v>
      </c>
      <c r="D1150" s="10" t="s">
        <v>5148</v>
      </c>
      <c r="E1150" s="9" t="str">
        <f>HYPERLINK("https://twitter.com/AWPNHS/status/1218576785052332032","1218576785052332032")</f>
        <v>1218576785052332032</v>
      </c>
      <c r="F1150" s="11" t="s">
        <v>5149</v>
      </c>
      <c r="G1150" s="11" t="s">
        <v>5150</v>
      </c>
      <c r="H1150" s="13"/>
      <c r="I1150" s="14">
        <v>2.0</v>
      </c>
      <c r="J1150" s="14">
        <v>0.0</v>
      </c>
      <c r="K1150" s="9" t="str">
        <f>HYPERLINK("https://about.twitter.com/products/tweetdeck","TweetDeck")</f>
        <v>TweetDeck</v>
      </c>
      <c r="L1150" s="15">
        <v>3763.0</v>
      </c>
      <c r="M1150" s="15">
        <v>1871.0</v>
      </c>
      <c r="N1150" s="15">
        <v>87.0</v>
      </c>
      <c r="O1150" s="16"/>
      <c r="P1150" s="17">
        <v>41025.63402777778</v>
      </c>
      <c r="Q1150" s="10" t="s">
        <v>5151</v>
      </c>
      <c r="R1150" s="10" t="s">
        <v>5152</v>
      </c>
      <c r="S1150" s="11" t="s">
        <v>5153</v>
      </c>
      <c r="T1150" s="13"/>
      <c r="U1150" s="18" t="str">
        <f>HYPERLINK("https://pbs.twimg.com/profile_images/1175059142660317186/-kcVGvdh.png","View")</f>
        <v>View</v>
      </c>
      <c r="V1150" s="13"/>
      <c r="W1150" s="13"/>
      <c r="X1150" s="13"/>
      <c r="Y1150" s="13"/>
      <c r="Z1150" s="13"/>
    </row>
    <row r="1151">
      <c r="A1151" s="8">
        <v>43848.494155092594</v>
      </c>
      <c r="B1151" s="9" t="str">
        <f>HYPERLINK("https://twitter.com/RealSeanatello","@RealSeanatello")</f>
        <v>@RealSeanatello</v>
      </c>
      <c r="C1151" s="10" t="s">
        <v>5154</v>
      </c>
      <c r="D1151" s="10" t="s">
        <v>5155</v>
      </c>
      <c r="E1151" s="9" t="str">
        <f>HYPERLINK("https://twitter.com/RealSeanatello/status/1218576679058231303","1218576679058231303")</f>
        <v>1218576679058231303</v>
      </c>
      <c r="F1151" s="13"/>
      <c r="G1151" s="13"/>
      <c r="H1151" s="13"/>
      <c r="I1151" s="14">
        <v>0.0</v>
      </c>
      <c r="J1151" s="14">
        <v>1.0</v>
      </c>
      <c r="K1151" s="9" t="str">
        <f>HYPERLINK("http://twitter.com/download/iphone","Twitter for iPhone")</f>
        <v>Twitter for iPhone</v>
      </c>
      <c r="L1151" s="15">
        <v>2731.0</v>
      </c>
      <c r="M1151" s="15">
        <v>1099.0</v>
      </c>
      <c r="N1151" s="15">
        <v>277.0</v>
      </c>
      <c r="O1151" s="16"/>
      <c r="P1151" s="17">
        <v>40683.571377314816</v>
      </c>
      <c r="Q1151" s="10" t="s">
        <v>2298</v>
      </c>
      <c r="R1151" s="10" t="s">
        <v>5156</v>
      </c>
      <c r="S1151" s="11" t="s">
        <v>5157</v>
      </c>
      <c r="T1151" s="13"/>
      <c r="U1151" s="18" t="str">
        <f>HYPERLINK("https://pbs.twimg.com/profile_images/1195707372116828160/O3o69a6Z.jpg","View")</f>
        <v>View</v>
      </c>
      <c r="V1151" s="13"/>
      <c r="W1151" s="13"/>
      <c r="X1151" s="13"/>
      <c r="Y1151" s="13"/>
      <c r="Z1151" s="13"/>
    </row>
    <row r="1152">
      <c r="A1152" s="8">
        <v>43848.494097222225</v>
      </c>
      <c r="B1152" s="9" t="str">
        <f>HYPERLINK("https://twitter.com/Dad_A_F","@Dad_A_F")</f>
        <v>@Dad_A_F</v>
      </c>
      <c r="C1152" s="10" t="s">
        <v>5158</v>
      </c>
      <c r="D1152" s="10" t="s">
        <v>5159</v>
      </c>
      <c r="E1152" s="9" t="str">
        <f>HYPERLINK("https://twitter.com/Dad_A_F/status/1218576658942300160","1218576658942300160")</f>
        <v>1218576658942300160</v>
      </c>
      <c r="F1152" s="13"/>
      <c r="G1152" s="11" t="s">
        <v>5160</v>
      </c>
      <c r="H1152" s="13"/>
      <c r="I1152" s="14">
        <v>0.0</v>
      </c>
      <c r="J1152" s="14">
        <v>0.0</v>
      </c>
      <c r="K1152" s="9" t="str">
        <f>HYPERLINK("https://buffer.com","Buffer")</f>
        <v>Buffer</v>
      </c>
      <c r="L1152" s="15">
        <v>324.0</v>
      </c>
      <c r="M1152" s="15">
        <v>838.0</v>
      </c>
      <c r="N1152" s="15">
        <v>4.0</v>
      </c>
      <c r="O1152" s="16"/>
      <c r="P1152" s="17">
        <v>43312.14716435185</v>
      </c>
      <c r="Q1152" s="10" t="s">
        <v>1324</v>
      </c>
      <c r="R1152" s="10" t="s">
        <v>5161</v>
      </c>
      <c r="S1152" s="11" t="s">
        <v>5162</v>
      </c>
      <c r="T1152" s="13"/>
      <c r="U1152" s="18" t="str">
        <f>HYPERLINK("https://pbs.twimg.com/profile_images/1207448082100740103/yPsuZ2Sg.jpg","View")</f>
        <v>View</v>
      </c>
      <c r="V1152" s="13"/>
      <c r="W1152" s="13"/>
      <c r="X1152" s="13"/>
      <c r="Y1152" s="13"/>
      <c r="Z1152" s="13"/>
    </row>
    <row r="1153">
      <c r="A1153" s="8">
        <v>43848.49386574074</v>
      </c>
      <c r="B1153" s="9" t="str">
        <f>HYPERLINK("https://twitter.com/MclachlanAnne","@MclachlanAnne")</f>
        <v>@MclachlanAnne</v>
      </c>
      <c r="C1153" s="10" t="s">
        <v>5163</v>
      </c>
      <c r="D1153" s="10" t="s">
        <v>5164</v>
      </c>
      <c r="E1153" s="9" t="str">
        <f>HYPERLINK("https://twitter.com/MclachlanAnne/status/1218576575794503682","1218576575794503682")</f>
        <v>1218576575794503682</v>
      </c>
      <c r="F1153" s="10" t="s">
        <v>5043</v>
      </c>
      <c r="G1153" s="13"/>
      <c r="H1153" s="13"/>
      <c r="I1153" s="14">
        <v>0.0</v>
      </c>
      <c r="J1153" s="14">
        <v>1.0</v>
      </c>
      <c r="K1153" s="9" t="str">
        <f>HYPERLINK("http://twitter.com/download/android","Twitter for Android")</f>
        <v>Twitter for Android</v>
      </c>
      <c r="L1153" s="15">
        <v>221.0</v>
      </c>
      <c r="M1153" s="15">
        <v>467.0</v>
      </c>
      <c r="N1153" s="15">
        <v>8.0</v>
      </c>
      <c r="O1153" s="16"/>
      <c r="P1153" s="17">
        <v>42399.80034722222</v>
      </c>
      <c r="Q1153" s="13"/>
      <c r="R1153" s="10" t="s">
        <v>5165</v>
      </c>
      <c r="S1153" s="13"/>
      <c r="T1153" s="13"/>
      <c r="U1153" s="18" t="str">
        <f>HYPERLINK("https://pbs.twimg.com/profile_images/779833311527067648/1vYLQhDu.jpg","View")</f>
        <v>View</v>
      </c>
      <c r="V1153" s="13"/>
      <c r="W1153" s="13"/>
      <c r="X1153" s="13"/>
      <c r="Y1153" s="13"/>
      <c r="Z1153" s="13"/>
    </row>
    <row r="1154">
      <c r="A1154" s="8">
        <v>43848.49288194445</v>
      </c>
      <c r="B1154" s="9" t="str">
        <f>HYPERLINK("https://twitter.com/HedgyT","@HedgyT")</f>
        <v>@HedgyT</v>
      </c>
      <c r="C1154" s="10" t="s">
        <v>342</v>
      </c>
      <c r="D1154" s="10" t="s">
        <v>5166</v>
      </c>
      <c r="E1154" s="9" t="str">
        <f>HYPERLINK("https://twitter.com/HedgyT/status/1218576220004196352","1218576220004196352")</f>
        <v>1218576220004196352</v>
      </c>
      <c r="F1154" s="13"/>
      <c r="G1154" s="11" t="s">
        <v>5167</v>
      </c>
      <c r="H1154" s="13"/>
      <c r="I1154" s="14">
        <v>2.0</v>
      </c>
      <c r="J1154" s="14">
        <v>2.0</v>
      </c>
      <c r="K1154" s="9" t="str">
        <f>HYPERLINK("http://twitter.com/download/iphone","Twitter for iPhone")</f>
        <v>Twitter for iPhone</v>
      </c>
      <c r="L1154" s="15">
        <v>82.0</v>
      </c>
      <c r="M1154" s="15">
        <v>101.0</v>
      </c>
      <c r="N1154" s="15">
        <v>0.0</v>
      </c>
      <c r="O1154" s="16"/>
      <c r="P1154" s="17">
        <v>43702.73546296296</v>
      </c>
      <c r="Q1154" s="10" t="s">
        <v>24</v>
      </c>
      <c r="R1154" s="10" t="s">
        <v>345</v>
      </c>
      <c r="S1154" s="13"/>
      <c r="T1154" s="13"/>
      <c r="U1154" s="18" t="str">
        <f>HYPERLINK("https://pbs.twimg.com/profile_images/1165740978084491265/Vn_WhFoI.jpg","View")</f>
        <v>View</v>
      </c>
      <c r="V1154" s="13"/>
      <c r="W1154" s="13"/>
      <c r="X1154" s="13"/>
      <c r="Y1154" s="13"/>
      <c r="Z1154" s="13"/>
    </row>
    <row r="1155">
      <c r="A1155" s="8">
        <v>43848.492627314816</v>
      </c>
      <c r="B1155" s="9" t="str">
        <f>HYPERLINK("https://twitter.com/blgmind","@blgmind")</f>
        <v>@blgmind</v>
      </c>
      <c r="C1155" s="10" t="s">
        <v>5168</v>
      </c>
      <c r="D1155" s="10" t="s">
        <v>5169</v>
      </c>
      <c r="E1155" s="9" t="str">
        <f>HYPERLINK("https://twitter.com/blgmind/status/1218576129554046976","1218576129554046976")</f>
        <v>1218576129554046976</v>
      </c>
      <c r="F1155" s="13"/>
      <c r="G1155" s="13"/>
      <c r="H1155" s="13"/>
      <c r="I1155" s="14">
        <v>1.0</v>
      </c>
      <c r="J1155" s="14">
        <v>3.0</v>
      </c>
      <c r="K1155" s="9" t="str">
        <f>HYPERLINK("https://www.hootsuite.com","Hootsuite Inc.")</f>
        <v>Hootsuite Inc.</v>
      </c>
      <c r="L1155" s="15">
        <v>1548.0</v>
      </c>
      <c r="M1155" s="15">
        <v>511.0</v>
      </c>
      <c r="N1155" s="15">
        <v>42.0</v>
      </c>
      <c r="O1155" s="16"/>
      <c r="P1155" s="17">
        <v>41376.33961805556</v>
      </c>
      <c r="Q1155" s="10" t="s">
        <v>5170</v>
      </c>
      <c r="R1155" s="10" t="s">
        <v>5171</v>
      </c>
      <c r="S1155" s="11" t="s">
        <v>5172</v>
      </c>
      <c r="T1155" s="13"/>
      <c r="U1155" s="18" t="str">
        <f>HYPERLINK("https://pbs.twimg.com/profile_images/979362075184193536/EvNzQRzj.jpg","View")</f>
        <v>View</v>
      </c>
      <c r="V1155" s="13"/>
      <c r="W1155" s="13"/>
      <c r="X1155" s="13"/>
      <c r="Y1155" s="13"/>
      <c r="Z1155" s="13"/>
    </row>
    <row r="1156">
      <c r="A1156" s="8">
        <v>43848.49181712963</v>
      </c>
      <c r="B1156" s="9" t="str">
        <f>HYPERLINK("https://twitter.com/GTime4change","@GTime4change")</f>
        <v>@GTime4change</v>
      </c>
      <c r="C1156" s="10" t="s">
        <v>4113</v>
      </c>
      <c r="D1156" s="10" t="s">
        <v>5173</v>
      </c>
      <c r="E1156" s="9" t="str">
        <f>HYPERLINK("https://twitter.com/GTime4change/status/1218575834468048897","1218575834468048897")</f>
        <v>1218575834468048897</v>
      </c>
      <c r="F1156" s="10" t="s">
        <v>5174</v>
      </c>
      <c r="G1156" s="13"/>
      <c r="H1156" s="13"/>
      <c r="I1156" s="14">
        <v>0.0</v>
      </c>
      <c r="J1156" s="14">
        <v>1.0</v>
      </c>
      <c r="K1156" s="9" t="str">
        <f>HYPERLINK("http://twitter.com/download/iphone","Twitter for iPhone")</f>
        <v>Twitter for iPhone</v>
      </c>
      <c r="L1156" s="15">
        <v>708.0</v>
      </c>
      <c r="M1156" s="15">
        <v>2150.0</v>
      </c>
      <c r="N1156" s="15">
        <v>3.0</v>
      </c>
      <c r="O1156" s="16"/>
      <c r="P1156" s="17">
        <v>43636.615694444445</v>
      </c>
      <c r="Q1156" s="10" t="s">
        <v>4115</v>
      </c>
      <c r="R1156" s="10" t="s">
        <v>4116</v>
      </c>
      <c r="S1156" s="13"/>
      <c r="T1156" s="13"/>
      <c r="U1156" s="18" t="str">
        <f>HYPERLINK("https://pbs.twimg.com/profile_images/1149085224988487681/wDz-izce.jpg","View")</f>
        <v>View</v>
      </c>
      <c r="V1156" s="13"/>
      <c r="W1156" s="13"/>
      <c r="X1156" s="13"/>
      <c r="Y1156" s="13"/>
      <c r="Z1156" s="13"/>
    </row>
    <row r="1157">
      <c r="A1157" s="8">
        <v>43848.49146990741</v>
      </c>
      <c r="B1157" s="9" t="str">
        <f>HYPERLINK("https://twitter.com/BabyBear6889","@BabyBear6889")</f>
        <v>@BabyBear6889</v>
      </c>
      <c r="C1157" s="10" t="s">
        <v>3013</v>
      </c>
      <c r="D1157" s="10" t="s">
        <v>5175</v>
      </c>
      <c r="E1157" s="9" t="str">
        <f>HYPERLINK("https://twitter.com/BabyBear6889/status/1218575707212865537","1218575707212865537")</f>
        <v>1218575707212865537</v>
      </c>
      <c r="F1157" s="13"/>
      <c r="G1157" s="11" t="s">
        <v>5176</v>
      </c>
      <c r="H1157" s="13"/>
      <c r="I1157" s="14">
        <v>0.0</v>
      </c>
      <c r="J1157" s="14">
        <v>0.0</v>
      </c>
      <c r="K1157" s="9" t="str">
        <f>HYPERLINK("http://twitter.com/download/android","Twitter for Android")</f>
        <v>Twitter for Android</v>
      </c>
      <c r="L1157" s="15">
        <v>227.0</v>
      </c>
      <c r="M1157" s="15">
        <v>547.0</v>
      </c>
      <c r="N1157" s="15">
        <v>0.0</v>
      </c>
      <c r="O1157" s="16"/>
      <c r="P1157" s="17">
        <v>43670.20446759259</v>
      </c>
      <c r="Q1157" s="10" t="s">
        <v>3016</v>
      </c>
      <c r="R1157" s="10" t="s">
        <v>3017</v>
      </c>
      <c r="S1157" s="11" t="s">
        <v>3018</v>
      </c>
      <c r="T1157" s="13"/>
      <c r="U1157" s="18" t="str">
        <f>HYPERLINK("https://pbs.twimg.com/profile_images/1217017246813323264/YC5TGG8b.jpg","View")</f>
        <v>View</v>
      </c>
      <c r="V1157" s="13"/>
      <c r="W1157" s="13"/>
      <c r="X1157" s="13"/>
      <c r="Y1157" s="13"/>
      <c r="Z1157" s="13"/>
    </row>
    <row r="1158">
      <c r="A1158" s="8">
        <v>43848.4912962963</v>
      </c>
      <c r="B1158" s="9" t="str">
        <f>HYPERLINK("https://twitter.com/Christaemmer","@Christaemmer")</f>
        <v>@Christaemmer</v>
      </c>
      <c r="C1158" s="10" t="s">
        <v>5177</v>
      </c>
      <c r="D1158" s="10" t="s">
        <v>5178</v>
      </c>
      <c r="E1158" s="9" t="str">
        <f>HYPERLINK("https://twitter.com/Christaemmer/status/1218575645325824004","1218575645325824004")</f>
        <v>1218575645325824004</v>
      </c>
      <c r="F1158" s="11" t="s">
        <v>5179</v>
      </c>
      <c r="G1158" s="11" t="s">
        <v>5180</v>
      </c>
      <c r="H1158" s="13"/>
      <c r="I1158" s="14">
        <v>0.0</v>
      </c>
      <c r="J1158" s="14">
        <v>0.0</v>
      </c>
      <c r="K1158" s="9" t="str">
        <f>HYPERLINK("https://www.corelistingmachine.com/","CORE ListingMachine")</f>
        <v>CORE ListingMachine</v>
      </c>
      <c r="L1158" s="15">
        <v>630.0</v>
      </c>
      <c r="M1158" s="15">
        <v>1650.0</v>
      </c>
      <c r="N1158" s="15">
        <v>21.0</v>
      </c>
      <c r="O1158" s="16"/>
      <c r="P1158" s="17">
        <v>39867.529074074075</v>
      </c>
      <c r="Q1158" s="10" t="s">
        <v>5181</v>
      </c>
      <c r="R1158" s="10" t="s">
        <v>5182</v>
      </c>
      <c r="S1158" s="11" t="s">
        <v>5183</v>
      </c>
      <c r="T1158" s="13"/>
      <c r="U1158" s="18" t="str">
        <f>HYPERLINK("https://pbs.twimg.com/profile_images/1843773881/christaretouchedblkw.jpg","View")</f>
        <v>View</v>
      </c>
      <c r="V1158" s="13"/>
      <c r="W1158" s="13"/>
      <c r="X1158" s="13"/>
      <c r="Y1158" s="13"/>
      <c r="Z1158" s="13"/>
    </row>
    <row r="1159">
      <c r="A1159" s="8">
        <v>43848.49079861111</v>
      </c>
      <c r="B1159" s="9" t="str">
        <f>HYPERLINK("https://twitter.com/TwistShay","@TwistShay")</f>
        <v>@TwistShay</v>
      </c>
      <c r="C1159" s="10" t="s">
        <v>5184</v>
      </c>
      <c r="D1159" s="10" t="s">
        <v>5185</v>
      </c>
      <c r="E1159" s="9" t="str">
        <f>HYPERLINK("https://twitter.com/TwistShay/status/1218575465008336898","1218575465008336898")</f>
        <v>1218575465008336898</v>
      </c>
      <c r="F1159" s="13"/>
      <c r="G1159" s="11" t="s">
        <v>5186</v>
      </c>
      <c r="H1159" s="13"/>
      <c r="I1159" s="14">
        <v>0.0</v>
      </c>
      <c r="J1159" s="14">
        <v>4.0</v>
      </c>
      <c r="K1159" s="9" t="str">
        <f t="shared" ref="K1159:K1160" si="137">HYPERLINK("http://twitter.com/download/android","Twitter for Android")</f>
        <v>Twitter for Android</v>
      </c>
      <c r="L1159" s="15">
        <v>149.0</v>
      </c>
      <c r="M1159" s="15">
        <v>110.0</v>
      </c>
      <c r="N1159" s="15">
        <v>2.0</v>
      </c>
      <c r="O1159" s="16"/>
      <c r="P1159" s="17">
        <v>43259.5971412037</v>
      </c>
      <c r="Q1159" s="10" t="s">
        <v>5187</v>
      </c>
      <c r="R1159" s="10" t="s">
        <v>5188</v>
      </c>
      <c r="S1159" s="13"/>
      <c r="T1159" s="13"/>
      <c r="U1159" s="18" t="str">
        <f>HYPERLINK("https://pbs.twimg.com/profile_images/1149030053964988416/wcXGqKOf.jpg","View")</f>
        <v>View</v>
      </c>
      <c r="V1159" s="13"/>
      <c r="W1159" s="13"/>
      <c r="X1159" s="13"/>
      <c r="Y1159" s="13"/>
      <c r="Z1159" s="13"/>
    </row>
    <row r="1160">
      <c r="A1160" s="8">
        <v>43848.49076388888</v>
      </c>
      <c r="B1160" s="9" t="str">
        <f>HYPERLINK("https://twitter.com/Kudu_ze_Kudu","@Kudu_ze_Kudu")</f>
        <v>@Kudu_ze_Kudu</v>
      </c>
      <c r="C1160" s="10" t="s">
        <v>5189</v>
      </c>
      <c r="D1160" s="10" t="s">
        <v>238</v>
      </c>
      <c r="E1160" s="9" t="str">
        <f>HYPERLINK("https://twitter.com/Kudu_ze_Kudu/status/1218575452744364032","1218575452744364032")</f>
        <v>1218575452744364032</v>
      </c>
      <c r="F1160" s="13"/>
      <c r="G1160" s="13"/>
      <c r="H1160" s="13"/>
      <c r="I1160" s="14">
        <v>0.0</v>
      </c>
      <c r="J1160" s="14">
        <v>5.0</v>
      </c>
      <c r="K1160" s="9" t="str">
        <f t="shared" si="137"/>
        <v>Twitter for Android</v>
      </c>
      <c r="L1160" s="15">
        <v>2876.0</v>
      </c>
      <c r="M1160" s="15">
        <v>1030.0</v>
      </c>
      <c r="N1160" s="15">
        <v>4.0</v>
      </c>
      <c r="O1160" s="16"/>
      <c r="P1160" s="17">
        <v>42376.21467592593</v>
      </c>
      <c r="Q1160" s="10" t="s">
        <v>5190</v>
      </c>
      <c r="R1160" s="10" t="s">
        <v>5191</v>
      </c>
      <c r="S1160" s="13"/>
      <c r="T1160" s="13"/>
      <c r="U1160" s="18" t="str">
        <f>HYPERLINK("https://pbs.twimg.com/profile_images/1213498652985057282/uQKHxPx2.jpg","View")</f>
        <v>View</v>
      </c>
      <c r="V1160" s="13"/>
      <c r="W1160" s="13"/>
      <c r="X1160" s="13"/>
      <c r="Y1160" s="13"/>
      <c r="Z1160" s="13"/>
    </row>
    <row r="1161">
      <c r="A1161" s="8">
        <v>43848.489699074074</v>
      </c>
      <c r="B1161" s="9" t="str">
        <f>HYPERLINK("https://twitter.com/AnxietyUK","@AnxietyUK")</f>
        <v>@AnxietyUK</v>
      </c>
      <c r="C1161" s="10" t="s">
        <v>4384</v>
      </c>
      <c r="D1161" s="10" t="s">
        <v>5192</v>
      </c>
      <c r="E1161" s="9" t="str">
        <f>HYPERLINK("https://twitter.com/AnxietyUK/status/1218575065777942531","1218575065777942531")</f>
        <v>1218575065777942531</v>
      </c>
      <c r="F1161" s="11" t="s">
        <v>5193</v>
      </c>
      <c r="G1161" s="11" t="s">
        <v>5194</v>
      </c>
      <c r="H1161" s="13"/>
      <c r="I1161" s="14">
        <v>0.0</v>
      </c>
      <c r="J1161" s="14">
        <v>1.0</v>
      </c>
      <c r="K1161" s="9" t="str">
        <f>HYPERLINK("https://www.hootsuite.com","Hootsuite Inc.")</f>
        <v>Hootsuite Inc.</v>
      </c>
      <c r="L1161" s="15">
        <v>130195.0</v>
      </c>
      <c r="M1161" s="15">
        <v>2539.0</v>
      </c>
      <c r="N1161" s="15">
        <v>1114.0</v>
      </c>
      <c r="O1161" s="16"/>
      <c r="P1161" s="17">
        <v>39854.57107638889</v>
      </c>
      <c r="Q1161" s="10" t="s">
        <v>3286</v>
      </c>
      <c r="R1161" s="10" t="s">
        <v>4388</v>
      </c>
      <c r="S1161" s="11" t="s">
        <v>4389</v>
      </c>
      <c r="T1161" s="13"/>
      <c r="U1161" s="18" t="str">
        <f>HYPERLINK("https://pbs.twimg.com/profile_images/1184032569148485632/ARtaFKKO.jpg","View")</f>
        <v>View</v>
      </c>
      <c r="V1161" s="13"/>
      <c r="W1161" s="13"/>
      <c r="X1161" s="13"/>
      <c r="Y1161" s="13"/>
      <c r="Z1161" s="13"/>
    </row>
    <row r="1162">
      <c r="A1162" s="8">
        <v>43848.48957175926</v>
      </c>
      <c r="B1162" s="9" t="str">
        <f>HYPERLINK("https://twitter.com/riversidePSG","@riversidePSG")</f>
        <v>@riversidePSG</v>
      </c>
      <c r="C1162" s="10" t="s">
        <v>5195</v>
      </c>
      <c r="D1162" s="10" t="s">
        <v>5196</v>
      </c>
      <c r="E1162" s="9" t="str">
        <f>HYPERLINK("https://twitter.com/riversidePSG/status/1218575020856958976","1218575020856958976")</f>
        <v>1218575020856958976</v>
      </c>
      <c r="F1162" s="11" t="s">
        <v>5197</v>
      </c>
      <c r="G1162" s="13"/>
      <c r="H1162" s="13"/>
      <c r="I1162" s="14">
        <v>0.0</v>
      </c>
      <c r="J1162" s="14">
        <v>0.0</v>
      </c>
      <c r="K1162" s="9" t="str">
        <f>HYPERLINK("http://instagram.com","Instagram")</f>
        <v>Instagram</v>
      </c>
      <c r="L1162" s="15">
        <v>127.0</v>
      </c>
      <c r="M1162" s="15">
        <v>21.0</v>
      </c>
      <c r="N1162" s="15">
        <v>0.0</v>
      </c>
      <c r="O1162" s="16"/>
      <c r="P1162" s="17">
        <v>43773.35702546296</v>
      </c>
      <c r="Q1162" s="10" t="s">
        <v>5198</v>
      </c>
      <c r="R1162" s="10" t="s">
        <v>5199</v>
      </c>
      <c r="S1162" s="11" t="s">
        <v>5200</v>
      </c>
      <c r="T1162" s="13"/>
      <c r="U1162" s="18" t="str">
        <f>HYPERLINK("https://pbs.twimg.com/profile_images/1191348059550171136/GwMVqkHA.jpg","View")</f>
        <v>View</v>
      </c>
      <c r="V1162" s="13"/>
      <c r="W1162" s="13"/>
      <c r="X1162" s="13"/>
      <c r="Y1162" s="13"/>
      <c r="Z1162" s="13"/>
    </row>
    <row r="1163">
      <c r="A1163" s="8">
        <v>43848.48905092593</v>
      </c>
      <c r="B1163" s="9" t="str">
        <f>HYPERLINK("https://twitter.com/Seanku","@Seanku")</f>
        <v>@Seanku</v>
      </c>
      <c r="C1163" s="10" t="s">
        <v>5201</v>
      </c>
      <c r="D1163" s="10" t="s">
        <v>5202</v>
      </c>
      <c r="E1163" s="9" t="str">
        <f>HYPERLINK("https://twitter.com/Seanku/status/1218574831911874561","1218574831911874561")</f>
        <v>1218574831911874561</v>
      </c>
      <c r="F1163" s="10" t="s">
        <v>5203</v>
      </c>
      <c r="G1163" s="13"/>
      <c r="H1163" s="13"/>
      <c r="I1163" s="14">
        <v>0.0</v>
      </c>
      <c r="J1163" s="14">
        <v>1.0</v>
      </c>
      <c r="K1163" s="9" t="str">
        <f>HYPERLINK("http://twitter.com","Twitter Web Client")</f>
        <v>Twitter Web Client</v>
      </c>
      <c r="L1163" s="15">
        <v>689.0</v>
      </c>
      <c r="M1163" s="15">
        <v>439.0</v>
      </c>
      <c r="N1163" s="15">
        <v>31.0</v>
      </c>
      <c r="O1163" s="16"/>
      <c r="P1163" s="17">
        <v>40203.66888888889</v>
      </c>
      <c r="Q1163" s="10" t="s">
        <v>3371</v>
      </c>
      <c r="R1163" s="10" t="s">
        <v>5204</v>
      </c>
      <c r="S1163" s="13"/>
      <c r="T1163" s="13"/>
      <c r="U1163" s="18" t="str">
        <f>HYPERLINK("https://pbs.twimg.com/profile_images/970086442939674624/mYe1LznH.jpg","View")</f>
        <v>View</v>
      </c>
      <c r="V1163" s="13"/>
      <c r="W1163" s="13"/>
      <c r="X1163" s="13"/>
      <c r="Y1163" s="13"/>
      <c r="Z1163" s="13"/>
    </row>
    <row r="1164">
      <c r="A1164" s="8">
        <v>43848.48886574074</v>
      </c>
      <c r="B1164" s="9" t="str">
        <f>HYPERLINK("https://twitter.com/BalinADurrMD","@BalinADurrMD")</f>
        <v>@BalinADurrMD</v>
      </c>
      <c r="C1164" s="10" t="s">
        <v>5205</v>
      </c>
      <c r="D1164" s="10" t="s">
        <v>5206</v>
      </c>
      <c r="E1164" s="9" t="str">
        <f>HYPERLINK("https://twitter.com/BalinADurrMD/status/1218574765406990346","1218574765406990346")</f>
        <v>1218574765406990346</v>
      </c>
      <c r="F1164" s="13"/>
      <c r="G1164" s="13"/>
      <c r="H1164" s="13"/>
      <c r="I1164" s="14">
        <v>2.0</v>
      </c>
      <c r="J1164" s="14">
        <v>2.0</v>
      </c>
      <c r="K1164" s="9" t="str">
        <f>HYPERLINK("http://twitter.com/download/android","Twitter for Android")</f>
        <v>Twitter for Android</v>
      </c>
      <c r="L1164" s="15">
        <v>687.0</v>
      </c>
      <c r="M1164" s="15">
        <v>506.0</v>
      </c>
      <c r="N1164" s="15">
        <v>111.0</v>
      </c>
      <c r="O1164" s="16"/>
      <c r="P1164" s="17">
        <v>41610.02946759259</v>
      </c>
      <c r="Q1164" s="10" t="s">
        <v>5207</v>
      </c>
      <c r="R1164" s="10" t="s">
        <v>5208</v>
      </c>
      <c r="S1164" s="11" t="s">
        <v>5209</v>
      </c>
      <c r="T1164" s="13"/>
      <c r="U1164" s="18" t="str">
        <f>HYPERLINK("https://pbs.twimg.com/profile_images/378800000819051060/1afadb077c6b8235afac6b8ad1d5eded.jpeg","View")</f>
        <v>View</v>
      </c>
      <c r="V1164" s="13"/>
      <c r="W1164" s="13"/>
      <c r="X1164" s="13"/>
      <c r="Y1164" s="13"/>
      <c r="Z1164" s="13"/>
    </row>
    <row r="1165">
      <c r="A1165" s="8">
        <v>43848.48868055556</v>
      </c>
      <c r="B1165" s="9" t="str">
        <f>HYPERLINK("https://twitter.com/JanseCorine","@JanseCorine")</f>
        <v>@JanseCorine</v>
      </c>
      <c r="C1165" s="10" t="s">
        <v>5210</v>
      </c>
      <c r="D1165" s="10" t="s">
        <v>238</v>
      </c>
      <c r="E1165" s="9" t="str">
        <f>HYPERLINK("https://twitter.com/JanseCorine/status/1218574695638892544","1218574695638892544")</f>
        <v>1218574695638892544</v>
      </c>
      <c r="F1165" s="13"/>
      <c r="G1165" s="13"/>
      <c r="H1165" s="13"/>
      <c r="I1165" s="14">
        <v>0.0</v>
      </c>
      <c r="J1165" s="14">
        <v>0.0</v>
      </c>
      <c r="K1165" s="9" t="str">
        <f>HYPERLINK("http://twitter.com/#!/download/ipad","Twitter for iPad")</f>
        <v>Twitter for iPad</v>
      </c>
      <c r="L1165" s="15">
        <v>210.0</v>
      </c>
      <c r="M1165" s="15">
        <v>113.0</v>
      </c>
      <c r="N1165" s="15">
        <v>0.0</v>
      </c>
      <c r="O1165" s="16"/>
      <c r="P1165" s="17">
        <v>42068.3696875</v>
      </c>
      <c r="Q1165" s="13"/>
      <c r="R1165" s="13"/>
      <c r="S1165" s="13"/>
      <c r="T1165" s="13"/>
      <c r="U1165" s="18" t="str">
        <f>HYPERLINK("https://pbs.twimg.com/profile_images/1195594875183476736/hgcpJEsB.jpg","View")</f>
        <v>View</v>
      </c>
      <c r="V1165" s="13"/>
      <c r="W1165" s="13"/>
      <c r="X1165" s="13"/>
      <c r="Y1165" s="13"/>
      <c r="Z1165" s="13"/>
    </row>
    <row r="1166">
      <c r="A1166" s="8">
        <v>43848.48851851852</v>
      </c>
      <c r="B1166" s="9" t="str">
        <f>HYPERLINK("https://twitter.com/Muhammadnuhu3","@Muhammadnuhu3")</f>
        <v>@Muhammadnuhu3</v>
      </c>
      <c r="C1166" s="10" t="s">
        <v>5211</v>
      </c>
      <c r="D1166" s="10" t="s">
        <v>238</v>
      </c>
      <c r="E1166" s="9" t="str">
        <f>HYPERLINK("https://twitter.com/Muhammadnuhu3/status/1218574636901900288","1218574636901900288")</f>
        <v>1218574636901900288</v>
      </c>
      <c r="F1166" s="13"/>
      <c r="G1166" s="13"/>
      <c r="H1166" s="13"/>
      <c r="I1166" s="14">
        <v>0.0</v>
      </c>
      <c r="J1166" s="14">
        <v>0.0</v>
      </c>
      <c r="K1166" s="9" t="str">
        <f>HYPERLINK("http://twitter.com/download/android","Twitter for Android")</f>
        <v>Twitter for Android</v>
      </c>
      <c r="L1166" s="15">
        <v>99.0</v>
      </c>
      <c r="M1166" s="15">
        <v>323.0</v>
      </c>
      <c r="N1166" s="15">
        <v>0.0</v>
      </c>
      <c r="O1166" s="16"/>
      <c r="P1166" s="17">
        <v>41122.377164351856</v>
      </c>
      <c r="Q1166" s="10" t="s">
        <v>3593</v>
      </c>
      <c r="R1166" s="10" t="s">
        <v>5212</v>
      </c>
      <c r="S1166" s="13"/>
      <c r="T1166" s="13"/>
      <c r="U1166" s="18" t="str">
        <f>HYPERLINK("https://pbs.twimg.com/profile_images/1208325435983060993/I3Ewioux.jpg","View")</f>
        <v>View</v>
      </c>
      <c r="V1166" s="13"/>
      <c r="W1166" s="13"/>
      <c r="X1166" s="13"/>
      <c r="Y1166" s="13"/>
      <c r="Z1166" s="13"/>
    </row>
    <row r="1167">
      <c r="A1167" s="8">
        <v>43848.48831018519</v>
      </c>
      <c r="B1167" s="9" t="str">
        <f>HYPERLINK("https://twitter.com/lucy_at_home","@lucy_at_home")</f>
        <v>@lucy_at_home</v>
      </c>
      <c r="C1167" s="10" t="s">
        <v>694</v>
      </c>
      <c r="D1167" s="10" t="s">
        <v>5213</v>
      </c>
      <c r="E1167" s="9" t="str">
        <f>HYPERLINK("https://twitter.com/lucy_at_home/status/1218574561387732994","1218574561387732994")</f>
        <v>1218574561387732994</v>
      </c>
      <c r="F1167" s="11" t="s">
        <v>5214</v>
      </c>
      <c r="G1167" s="11" t="s">
        <v>5215</v>
      </c>
      <c r="H1167" s="13"/>
      <c r="I1167" s="14">
        <v>0.0</v>
      </c>
      <c r="J1167" s="14">
        <v>0.0</v>
      </c>
      <c r="K1167" s="9" t="str">
        <f>HYPERLINK("https://www.socialoomph.com","SocialOomph")</f>
        <v>SocialOomph</v>
      </c>
      <c r="L1167" s="15">
        <v>8039.0</v>
      </c>
      <c r="M1167" s="15">
        <v>4195.0</v>
      </c>
      <c r="N1167" s="15">
        <v>149.0</v>
      </c>
      <c r="O1167" s="16"/>
      <c r="P1167" s="17">
        <v>42489.62886574074</v>
      </c>
      <c r="Q1167" s="10" t="s">
        <v>698</v>
      </c>
      <c r="R1167" s="10" t="s">
        <v>699</v>
      </c>
      <c r="S1167" s="11" t="s">
        <v>700</v>
      </c>
      <c r="T1167" s="13"/>
      <c r="U1167" s="18" t="str">
        <f>HYPERLINK("https://pbs.twimg.com/profile_images/968579605715148801/Gu3YiZE-.jpg","View")</f>
        <v>View</v>
      </c>
      <c r="V1167" s="13"/>
      <c r="W1167" s="13"/>
      <c r="X1167" s="13"/>
      <c r="Y1167" s="13"/>
      <c r="Z1167" s="13"/>
    </row>
    <row r="1168">
      <c r="A1168" s="8">
        <v>43848.488020833334</v>
      </c>
      <c r="B1168" s="9" t="str">
        <f>HYPERLINK("https://twitter.com/Some1orNobody","@Some1orNobody")</f>
        <v>@Some1orNobody</v>
      </c>
      <c r="C1168" s="10" t="s">
        <v>5216</v>
      </c>
      <c r="D1168" s="10" t="s">
        <v>5217</v>
      </c>
      <c r="E1168" s="9" t="str">
        <f>HYPERLINK("https://twitter.com/Some1orNobody/status/1218574456773398531","1218574456773398531")</f>
        <v>1218574456773398531</v>
      </c>
      <c r="F1168" s="13"/>
      <c r="G1168" s="13"/>
      <c r="H1168" s="13"/>
      <c r="I1168" s="14">
        <v>1.0</v>
      </c>
      <c r="J1168" s="14">
        <v>3.0</v>
      </c>
      <c r="K1168" s="9" t="str">
        <f>HYPERLINK("https://mobile.twitter.com","Twitter Web App")</f>
        <v>Twitter Web App</v>
      </c>
      <c r="L1168" s="15">
        <v>1104.0</v>
      </c>
      <c r="M1168" s="15">
        <v>2328.0</v>
      </c>
      <c r="N1168" s="15">
        <v>1.0</v>
      </c>
      <c r="O1168" s="16"/>
      <c r="P1168" s="17">
        <v>42972.701932870375</v>
      </c>
      <c r="Q1168" s="10" t="s">
        <v>5218</v>
      </c>
      <c r="R1168" s="10" t="s">
        <v>5219</v>
      </c>
      <c r="S1168" s="11" t="s">
        <v>5220</v>
      </c>
      <c r="T1168" s="13"/>
      <c r="U1168" s="18" t="str">
        <f>HYPERLINK("https://pbs.twimg.com/profile_images/1190256300439080960/TbySJYsL.jpg","View")</f>
        <v>View</v>
      </c>
      <c r="V1168" s="13"/>
      <c r="W1168" s="13"/>
      <c r="X1168" s="13"/>
      <c r="Y1168" s="13"/>
      <c r="Z1168" s="13"/>
    </row>
    <row r="1169">
      <c r="A1169" s="8">
        <v>43848.48778935186</v>
      </c>
      <c r="B1169" s="9" t="str">
        <f>HYPERLINK("https://twitter.com/SamLewisIC","@SamLewisIC")</f>
        <v>@SamLewisIC</v>
      </c>
      <c r="C1169" s="10" t="s">
        <v>5221</v>
      </c>
      <c r="D1169" s="10" t="s">
        <v>5222</v>
      </c>
      <c r="E1169" s="9" t="str">
        <f>HYPERLINK("https://twitter.com/SamLewisIC/status/1218574375080820736","1218574375080820736")</f>
        <v>1218574375080820736</v>
      </c>
      <c r="F1169" s="13"/>
      <c r="G1169" s="11" t="s">
        <v>5223</v>
      </c>
      <c r="H1169" s="13"/>
      <c r="I1169" s="14">
        <v>0.0</v>
      </c>
      <c r="J1169" s="14">
        <v>1.0</v>
      </c>
      <c r="K1169" s="9" t="str">
        <f>HYPERLINK("http://twitter.com/download/iphone","Twitter for iPhone")</f>
        <v>Twitter for iPhone</v>
      </c>
      <c r="L1169" s="15">
        <v>33.0</v>
      </c>
      <c r="M1169" s="15">
        <v>110.0</v>
      </c>
      <c r="N1169" s="15">
        <v>0.0</v>
      </c>
      <c r="O1169" s="16"/>
      <c r="P1169" s="17">
        <v>43702.45055555555</v>
      </c>
      <c r="Q1169" s="10" t="s">
        <v>5224</v>
      </c>
      <c r="R1169" s="10" t="s">
        <v>5225</v>
      </c>
      <c r="S1169" s="13"/>
      <c r="T1169" s="13"/>
      <c r="U1169" s="18" t="str">
        <f>HYPERLINK("https://pbs.twimg.com/profile_images/1167208943334100995/ouI0I7Kf.jpg","View")</f>
        <v>View</v>
      </c>
      <c r="V1169" s="13"/>
      <c r="W1169" s="13"/>
      <c r="X1169" s="13"/>
      <c r="Y1169" s="13"/>
      <c r="Z1169" s="13"/>
    </row>
    <row r="1170">
      <c r="A1170" s="8">
        <v>43848.48731481482</v>
      </c>
      <c r="B1170" s="9" t="str">
        <f>HYPERLINK("https://twitter.com/LovingSanders","@LovingSanders")</f>
        <v>@LovingSanders</v>
      </c>
      <c r="C1170" s="10" t="s">
        <v>70</v>
      </c>
      <c r="D1170" s="10" t="s">
        <v>5226</v>
      </c>
      <c r="E1170" s="9" t="str">
        <f>HYPERLINK("https://twitter.com/LovingSanders/status/1218574202392870914","1218574202392870914")</f>
        <v>1218574202392870914</v>
      </c>
      <c r="F1170" s="11" t="s">
        <v>5227</v>
      </c>
      <c r="G1170" s="13"/>
      <c r="H1170" s="13"/>
      <c r="I1170" s="14">
        <v>1.0</v>
      </c>
      <c r="J1170" s="14">
        <v>1.0</v>
      </c>
      <c r="K1170" s="9" t="str">
        <f>HYPERLINK("https://plus.google.com/102104104608814339564","ZolushkaLaura")</f>
        <v>ZolushkaLaura</v>
      </c>
      <c r="L1170" s="15">
        <v>8205.0</v>
      </c>
      <c r="M1170" s="15">
        <v>5631.0</v>
      </c>
      <c r="N1170" s="15">
        <v>555.0</v>
      </c>
      <c r="O1170" s="16"/>
      <c r="P1170" s="17">
        <v>41611.270844907405</v>
      </c>
      <c r="Q1170" s="10" t="s">
        <v>73</v>
      </c>
      <c r="R1170" s="10" t="s">
        <v>74</v>
      </c>
      <c r="S1170" s="11" t="s">
        <v>75</v>
      </c>
      <c r="T1170" s="13"/>
      <c r="U1170" s="18" t="str">
        <f>HYPERLINK("https://pbs.twimg.com/profile_images/953034378275377152/PI2tXfLU.jpg","View")</f>
        <v>View</v>
      </c>
      <c r="V1170" s="13"/>
      <c r="W1170" s="13"/>
      <c r="X1170" s="13"/>
      <c r="Y1170" s="13"/>
      <c r="Z1170" s="13"/>
    </row>
    <row r="1171">
      <c r="A1171" s="8">
        <v>43848.48685185185</v>
      </c>
      <c r="B1171" s="9" t="str">
        <f>HYPERLINK("https://twitter.com/TheSereneWay","@TheSereneWay")</f>
        <v>@TheSereneWay</v>
      </c>
      <c r="C1171" s="10" t="s">
        <v>5228</v>
      </c>
      <c r="D1171" s="10" t="s">
        <v>5229</v>
      </c>
      <c r="E1171" s="9" t="str">
        <f>HYPERLINK("https://twitter.com/TheSereneWay/status/1218574035694628864","1218574035694628864")</f>
        <v>1218574035694628864</v>
      </c>
      <c r="F1171" s="11" t="s">
        <v>5230</v>
      </c>
      <c r="G1171" s="13"/>
      <c r="H1171" s="13"/>
      <c r="I1171" s="14">
        <v>0.0</v>
      </c>
      <c r="J1171" s="14">
        <v>0.0</v>
      </c>
      <c r="K1171" s="9" t="str">
        <f>HYPERLINK("http://twitter.com","Twitter Web Client")</f>
        <v>Twitter Web Client</v>
      </c>
      <c r="L1171" s="15">
        <v>16444.0</v>
      </c>
      <c r="M1171" s="15">
        <v>17911.0</v>
      </c>
      <c r="N1171" s="15">
        <v>38.0</v>
      </c>
      <c r="O1171" s="16"/>
      <c r="P1171" s="17">
        <v>39773.588900462964</v>
      </c>
      <c r="Q1171" s="10" t="s">
        <v>5231</v>
      </c>
      <c r="R1171" s="10" t="s">
        <v>5232</v>
      </c>
      <c r="S1171" s="13"/>
      <c r="T1171" s="13"/>
      <c r="U1171" s="18" t="str">
        <f>HYPERLINK("https://pbs.twimg.com/profile_images/1047538485756743680/Q6cD6h2y.jpg","View")</f>
        <v>View</v>
      </c>
      <c r="V1171" s="13"/>
      <c r="W1171" s="13"/>
      <c r="X1171" s="13"/>
      <c r="Y1171" s="13"/>
      <c r="Z1171" s="13"/>
    </row>
    <row r="1172">
      <c r="A1172" s="8">
        <v>43848.486550925925</v>
      </c>
      <c r="B1172" s="9" t="str">
        <f>HYPERLINK("https://twitter.com/PatientExpertUK","@PatientExpertUK")</f>
        <v>@PatientExpertUK</v>
      </c>
      <c r="C1172" s="10" t="s">
        <v>3284</v>
      </c>
      <c r="D1172" s="10" t="s">
        <v>5233</v>
      </c>
      <c r="E1172" s="9" t="str">
        <f>HYPERLINK("https://twitter.com/PatientExpertUK/status/1218573924096712704","1218573924096712704")</f>
        <v>1218573924096712704</v>
      </c>
      <c r="F1172" s="13"/>
      <c r="G1172" s="11" t="s">
        <v>5234</v>
      </c>
      <c r="H1172" s="13"/>
      <c r="I1172" s="14">
        <v>0.0</v>
      </c>
      <c r="J1172" s="14">
        <v>0.0</v>
      </c>
      <c r="K1172" s="9" t="str">
        <f>HYPERLINK("http://twitter.com/download/android","Twitter for Android")</f>
        <v>Twitter for Android</v>
      </c>
      <c r="L1172" s="15">
        <v>3836.0</v>
      </c>
      <c r="M1172" s="15">
        <v>4981.0</v>
      </c>
      <c r="N1172" s="15">
        <v>118.0</v>
      </c>
      <c r="O1172" s="16"/>
      <c r="P1172" s="17">
        <v>39844.55090277777</v>
      </c>
      <c r="Q1172" s="10" t="s">
        <v>3286</v>
      </c>
      <c r="R1172" s="10" t="s">
        <v>3287</v>
      </c>
      <c r="S1172" s="11" t="s">
        <v>3288</v>
      </c>
      <c r="T1172" s="13"/>
      <c r="U1172" s="18" t="str">
        <f>HYPERLINK("https://pbs.twimg.com/profile_images/905494510330884097/ld1VjElH.jpg","View")</f>
        <v>View</v>
      </c>
      <c r="V1172" s="13"/>
      <c r="W1172" s="13"/>
      <c r="X1172" s="13"/>
      <c r="Y1172" s="13"/>
      <c r="Z1172" s="13"/>
    </row>
    <row r="1173">
      <c r="A1173" s="8">
        <v>43848.48631944445</v>
      </c>
      <c r="B1173" s="9" t="str">
        <f>HYPERLINK("https://twitter.com/MoorparkKarate","@MoorparkKarate")</f>
        <v>@MoorparkKarate</v>
      </c>
      <c r="C1173" s="10" t="s">
        <v>5235</v>
      </c>
      <c r="D1173" s="10" t="s">
        <v>5236</v>
      </c>
      <c r="E1173" s="9" t="str">
        <f>HYPERLINK("https://twitter.com/MoorparkKarate/status/1218573841452036097","1218573841452036097")</f>
        <v>1218573841452036097</v>
      </c>
      <c r="F1173" s="10" t="s">
        <v>5237</v>
      </c>
      <c r="G1173" s="11" t="s">
        <v>5238</v>
      </c>
      <c r="H1173" s="13"/>
      <c r="I1173" s="14">
        <v>0.0</v>
      </c>
      <c r="J1173" s="14">
        <v>0.0</v>
      </c>
      <c r="K1173" s="9" t="str">
        <f>HYPERLINK("http://twitter.com/download/iphone","Twitter for iPhone")</f>
        <v>Twitter for iPhone</v>
      </c>
      <c r="L1173" s="15">
        <v>42.0</v>
      </c>
      <c r="M1173" s="15">
        <v>414.0</v>
      </c>
      <c r="N1173" s="15">
        <v>0.0</v>
      </c>
      <c r="O1173" s="16"/>
      <c r="P1173" s="17">
        <v>43720.1240162037</v>
      </c>
      <c r="Q1173" s="10" t="s">
        <v>5239</v>
      </c>
      <c r="R1173" s="10" t="s">
        <v>5240</v>
      </c>
      <c r="S1173" s="11" t="s">
        <v>5241</v>
      </c>
      <c r="T1173" s="13"/>
      <c r="U1173" s="18" t="str">
        <f>HYPERLINK("https://pbs.twimg.com/profile_images/1172042039136944128/dq4iWKWL.jpg","View")</f>
        <v>View</v>
      </c>
      <c r="V1173" s="13"/>
      <c r="W1173" s="13"/>
      <c r="X1173" s="13"/>
      <c r="Y1173" s="13"/>
      <c r="Z1173" s="13"/>
    </row>
    <row r="1174">
      <c r="A1174" s="8">
        <v>43848.486296296294</v>
      </c>
      <c r="B1174" s="9" t="str">
        <f>HYPERLINK("https://twitter.com/austnyan","@austnyan")</f>
        <v>@austnyan</v>
      </c>
      <c r="C1174" s="10" t="s">
        <v>5242</v>
      </c>
      <c r="D1174" s="10" t="s">
        <v>5243</v>
      </c>
      <c r="E1174" s="9" t="str">
        <f>HYPERLINK("https://twitter.com/austnyan/status/1218573835282386946","1218573835282386946")</f>
        <v>1218573835282386946</v>
      </c>
      <c r="F1174" s="11" t="s">
        <v>4094</v>
      </c>
      <c r="G1174" s="13"/>
      <c r="H1174" s="13"/>
      <c r="I1174" s="14">
        <v>0.0</v>
      </c>
      <c r="J1174" s="14">
        <v>0.0</v>
      </c>
      <c r="K1174" s="9" t="str">
        <f>HYPERLINK("http://twitter.com","Twitter Web Client")</f>
        <v>Twitter Web Client</v>
      </c>
      <c r="L1174" s="15">
        <v>326.0</v>
      </c>
      <c r="M1174" s="15">
        <v>457.0</v>
      </c>
      <c r="N1174" s="15">
        <v>5.0</v>
      </c>
      <c r="O1174" s="16"/>
      <c r="P1174" s="17">
        <v>41710.68880787037</v>
      </c>
      <c r="Q1174" s="10" t="s">
        <v>650</v>
      </c>
      <c r="R1174" s="10" t="s">
        <v>5244</v>
      </c>
      <c r="S1174" s="13"/>
      <c r="T1174" s="13"/>
      <c r="U1174" s="18" t="str">
        <f>HYPERLINK("https://pbs.twimg.com/profile_images/1080548339282857989/XegvHaew.jpg","View")</f>
        <v>View</v>
      </c>
      <c r="V1174" s="13"/>
      <c r="W1174" s="13"/>
      <c r="X1174" s="13"/>
      <c r="Y1174" s="13"/>
      <c r="Z1174" s="13"/>
    </row>
    <row r="1175">
      <c r="A1175" s="8">
        <v>43848.48621527778</v>
      </c>
      <c r="B1175" s="9" t="str">
        <f>HYPERLINK("https://twitter.com/tarottee","@tarottee")</f>
        <v>@tarottee</v>
      </c>
      <c r="C1175" s="10" t="s">
        <v>5245</v>
      </c>
      <c r="D1175" s="10" t="s">
        <v>5246</v>
      </c>
      <c r="E1175" s="9" t="str">
        <f>HYPERLINK("https://twitter.com/tarottee/status/1218573801937690624","1218573801937690624")</f>
        <v>1218573801937690624</v>
      </c>
      <c r="F1175" s="11" t="s">
        <v>5247</v>
      </c>
      <c r="G1175" s="11" t="s">
        <v>5248</v>
      </c>
      <c r="H1175" s="13"/>
      <c r="I1175" s="14">
        <v>0.0</v>
      </c>
      <c r="J1175" s="14">
        <v>0.0</v>
      </c>
      <c r="K1175" s="9" t="str">
        <f>HYPERLINK("http://app.sendblur.com","Social Media Publisher App ")</f>
        <v>Social Media Publisher App </v>
      </c>
      <c r="L1175" s="15">
        <v>848.0</v>
      </c>
      <c r="M1175" s="15">
        <v>821.0</v>
      </c>
      <c r="N1175" s="15">
        <v>100.0</v>
      </c>
      <c r="O1175" s="16"/>
      <c r="P1175" s="17">
        <v>40527.59400462963</v>
      </c>
      <c r="Q1175" s="10" t="s">
        <v>5249</v>
      </c>
      <c r="R1175" s="10" t="s">
        <v>5250</v>
      </c>
      <c r="S1175" s="11" t="s">
        <v>5251</v>
      </c>
      <c r="T1175" s="13"/>
      <c r="U1175" s="18" t="str">
        <f>HYPERLINK("https://pbs.twimg.com/profile_images/489452411694493696/ehlK3PJB.jpeg","View")</f>
        <v>View</v>
      </c>
      <c r="V1175" s="13"/>
      <c r="W1175" s="13"/>
      <c r="X1175" s="13"/>
      <c r="Y1175" s="13"/>
      <c r="Z1175" s="13"/>
    </row>
    <row r="1176">
      <c r="A1176" s="8">
        <v>43848.486192129625</v>
      </c>
      <c r="B1176" s="9" t="str">
        <f>HYPERLINK("https://twitter.com/DrKristie","@DrKristie")</f>
        <v>@DrKristie</v>
      </c>
      <c r="C1176" s="10" t="s">
        <v>5252</v>
      </c>
      <c r="D1176" s="10" t="s">
        <v>5253</v>
      </c>
      <c r="E1176" s="9" t="str">
        <f>HYPERLINK("https://twitter.com/DrKristie/status/1218573796459696128","1218573796459696128")</f>
        <v>1218573796459696128</v>
      </c>
      <c r="F1176" s="11" t="s">
        <v>5254</v>
      </c>
      <c r="G1176" s="11" t="s">
        <v>5255</v>
      </c>
      <c r="H1176" s="13"/>
      <c r="I1176" s="14">
        <v>0.0</v>
      </c>
      <c r="J1176" s="14">
        <v>0.0</v>
      </c>
      <c r="K1176" s="9" t="str">
        <f>HYPERLINK("https://dlvrit.com/","dlvr.it")</f>
        <v>dlvr.it</v>
      </c>
      <c r="L1176" s="15">
        <v>3769.0</v>
      </c>
      <c r="M1176" s="15">
        <v>649.0</v>
      </c>
      <c r="N1176" s="15">
        <v>128.0</v>
      </c>
      <c r="O1176" s="16"/>
      <c r="P1176" s="17">
        <v>39992.63415509259</v>
      </c>
      <c r="Q1176" s="10" t="s">
        <v>585</v>
      </c>
      <c r="R1176" s="10" t="s">
        <v>5256</v>
      </c>
      <c r="S1176" s="11" t="s">
        <v>5257</v>
      </c>
      <c r="T1176" s="13"/>
      <c r="U1176" s="18" t="str">
        <f>HYPERLINK("https://pbs.twimg.com/profile_images/1022690131717705728/IHKvHfsa.jpg","View")</f>
        <v>View</v>
      </c>
      <c r="V1176" s="13"/>
      <c r="W1176" s="13"/>
      <c r="X1176" s="13"/>
      <c r="Y1176" s="13"/>
      <c r="Z1176" s="13"/>
    </row>
    <row r="1177">
      <c r="A1177" s="8">
        <v>43848.486192129625</v>
      </c>
      <c r="B1177" s="9" t="str">
        <f>HYPERLINK("https://twitter.com/yorchrivers","@yorchrivers")</f>
        <v>@yorchrivers</v>
      </c>
      <c r="C1177" s="10" t="s">
        <v>5258</v>
      </c>
      <c r="D1177" s="10" t="s">
        <v>238</v>
      </c>
      <c r="E1177" s="9" t="str">
        <f>HYPERLINK("https://twitter.com/yorchrivers/status/1218573793830096896","1218573793830096896")</f>
        <v>1218573793830096896</v>
      </c>
      <c r="F1177" s="13"/>
      <c r="G1177" s="13"/>
      <c r="H1177" s="13"/>
      <c r="I1177" s="14">
        <v>0.0</v>
      </c>
      <c r="J1177" s="14">
        <v>0.0</v>
      </c>
      <c r="K1177" s="9" t="str">
        <f>HYPERLINK("http://twitter.com/download/android","Twitter for Android")</f>
        <v>Twitter for Android</v>
      </c>
      <c r="L1177" s="15">
        <v>147.0</v>
      </c>
      <c r="M1177" s="15">
        <v>58.0</v>
      </c>
      <c r="N1177" s="15">
        <v>0.0</v>
      </c>
      <c r="O1177" s="16"/>
      <c r="P1177" s="17">
        <v>41414.93510416667</v>
      </c>
      <c r="Q1177" s="13"/>
      <c r="R1177" s="10" t="s">
        <v>5259</v>
      </c>
      <c r="S1177" s="13"/>
      <c r="T1177" s="13"/>
      <c r="U1177" s="18" t="str">
        <f>HYPERLINK("https://pbs.twimg.com/profile_images/1155981576083083264/eY6cFQMU.jpg","View")</f>
        <v>View</v>
      </c>
      <c r="V1177" s="13"/>
      <c r="W1177" s="13"/>
      <c r="X1177" s="13"/>
      <c r="Y1177" s="13"/>
      <c r="Z1177" s="13"/>
    </row>
    <row r="1178">
      <c r="A1178" s="8">
        <v>43848.486168981486</v>
      </c>
      <c r="B1178" s="9" t="str">
        <f>HYPERLINK("https://twitter.com/djemal_ua","@djemal_ua")</f>
        <v>@djemal_ua</v>
      </c>
      <c r="C1178" s="10" t="s">
        <v>1161</v>
      </c>
      <c r="D1178" s="10" t="s">
        <v>5260</v>
      </c>
      <c r="E1178" s="9" t="str">
        <f>HYPERLINK("https://twitter.com/djemal_ua/status/1218573786775216129","1218573786775216129")</f>
        <v>1218573786775216129</v>
      </c>
      <c r="F1178" s="11" t="s">
        <v>5261</v>
      </c>
      <c r="G1178" s="13"/>
      <c r="H1178" s="13"/>
      <c r="I1178" s="14">
        <v>0.0</v>
      </c>
      <c r="J1178" s="14">
        <v>0.0</v>
      </c>
      <c r="K1178" s="9" t="str">
        <f>HYPERLINK("https://www.hootsuite.com","Hootsuite Inc.")</f>
        <v>Hootsuite Inc.</v>
      </c>
      <c r="L1178" s="15">
        <v>5127.0</v>
      </c>
      <c r="M1178" s="15">
        <v>4724.0</v>
      </c>
      <c r="N1178" s="15">
        <v>60.0</v>
      </c>
      <c r="O1178" s="16"/>
      <c r="P1178" s="17">
        <v>43530.25729166667</v>
      </c>
      <c r="Q1178" s="10" t="s">
        <v>95</v>
      </c>
      <c r="R1178" s="10" t="s">
        <v>1164</v>
      </c>
      <c r="S1178" s="11" t="s">
        <v>1165</v>
      </c>
      <c r="T1178" s="13"/>
      <c r="U1178" s="18" t="str">
        <f>HYPERLINK("https://pbs.twimg.com/profile_images/1202978381106761728/aqUhVSTO.jpg","View")</f>
        <v>View</v>
      </c>
      <c r="V1178" s="13"/>
      <c r="W1178" s="13"/>
      <c r="X1178" s="13"/>
      <c r="Y1178" s="13"/>
      <c r="Z1178" s="13"/>
    </row>
    <row r="1179">
      <c r="A1179" s="8">
        <v>43848.4861574074</v>
      </c>
      <c r="B1179" s="9" t="str">
        <f>HYPERLINK("https://twitter.com/emahlee13","@emahlee13")</f>
        <v>@emahlee13</v>
      </c>
      <c r="C1179" s="10" t="s">
        <v>3113</v>
      </c>
      <c r="D1179" s="10" t="s">
        <v>5262</v>
      </c>
      <c r="E1179" s="9" t="str">
        <f>HYPERLINK("https://twitter.com/emahlee13/status/1218573782387974146","1218573782387974146")</f>
        <v>1218573782387974146</v>
      </c>
      <c r="F1179" s="11" t="s">
        <v>5263</v>
      </c>
      <c r="G1179" s="11" t="s">
        <v>5264</v>
      </c>
      <c r="H1179" s="13"/>
      <c r="I1179" s="14">
        <v>1.0</v>
      </c>
      <c r="J1179" s="14">
        <v>0.0</v>
      </c>
      <c r="K1179" s="9" t="str">
        <f>HYPERLINK("https://buffer.com","Buffer")</f>
        <v>Buffer</v>
      </c>
      <c r="L1179" s="15">
        <v>1486.0</v>
      </c>
      <c r="M1179" s="15">
        <v>1279.0</v>
      </c>
      <c r="N1179" s="15">
        <v>28.0</v>
      </c>
      <c r="O1179" s="16"/>
      <c r="P1179" s="17">
        <v>41492.02380787037</v>
      </c>
      <c r="Q1179" s="10" t="s">
        <v>3116</v>
      </c>
      <c r="R1179" s="10" t="s">
        <v>3117</v>
      </c>
      <c r="S1179" s="11" t="s">
        <v>3118</v>
      </c>
      <c r="T1179" s="13"/>
      <c r="U1179" s="18" t="str">
        <f>HYPERLINK("https://pbs.twimg.com/profile_images/1214270492967702528/c_ScrDZJ.jpg","View")</f>
        <v>View</v>
      </c>
      <c r="V1179" s="13"/>
      <c r="W1179" s="13"/>
      <c r="X1179" s="13"/>
      <c r="Y1179" s="13"/>
      <c r="Z1179" s="13"/>
    </row>
    <row r="1180">
      <c r="A1180" s="8">
        <v>43848.48576388889</v>
      </c>
      <c r="B1180" s="9" t="str">
        <f>HYPERLINK("https://twitter.com/MilitaryNomad","@MilitaryNomad")</f>
        <v>@MilitaryNomad</v>
      </c>
      <c r="C1180" s="10" t="s">
        <v>5265</v>
      </c>
      <c r="D1180" s="10" t="s">
        <v>5266</v>
      </c>
      <c r="E1180" s="9" t="str">
        <f>HYPERLINK("https://twitter.com/MilitaryNomad/status/1218573639588515840","1218573639588515840")</f>
        <v>1218573639588515840</v>
      </c>
      <c r="F1180" s="13"/>
      <c r="G1180" s="13"/>
      <c r="H1180" s="13"/>
      <c r="I1180" s="14">
        <v>0.0</v>
      </c>
      <c r="J1180" s="14">
        <v>0.0</v>
      </c>
      <c r="K1180" s="9" t="str">
        <f>HYPERLINK("http://twitter.com/download/android","Twitter for Android")</f>
        <v>Twitter for Android</v>
      </c>
      <c r="L1180" s="15">
        <v>256.0</v>
      </c>
      <c r="M1180" s="15">
        <v>277.0</v>
      </c>
      <c r="N1180" s="15">
        <v>0.0</v>
      </c>
      <c r="O1180" s="16"/>
      <c r="P1180" s="17">
        <v>43005.96178240741</v>
      </c>
      <c r="Q1180" s="10" t="s">
        <v>24</v>
      </c>
      <c r="R1180" s="10" t="s">
        <v>5267</v>
      </c>
      <c r="S1180" s="13"/>
      <c r="T1180" s="13"/>
      <c r="U1180" s="18" t="str">
        <f>HYPERLINK("https://pbs.twimg.com/profile_images/1207844114743455747/mxI866Yr.jpg","View")</f>
        <v>View</v>
      </c>
      <c r="V1180" s="13"/>
      <c r="W1180" s="13"/>
      <c r="X1180" s="13"/>
      <c r="Y1180" s="13"/>
      <c r="Z1180" s="13"/>
    </row>
    <row r="1181">
      <c r="A1181" s="8">
        <v>43848.48370370371</v>
      </c>
      <c r="B1181" s="9" t="str">
        <f>HYPERLINK("https://twitter.com/SamaritansNYC","@SamaritansNYC")</f>
        <v>@SamaritansNYC</v>
      </c>
      <c r="C1181" s="10" t="s">
        <v>5268</v>
      </c>
      <c r="D1181" s="10" t="s">
        <v>5269</v>
      </c>
      <c r="E1181" s="9" t="str">
        <f>HYPERLINK("https://twitter.com/SamaritansNYC/status/1218572892683866113","1218572892683866113")</f>
        <v>1218572892683866113</v>
      </c>
      <c r="F1181" s="10" t="s">
        <v>5270</v>
      </c>
      <c r="G1181" s="13"/>
      <c r="H1181" s="13"/>
      <c r="I1181" s="14">
        <v>0.0</v>
      </c>
      <c r="J1181" s="14">
        <v>3.0</v>
      </c>
      <c r="K1181" s="9" t="str">
        <f t="shared" ref="K1181:K1186" si="138">HYPERLINK("http://twitter.com/download/iphone","Twitter for iPhone")</f>
        <v>Twitter for iPhone</v>
      </c>
      <c r="L1181" s="15">
        <v>1228.0</v>
      </c>
      <c r="M1181" s="15">
        <v>583.0</v>
      </c>
      <c r="N1181" s="15">
        <v>60.0</v>
      </c>
      <c r="O1181" s="21" t="s">
        <v>522</v>
      </c>
      <c r="P1181" s="17">
        <v>41308.48559027778</v>
      </c>
      <c r="Q1181" s="10" t="s">
        <v>266</v>
      </c>
      <c r="R1181" s="10" t="s">
        <v>5271</v>
      </c>
      <c r="S1181" s="11" t="s">
        <v>5272</v>
      </c>
      <c r="T1181" s="13"/>
      <c r="U1181" s="18" t="str">
        <f>HYPERLINK("https://pbs.twimg.com/profile_images/3253780408/20c60752f834277ec854fdbb2aac4322.jpeg","View")</f>
        <v>View</v>
      </c>
      <c r="V1181" s="13"/>
      <c r="W1181" s="13"/>
      <c r="X1181" s="13"/>
      <c r="Y1181" s="13"/>
      <c r="Z1181" s="13"/>
    </row>
    <row r="1182">
      <c r="A1182" s="8">
        <v>43848.483449074076</v>
      </c>
      <c r="B1182" s="9" t="str">
        <f>HYPERLINK("https://twitter.com/channy_bird","@channy_bird")</f>
        <v>@channy_bird</v>
      </c>
      <c r="C1182" s="10" t="s">
        <v>5273</v>
      </c>
      <c r="D1182" s="10" t="s">
        <v>5274</v>
      </c>
      <c r="E1182" s="9" t="str">
        <f>HYPERLINK("https://twitter.com/channy_bird/status/1218572802611122177","1218572802611122177")</f>
        <v>1218572802611122177</v>
      </c>
      <c r="F1182" s="10" t="s">
        <v>5275</v>
      </c>
      <c r="G1182" s="13"/>
      <c r="H1182" s="13"/>
      <c r="I1182" s="14">
        <v>1.0</v>
      </c>
      <c r="J1182" s="14">
        <v>0.0</v>
      </c>
      <c r="K1182" s="9" t="str">
        <f t="shared" si="138"/>
        <v>Twitter for iPhone</v>
      </c>
      <c r="L1182" s="15">
        <v>561.0</v>
      </c>
      <c r="M1182" s="15">
        <v>1485.0</v>
      </c>
      <c r="N1182" s="15">
        <v>3.0</v>
      </c>
      <c r="O1182" s="16"/>
      <c r="P1182" s="17">
        <v>39983.395902777775</v>
      </c>
      <c r="Q1182" s="10" t="s">
        <v>5276</v>
      </c>
      <c r="R1182" s="10" t="s">
        <v>5277</v>
      </c>
      <c r="S1182" s="11" t="s">
        <v>5278</v>
      </c>
      <c r="T1182" s="13"/>
      <c r="U1182" s="18" t="str">
        <f>HYPERLINK("https://pbs.twimg.com/profile_images/1204896112064241671/EFRTRaDN.jpg","View")</f>
        <v>View</v>
      </c>
      <c r="V1182" s="13"/>
      <c r="W1182" s="13"/>
      <c r="X1182" s="13"/>
      <c r="Y1182" s="13"/>
      <c r="Z1182" s="13"/>
    </row>
    <row r="1183">
      <c r="A1183" s="8">
        <v>43848.483252314814</v>
      </c>
      <c r="B1183" s="9" t="str">
        <f>HYPERLINK("https://twitter.com/JoiedevivDanni4","@JoiedevivDanni4")</f>
        <v>@JoiedevivDanni4</v>
      </c>
      <c r="C1183" s="10" t="s">
        <v>5279</v>
      </c>
      <c r="D1183" s="10" t="s">
        <v>5280</v>
      </c>
      <c r="E1183" s="9" t="str">
        <f>HYPERLINK("https://twitter.com/JoiedevivDanni4/status/1218572729240248321","1218572729240248321")</f>
        <v>1218572729240248321</v>
      </c>
      <c r="F1183" s="13"/>
      <c r="G1183" s="13"/>
      <c r="H1183" s="13"/>
      <c r="I1183" s="14">
        <v>0.0</v>
      </c>
      <c r="J1183" s="14">
        <v>5.0</v>
      </c>
      <c r="K1183" s="9" t="str">
        <f t="shared" si="138"/>
        <v>Twitter for iPhone</v>
      </c>
      <c r="L1183" s="15">
        <v>744.0</v>
      </c>
      <c r="M1183" s="15">
        <v>613.0</v>
      </c>
      <c r="N1183" s="15">
        <v>9.0</v>
      </c>
      <c r="O1183" s="16"/>
      <c r="P1183" s="17">
        <v>42082.75597222222</v>
      </c>
      <c r="Q1183" s="10" t="s">
        <v>5281</v>
      </c>
      <c r="R1183" s="10" t="s">
        <v>5282</v>
      </c>
      <c r="S1183" s="13"/>
      <c r="T1183" s="13"/>
      <c r="U1183" s="18" t="str">
        <f>HYPERLINK("https://pbs.twimg.com/profile_images/1215406268531146752/Wg_odEev.jpg","View")</f>
        <v>View</v>
      </c>
      <c r="V1183" s="13"/>
      <c r="W1183" s="13"/>
      <c r="X1183" s="13"/>
      <c r="Y1183" s="13"/>
      <c r="Z1183" s="13"/>
    </row>
    <row r="1184">
      <c r="A1184" s="8">
        <v>43848.48315972222</v>
      </c>
      <c r="B1184" s="9" t="str">
        <f>HYPERLINK("https://twitter.com/elinbjorling","@elinbjorling")</f>
        <v>@elinbjorling</v>
      </c>
      <c r="C1184" s="10" t="s">
        <v>5283</v>
      </c>
      <c r="D1184" s="10" t="s">
        <v>5284</v>
      </c>
      <c r="E1184" s="9" t="str">
        <f>HYPERLINK("https://twitter.com/elinbjorling/status/1218572696138571777","1218572696138571777")</f>
        <v>1218572696138571777</v>
      </c>
      <c r="F1184" s="13"/>
      <c r="G1184" s="11" t="s">
        <v>5285</v>
      </c>
      <c r="H1184" s="13"/>
      <c r="I1184" s="14">
        <v>0.0</v>
      </c>
      <c r="J1184" s="14">
        <v>6.0</v>
      </c>
      <c r="K1184" s="9" t="str">
        <f t="shared" si="138"/>
        <v>Twitter for iPhone</v>
      </c>
      <c r="L1184" s="15">
        <v>484.0</v>
      </c>
      <c r="M1184" s="15">
        <v>404.0</v>
      </c>
      <c r="N1184" s="15">
        <v>31.0</v>
      </c>
      <c r="O1184" s="16"/>
      <c r="P1184" s="17">
        <v>40642.99847222222</v>
      </c>
      <c r="Q1184" s="10" t="s">
        <v>5286</v>
      </c>
      <c r="R1184" s="10" t="s">
        <v>5287</v>
      </c>
      <c r="S1184" s="11" t="s">
        <v>5288</v>
      </c>
      <c r="T1184" s="13"/>
      <c r="U1184" s="18" t="str">
        <f>HYPERLINK("https://pbs.twimg.com/profile_images/1076708723169447936/hZn4ogD-.jpg","View")</f>
        <v>View</v>
      </c>
      <c r="V1184" s="13"/>
      <c r="W1184" s="13"/>
      <c r="X1184" s="13"/>
      <c r="Y1184" s="13"/>
      <c r="Z1184" s="13"/>
    </row>
    <row r="1185">
      <c r="A1185" s="8">
        <v>43848.482881944445</v>
      </c>
      <c r="B1185" s="9" t="str">
        <f>HYPERLINK("https://twitter.com/empowerhouseinc","@empowerhouseinc")</f>
        <v>@empowerhouseinc</v>
      </c>
      <c r="C1185" s="10" t="s">
        <v>5289</v>
      </c>
      <c r="D1185" s="10" t="s">
        <v>5290</v>
      </c>
      <c r="E1185" s="9" t="str">
        <f>HYPERLINK("https://twitter.com/empowerhouseinc/status/1218572597044174850","1218572597044174850")</f>
        <v>1218572597044174850</v>
      </c>
      <c r="F1185" s="11" t="s">
        <v>5291</v>
      </c>
      <c r="G1185" s="11" t="s">
        <v>5292</v>
      </c>
      <c r="H1185" s="13"/>
      <c r="I1185" s="14">
        <v>0.0</v>
      </c>
      <c r="J1185" s="14">
        <v>1.0</v>
      </c>
      <c r="K1185" s="9" t="str">
        <f t="shared" si="138"/>
        <v>Twitter for iPhone</v>
      </c>
      <c r="L1185" s="15">
        <v>72.0</v>
      </c>
      <c r="M1185" s="15">
        <v>240.0</v>
      </c>
      <c r="N1185" s="15">
        <v>0.0</v>
      </c>
      <c r="O1185" s="16"/>
      <c r="P1185" s="17">
        <v>42760.82953703703</v>
      </c>
      <c r="Q1185" s="13"/>
      <c r="R1185" s="10" t="s">
        <v>5293</v>
      </c>
      <c r="S1185" s="11" t="s">
        <v>5294</v>
      </c>
      <c r="T1185" s="13"/>
      <c r="U1185" s="18" t="str">
        <f>HYPERLINK("https://pbs.twimg.com/profile_images/824424732082597890/Wfg6SJfx.jpg","View")</f>
        <v>View</v>
      </c>
      <c r="V1185" s="13"/>
      <c r="W1185" s="13"/>
      <c r="X1185" s="13"/>
      <c r="Y1185" s="13"/>
      <c r="Z1185" s="13"/>
    </row>
    <row r="1186">
      <c r="A1186" s="8">
        <v>43848.48174768519</v>
      </c>
      <c r="B1186" s="9" t="str">
        <f>HYPERLINK("https://twitter.com/chronicluvclub","@chronicluvclub")</f>
        <v>@chronicluvclub</v>
      </c>
      <c r="C1186" s="10" t="s">
        <v>5295</v>
      </c>
      <c r="D1186" s="10" t="s">
        <v>5296</v>
      </c>
      <c r="E1186" s="9" t="str">
        <f>HYPERLINK("https://twitter.com/chronicluvclub/status/1218572185956225024","1218572185956225024")</f>
        <v>1218572185956225024</v>
      </c>
      <c r="F1186" s="13"/>
      <c r="G1186" s="11" t="s">
        <v>5297</v>
      </c>
      <c r="H1186" s="13"/>
      <c r="I1186" s="14">
        <v>0.0</v>
      </c>
      <c r="J1186" s="14">
        <v>0.0</v>
      </c>
      <c r="K1186" s="9" t="str">
        <f t="shared" si="138"/>
        <v>Twitter for iPhone</v>
      </c>
      <c r="L1186" s="15">
        <v>728.0</v>
      </c>
      <c r="M1186" s="15">
        <v>1443.0</v>
      </c>
      <c r="N1186" s="15">
        <v>1.0</v>
      </c>
      <c r="O1186" s="16"/>
      <c r="P1186" s="17">
        <v>43252.55012731481</v>
      </c>
      <c r="Q1186" s="10" t="s">
        <v>3371</v>
      </c>
      <c r="R1186" s="10" t="s">
        <v>5298</v>
      </c>
      <c r="S1186" s="11" t="s">
        <v>5299</v>
      </c>
      <c r="T1186" s="13"/>
      <c r="U1186" s="18" t="str">
        <f>HYPERLINK("https://pbs.twimg.com/profile_images/1212389812596031489/x43Cdbrj.jpg","View")</f>
        <v>View</v>
      </c>
      <c r="V1186" s="13"/>
      <c r="W1186" s="13"/>
      <c r="X1186" s="13"/>
      <c r="Y1186" s="13"/>
      <c r="Z1186" s="13"/>
    </row>
    <row r="1187">
      <c r="A1187" s="8">
        <v>43848.48125</v>
      </c>
      <c r="B1187" s="9" t="str">
        <f>HYPERLINK("https://twitter.com/SkypeTherapist","@SkypeTherapist")</f>
        <v>@SkypeTherapist</v>
      </c>
      <c r="C1187" s="10" t="s">
        <v>39</v>
      </c>
      <c r="D1187" s="10" t="s">
        <v>4569</v>
      </c>
      <c r="E1187" s="9" t="str">
        <f>HYPERLINK("https://twitter.com/SkypeTherapist/status/1218572006133768194","1218572006133768194")</f>
        <v>1218572006133768194</v>
      </c>
      <c r="F1187" s="11" t="s">
        <v>43</v>
      </c>
      <c r="G1187" s="13"/>
      <c r="H1187" s="13"/>
      <c r="I1187" s="14">
        <v>0.0</v>
      </c>
      <c r="J1187" s="14">
        <v>1.0</v>
      </c>
      <c r="K1187" s="9" t="str">
        <f>HYPERLINK("https://buffer.com","Buffer")</f>
        <v>Buffer</v>
      </c>
      <c r="L1187" s="15">
        <v>31074.0</v>
      </c>
      <c r="M1187" s="15">
        <v>29180.0</v>
      </c>
      <c r="N1187" s="15">
        <v>397.0</v>
      </c>
      <c r="O1187" s="16"/>
      <c r="P1187" s="17">
        <v>40131.457777777774</v>
      </c>
      <c r="Q1187" s="10" t="s">
        <v>46</v>
      </c>
      <c r="R1187" s="10" t="s">
        <v>47</v>
      </c>
      <c r="S1187" s="11" t="s">
        <v>43</v>
      </c>
      <c r="T1187" s="13"/>
      <c r="U1187" s="18" t="str">
        <f>HYPERLINK("https://pbs.twimg.com/profile_images/1093911234120798208/G4lphODU.jpg","View")</f>
        <v>View</v>
      </c>
      <c r="V1187" s="13"/>
      <c r="W1187" s="13"/>
      <c r="X1187" s="13"/>
      <c r="Y1187" s="13"/>
      <c r="Z1187" s="13"/>
    </row>
    <row r="1188">
      <c r="A1188" s="8">
        <v>43848.48060185185</v>
      </c>
      <c r="B1188" s="9" t="str">
        <f>HYPERLINK("https://twitter.com/StubagsyThe","@StubagsyThe")</f>
        <v>@StubagsyThe</v>
      </c>
      <c r="C1188" s="10" t="s">
        <v>3454</v>
      </c>
      <c r="D1188" s="10" t="s">
        <v>5300</v>
      </c>
      <c r="E1188" s="9" t="str">
        <f>HYPERLINK("https://twitter.com/StubagsyThe/status/1218571771307122688","1218571771307122688")</f>
        <v>1218571771307122688</v>
      </c>
      <c r="F1188" s="11" t="s">
        <v>5301</v>
      </c>
      <c r="G1188" s="13"/>
      <c r="H1188" s="13"/>
      <c r="I1188" s="14">
        <v>0.0</v>
      </c>
      <c r="J1188" s="14">
        <v>0.0</v>
      </c>
      <c r="K1188" s="9" t="str">
        <f>HYPERLINK("http://instagram.com","Instagram")</f>
        <v>Instagram</v>
      </c>
      <c r="L1188" s="15">
        <v>3915.0</v>
      </c>
      <c r="M1188" s="15">
        <v>3410.0</v>
      </c>
      <c r="N1188" s="15">
        <v>77.0</v>
      </c>
      <c r="O1188" s="16"/>
      <c r="P1188" s="17">
        <v>42446.40046296296</v>
      </c>
      <c r="Q1188" s="10" t="s">
        <v>446</v>
      </c>
      <c r="R1188" s="10" t="s">
        <v>3457</v>
      </c>
      <c r="S1188" s="11" t="s">
        <v>3458</v>
      </c>
      <c r="T1188" s="13"/>
      <c r="U1188" s="18" t="str">
        <f>HYPERLINK("https://pbs.twimg.com/profile_images/874908006240137217/AUsYW_Cm.jpg","View")</f>
        <v>View</v>
      </c>
      <c r="V1188" s="13"/>
      <c r="W1188" s="13"/>
      <c r="X1188" s="13"/>
      <c r="Y1188" s="13"/>
      <c r="Z1188" s="13"/>
    </row>
    <row r="1189">
      <c r="A1189" s="8">
        <v>43848.48028935185</v>
      </c>
      <c r="B1189" s="9" t="str">
        <f>HYPERLINK("https://twitter.com/UseToBeEmo","@UseToBeEmo")</f>
        <v>@UseToBeEmo</v>
      </c>
      <c r="C1189" s="10" t="s">
        <v>5302</v>
      </c>
      <c r="D1189" s="10" t="s">
        <v>5303</v>
      </c>
      <c r="E1189" s="9" t="str">
        <f>HYPERLINK("https://twitter.com/UseToBeEmo/status/1218571656987389952","1218571656987389952")</f>
        <v>1218571656987389952</v>
      </c>
      <c r="F1189" s="13"/>
      <c r="G1189" s="13"/>
      <c r="H1189" s="13"/>
      <c r="I1189" s="14">
        <v>0.0</v>
      </c>
      <c r="J1189" s="14">
        <v>0.0</v>
      </c>
      <c r="K1189" s="9" t="str">
        <f>HYPERLINK("http://twitter.com/download/android","Twitter for Android")</f>
        <v>Twitter for Android</v>
      </c>
      <c r="L1189" s="15">
        <v>2.0</v>
      </c>
      <c r="M1189" s="15">
        <v>0.0</v>
      </c>
      <c r="N1189" s="15">
        <v>0.0</v>
      </c>
      <c r="O1189" s="16"/>
      <c r="P1189" s="17">
        <v>43776.820856481485</v>
      </c>
      <c r="Q1189" s="13"/>
      <c r="R1189" s="10" t="s">
        <v>5304</v>
      </c>
      <c r="S1189" s="13"/>
      <c r="T1189" s="13"/>
      <c r="U1189" s="21" t="s">
        <v>292</v>
      </c>
      <c r="V1189" s="13"/>
      <c r="W1189" s="13"/>
      <c r="X1189" s="13"/>
      <c r="Y1189" s="13"/>
      <c r="Z1189" s="13"/>
    </row>
    <row r="1190">
      <c r="A1190" s="8">
        <v>43848.48005787037</v>
      </c>
      <c r="B1190" s="9" t="str">
        <f>HYPERLINK("https://twitter.com/canredcrossnl","@canredcrossnl")</f>
        <v>@canredcrossnl</v>
      </c>
      <c r="C1190" s="10" t="s">
        <v>5305</v>
      </c>
      <c r="D1190" s="10" t="s">
        <v>5306</v>
      </c>
      <c r="E1190" s="9" t="str">
        <f>HYPERLINK("https://twitter.com/canredcrossnl/status/1218571572979609606","1218571572979609606")</f>
        <v>1218571572979609606</v>
      </c>
      <c r="F1190" s="10" t="s">
        <v>5307</v>
      </c>
      <c r="G1190" s="11" t="s">
        <v>5308</v>
      </c>
      <c r="H1190" s="13"/>
      <c r="I1190" s="14">
        <v>0.0</v>
      </c>
      <c r="J1190" s="14">
        <v>0.0</v>
      </c>
      <c r="K1190" s="9" t="str">
        <f>HYPERLINK("http://twitter.com/#!/download/ipad","Twitter for iPad")</f>
        <v>Twitter for iPad</v>
      </c>
      <c r="L1190" s="15">
        <v>1864.0</v>
      </c>
      <c r="M1190" s="15">
        <v>2900.0</v>
      </c>
      <c r="N1190" s="15">
        <v>22.0</v>
      </c>
      <c r="O1190" s="16"/>
      <c r="P1190" s="17">
        <v>41743.406423611115</v>
      </c>
      <c r="Q1190" s="10" t="s">
        <v>5309</v>
      </c>
      <c r="R1190" s="10" t="s">
        <v>5310</v>
      </c>
      <c r="S1190" s="11" t="s">
        <v>5311</v>
      </c>
      <c r="T1190" s="13"/>
      <c r="U1190" s="18" t="str">
        <f>HYPERLINK("https://pbs.twimg.com/profile_images/455704577719816192/DE1aSRXF.png","View")</f>
        <v>View</v>
      </c>
      <c r="V1190" s="13"/>
      <c r="W1190" s="13"/>
      <c r="X1190" s="13"/>
      <c r="Y1190" s="13"/>
      <c r="Z1190" s="13"/>
    </row>
    <row r="1191">
      <c r="A1191" s="8">
        <v>43848.47986111111</v>
      </c>
      <c r="B1191" s="9" t="str">
        <f>HYPERLINK("https://twitter.com/EquinoxRTC","@EquinoxRTC")</f>
        <v>@EquinoxRTC</v>
      </c>
      <c r="C1191" s="10" t="s">
        <v>5312</v>
      </c>
      <c r="D1191" s="10" t="s">
        <v>5313</v>
      </c>
      <c r="E1191" s="9" t="str">
        <f>HYPERLINK("https://twitter.com/EquinoxRTC/status/1218571501768671232","1218571501768671232")</f>
        <v>1218571501768671232</v>
      </c>
      <c r="F1191" s="11" t="s">
        <v>5314</v>
      </c>
      <c r="G1191" s="13"/>
      <c r="H1191" s="13"/>
      <c r="I1191" s="14">
        <v>0.0</v>
      </c>
      <c r="J1191" s="14">
        <v>0.0</v>
      </c>
      <c r="K1191" s="9" t="str">
        <f>HYPERLINK("https://www.semrush.com/","SEMrush Social Media Tool")</f>
        <v>SEMrush Social Media Tool</v>
      </c>
      <c r="L1191" s="15">
        <v>61.0</v>
      </c>
      <c r="M1191" s="15">
        <v>47.0</v>
      </c>
      <c r="N1191" s="15">
        <v>0.0</v>
      </c>
      <c r="O1191" s="16"/>
      <c r="P1191" s="17">
        <v>43245.844814814816</v>
      </c>
      <c r="Q1191" s="10" t="s">
        <v>1507</v>
      </c>
      <c r="R1191" s="10" t="s">
        <v>5315</v>
      </c>
      <c r="S1191" s="11" t="s">
        <v>5316</v>
      </c>
      <c r="T1191" s="13"/>
      <c r="U1191" s="18" t="str">
        <f>HYPERLINK("https://pbs.twimg.com/profile_images/1006995610174537728/emRG_iYn.jpg","View")</f>
        <v>View</v>
      </c>
      <c r="V1191" s="13"/>
      <c r="W1191" s="13"/>
      <c r="X1191" s="13"/>
      <c r="Y1191" s="13"/>
      <c r="Z1191" s="13"/>
    </row>
    <row r="1192">
      <c r="A1192" s="8">
        <v>43848.479351851856</v>
      </c>
      <c r="B1192" s="9" t="str">
        <f>HYPERLINK("https://twitter.com/JaneCareerCoach","@JaneCareerCoach")</f>
        <v>@JaneCareerCoach</v>
      </c>
      <c r="C1192" s="10" t="s">
        <v>5317</v>
      </c>
      <c r="D1192" s="10" t="s">
        <v>5318</v>
      </c>
      <c r="E1192" s="9" t="str">
        <f>HYPERLINK("https://twitter.com/JaneCareerCoach/status/1218571316741201922","1218571316741201922")</f>
        <v>1218571316741201922</v>
      </c>
      <c r="F1192" s="11" t="s">
        <v>5319</v>
      </c>
      <c r="G1192" s="11" t="s">
        <v>5320</v>
      </c>
      <c r="H1192" s="13"/>
      <c r="I1192" s="14">
        <v>0.0</v>
      </c>
      <c r="J1192" s="14">
        <v>0.0</v>
      </c>
      <c r="K1192" s="9" t="str">
        <f>HYPERLINK("https://www.socialjukebox.com","The Social Jukebox")</f>
        <v>The Social Jukebox</v>
      </c>
      <c r="L1192" s="15">
        <v>3789.0</v>
      </c>
      <c r="M1192" s="15">
        <v>2181.0</v>
      </c>
      <c r="N1192" s="15">
        <v>902.0</v>
      </c>
      <c r="O1192" s="16"/>
      <c r="P1192" s="17">
        <v>39905.72480324074</v>
      </c>
      <c r="Q1192" s="10" t="s">
        <v>5321</v>
      </c>
      <c r="R1192" s="10" t="s">
        <v>5322</v>
      </c>
      <c r="S1192" s="11" t="s">
        <v>5323</v>
      </c>
      <c r="T1192" s="13"/>
      <c r="U1192" s="18" t="str">
        <f>HYPERLINK("https://pbs.twimg.com/profile_images/1012982308423401472/bQODuX3d.jpg","View")</f>
        <v>View</v>
      </c>
      <c r="V1192" s="13"/>
      <c r="W1192" s="13"/>
      <c r="X1192" s="13"/>
      <c r="Y1192" s="13"/>
      <c r="Z1192" s="13"/>
    </row>
    <row r="1193">
      <c r="A1193" s="8">
        <v>43848.47922453703</v>
      </c>
      <c r="B1193" s="9" t="str">
        <f>HYPERLINK("https://twitter.com/HealthyPlace","@HealthyPlace")</f>
        <v>@HealthyPlace</v>
      </c>
      <c r="C1193" s="10" t="s">
        <v>1457</v>
      </c>
      <c r="D1193" s="10" t="s">
        <v>5324</v>
      </c>
      <c r="E1193" s="9" t="str">
        <f>HYPERLINK("https://twitter.com/HealthyPlace/status/1218571270125649920","1218571270125649920")</f>
        <v>1218571270125649920</v>
      </c>
      <c r="F1193" s="11" t="s">
        <v>5325</v>
      </c>
      <c r="G1193" s="11" t="s">
        <v>5326</v>
      </c>
      <c r="H1193" s="13"/>
      <c r="I1193" s="14">
        <v>0.0</v>
      </c>
      <c r="J1193" s="14">
        <v>0.0</v>
      </c>
      <c r="K1193" s="9" t="str">
        <f>HYPERLINK("https://sproutsocial.com","Sprout Social")</f>
        <v>Sprout Social</v>
      </c>
      <c r="L1193" s="15">
        <v>64943.0</v>
      </c>
      <c r="M1193" s="15">
        <v>25049.0</v>
      </c>
      <c r="N1193" s="15">
        <v>1710.0</v>
      </c>
      <c r="O1193" s="16"/>
      <c r="P1193" s="17">
        <v>39681.03928240741</v>
      </c>
      <c r="Q1193" s="10" t="s">
        <v>1460</v>
      </c>
      <c r="R1193" s="10" t="s">
        <v>1461</v>
      </c>
      <c r="S1193" s="11" t="s">
        <v>1462</v>
      </c>
      <c r="T1193" s="13"/>
      <c r="U1193" s="18" t="str">
        <f>HYPERLINK("https://pbs.twimg.com/profile_images/753613454083252225/i5pr2xny.jpg","View")</f>
        <v>View</v>
      </c>
      <c r="V1193" s="13"/>
      <c r="W1193" s="13"/>
      <c r="X1193" s="13"/>
      <c r="Y1193" s="13"/>
      <c r="Z1193" s="13"/>
    </row>
    <row r="1194">
      <c r="A1194" s="8">
        <v>43848.47913194445</v>
      </c>
      <c r="B1194" s="9" t="str">
        <f>HYPERLINK("https://twitter.com/damagedbuthere","@damagedbuthere")</f>
        <v>@damagedbuthere</v>
      </c>
      <c r="C1194" s="10" t="s">
        <v>5327</v>
      </c>
      <c r="D1194" s="10" t="s">
        <v>5328</v>
      </c>
      <c r="E1194" s="9" t="str">
        <f>HYPERLINK("https://twitter.com/damagedbuthere/status/1218571237145923585","1218571237145923585")</f>
        <v>1218571237145923585</v>
      </c>
      <c r="F1194" s="13"/>
      <c r="G1194" s="13"/>
      <c r="H1194" s="13"/>
      <c r="I1194" s="14">
        <v>0.0</v>
      </c>
      <c r="J1194" s="14">
        <v>0.0</v>
      </c>
      <c r="K1194" s="9" t="str">
        <f t="shared" ref="K1194:K1198" si="139">HYPERLINK("http://twitter.com/download/iphone","Twitter for iPhone")</f>
        <v>Twitter for iPhone</v>
      </c>
      <c r="L1194" s="15">
        <v>293.0</v>
      </c>
      <c r="M1194" s="15">
        <v>211.0</v>
      </c>
      <c r="N1194" s="15">
        <v>0.0</v>
      </c>
      <c r="O1194" s="16"/>
      <c r="P1194" s="17">
        <v>43436.65217592593</v>
      </c>
      <c r="Q1194" s="13"/>
      <c r="R1194" s="10" t="s">
        <v>5329</v>
      </c>
      <c r="S1194" s="11" t="s">
        <v>5330</v>
      </c>
      <c r="T1194" s="13"/>
      <c r="U1194" s="18" t="str">
        <f>HYPERLINK("https://pbs.twimg.com/profile_images/1161026866406252544/IVLdSjjz.png","View")</f>
        <v>View</v>
      </c>
      <c r="V1194" s="13"/>
      <c r="W1194" s="13"/>
      <c r="X1194" s="13"/>
      <c r="Y1194" s="13"/>
      <c r="Z1194" s="13"/>
    </row>
    <row r="1195">
      <c r="A1195" s="8">
        <v>43848.47895833333</v>
      </c>
      <c r="B1195" s="9" t="str">
        <f>HYPERLINK("https://twitter.com/AliBeckZeck","@AliBeckZeck")</f>
        <v>@AliBeckZeck</v>
      </c>
      <c r="C1195" s="10" t="s">
        <v>5331</v>
      </c>
      <c r="D1195" s="10" t="s">
        <v>5332</v>
      </c>
      <c r="E1195" s="9" t="str">
        <f>HYPERLINK("https://twitter.com/AliBeckZeck/status/1218571172469772290","1218571172469772290")</f>
        <v>1218571172469772290</v>
      </c>
      <c r="F1195" s="13"/>
      <c r="G1195" s="13"/>
      <c r="H1195" s="13"/>
      <c r="I1195" s="14">
        <v>8.0</v>
      </c>
      <c r="J1195" s="14">
        <v>15.0</v>
      </c>
      <c r="K1195" s="9" t="str">
        <f t="shared" si="139"/>
        <v>Twitter for iPhone</v>
      </c>
      <c r="L1195" s="15">
        <v>1270.0</v>
      </c>
      <c r="M1195" s="15">
        <v>1300.0</v>
      </c>
      <c r="N1195" s="15">
        <v>10.0</v>
      </c>
      <c r="O1195" s="16"/>
      <c r="P1195" s="17">
        <v>40979.27784722222</v>
      </c>
      <c r="Q1195" s="13"/>
      <c r="R1195" s="10" t="s">
        <v>5333</v>
      </c>
      <c r="S1195" s="13"/>
      <c r="T1195" s="13"/>
      <c r="U1195" s="18" t="str">
        <f>HYPERLINK("https://pbs.twimg.com/profile_images/2386639066/xfr4xqhhbciqdsvlr7nx.png","View")</f>
        <v>View</v>
      </c>
      <c r="V1195" s="13"/>
      <c r="W1195" s="13"/>
      <c r="X1195" s="13"/>
      <c r="Y1195" s="13"/>
      <c r="Z1195" s="13"/>
    </row>
    <row r="1196">
      <c r="A1196" s="8">
        <v>43848.47883101852</v>
      </c>
      <c r="B1196" s="9" t="str">
        <f>HYPERLINK("https://twitter.com/battlingDepres1","@battlingDepres1")</f>
        <v>@battlingDepres1</v>
      </c>
      <c r="C1196" s="10" t="s">
        <v>5334</v>
      </c>
      <c r="D1196" s="10" t="s">
        <v>5335</v>
      </c>
      <c r="E1196" s="9" t="str">
        <f>HYPERLINK("https://twitter.com/battlingDepres1/status/1218571129234677760","1218571129234677760")</f>
        <v>1218571129234677760</v>
      </c>
      <c r="F1196" s="13"/>
      <c r="G1196" s="13"/>
      <c r="H1196" s="13"/>
      <c r="I1196" s="14">
        <v>0.0</v>
      </c>
      <c r="J1196" s="14">
        <v>1.0</v>
      </c>
      <c r="K1196" s="9" t="str">
        <f t="shared" si="139"/>
        <v>Twitter for iPhone</v>
      </c>
      <c r="L1196" s="15">
        <v>209.0</v>
      </c>
      <c r="M1196" s="15">
        <v>121.0</v>
      </c>
      <c r="N1196" s="15">
        <v>2.0</v>
      </c>
      <c r="O1196" s="16"/>
      <c r="P1196" s="17">
        <v>43373.53795138889</v>
      </c>
      <c r="Q1196" s="10" t="s">
        <v>5336</v>
      </c>
      <c r="R1196" s="10" t="s">
        <v>5337</v>
      </c>
      <c r="S1196" s="13"/>
      <c r="T1196" s="13"/>
      <c r="U1196" s="18" t="str">
        <f>HYPERLINK("https://pbs.twimg.com/profile_images/1184848661190070272/8Kr8Fqxj.jpg","View")</f>
        <v>View</v>
      </c>
      <c r="V1196" s="13"/>
      <c r="W1196" s="13"/>
      <c r="X1196" s="13"/>
      <c r="Y1196" s="13"/>
      <c r="Z1196" s="13"/>
    </row>
    <row r="1197">
      <c r="A1197" s="8">
        <v>43848.47783564815</v>
      </c>
      <c r="B1197" s="9" t="str">
        <f>HYPERLINK("https://twitter.com/KatherineDines","@KatherineDines")</f>
        <v>@KatherineDines</v>
      </c>
      <c r="C1197" s="10" t="s">
        <v>5338</v>
      </c>
      <c r="D1197" s="10" t="s">
        <v>5339</v>
      </c>
      <c r="E1197" s="9" t="str">
        <f>HYPERLINK("https://twitter.com/KatherineDines/status/1218570767027310600","1218570767027310600")</f>
        <v>1218570767027310600</v>
      </c>
      <c r="F1197" s="13"/>
      <c r="G1197" s="11" t="s">
        <v>5340</v>
      </c>
      <c r="H1197" s="13"/>
      <c r="I1197" s="14">
        <v>4.0</v>
      </c>
      <c r="J1197" s="14">
        <v>10.0</v>
      </c>
      <c r="K1197" s="9" t="str">
        <f t="shared" si="139"/>
        <v>Twitter for iPhone</v>
      </c>
      <c r="L1197" s="15">
        <v>9996.0</v>
      </c>
      <c r="M1197" s="15">
        <v>5968.0</v>
      </c>
      <c r="N1197" s="15">
        <v>241.0</v>
      </c>
      <c r="O1197" s="16"/>
      <c r="P1197" s="17">
        <v>39953.87883101852</v>
      </c>
      <c r="Q1197" s="10" t="s">
        <v>5341</v>
      </c>
      <c r="R1197" s="10" t="s">
        <v>5342</v>
      </c>
      <c r="S1197" s="11" t="s">
        <v>5343</v>
      </c>
      <c r="T1197" s="13"/>
      <c r="U1197" s="18" t="str">
        <f>HYPERLINK("https://pbs.twimg.com/profile_images/1162808533496344577/3wC7lVtn.jpg","View")</f>
        <v>View</v>
      </c>
      <c r="V1197" s="13"/>
      <c r="W1197" s="13"/>
      <c r="X1197" s="13"/>
      <c r="Y1197" s="13"/>
      <c r="Z1197" s="13"/>
    </row>
    <row r="1198">
      <c r="A1198" s="8">
        <v>43848.47782407407</v>
      </c>
      <c r="B1198" s="9" t="str">
        <f>HYPERLINK("https://twitter.com/kates2091","@kates2091")</f>
        <v>@kates2091</v>
      </c>
      <c r="C1198" s="10" t="s">
        <v>5344</v>
      </c>
      <c r="D1198" s="10" t="s">
        <v>5345</v>
      </c>
      <c r="E1198" s="9" t="str">
        <f>HYPERLINK("https://twitter.com/kates2091/status/1218570762292023296","1218570762292023296")</f>
        <v>1218570762292023296</v>
      </c>
      <c r="F1198" s="13"/>
      <c r="G1198" s="11" t="s">
        <v>5346</v>
      </c>
      <c r="H1198" s="13"/>
      <c r="I1198" s="14">
        <v>0.0</v>
      </c>
      <c r="J1198" s="14">
        <v>0.0</v>
      </c>
      <c r="K1198" s="9" t="str">
        <f t="shared" si="139"/>
        <v>Twitter for iPhone</v>
      </c>
      <c r="L1198" s="15">
        <v>1766.0</v>
      </c>
      <c r="M1198" s="15">
        <v>1933.0</v>
      </c>
      <c r="N1198" s="15">
        <v>58.0</v>
      </c>
      <c r="O1198" s="16"/>
      <c r="P1198" s="17">
        <v>40431.330717592595</v>
      </c>
      <c r="Q1198" s="10" t="s">
        <v>5347</v>
      </c>
      <c r="R1198" s="10" t="s">
        <v>5348</v>
      </c>
      <c r="S1198" s="11" t="s">
        <v>5349</v>
      </c>
      <c r="T1198" s="13"/>
      <c r="U1198" s="18" t="str">
        <f>HYPERLINK("https://pbs.twimg.com/profile_images/723621554001682433/8MLl2CXC.jpg","View")</f>
        <v>View</v>
      </c>
      <c r="V1198" s="13"/>
      <c r="W1198" s="13"/>
      <c r="X1198" s="13"/>
      <c r="Y1198" s="13"/>
      <c r="Z1198" s="13"/>
    </row>
    <row r="1199">
      <c r="A1199" s="8">
        <v>43848.4775462963</v>
      </c>
      <c r="B1199" s="9" t="str">
        <f>HYPERLINK("https://twitter.com/CarrieHOlerich","@CarrieHOlerich")</f>
        <v>@CarrieHOlerich</v>
      </c>
      <c r="C1199" s="10" t="s">
        <v>5350</v>
      </c>
      <c r="D1199" s="10" t="s">
        <v>5351</v>
      </c>
      <c r="E1199" s="9" t="str">
        <f>HYPERLINK("https://twitter.com/CarrieHOlerich/status/1218570662798860295","1218570662798860295")</f>
        <v>1218570662798860295</v>
      </c>
      <c r="F1199" s="13"/>
      <c r="G1199" s="13"/>
      <c r="H1199" s="13"/>
      <c r="I1199" s="14">
        <v>0.0</v>
      </c>
      <c r="J1199" s="14">
        <v>0.0</v>
      </c>
      <c r="K1199" s="9" t="str">
        <f t="shared" ref="K1199:K1200" si="140">HYPERLINK("http://twitter.com/download/android","Twitter for Android")</f>
        <v>Twitter for Android</v>
      </c>
      <c r="L1199" s="15">
        <v>1874.0</v>
      </c>
      <c r="M1199" s="15">
        <v>2387.0</v>
      </c>
      <c r="N1199" s="15">
        <v>21.0</v>
      </c>
      <c r="O1199" s="16"/>
      <c r="P1199" s="17">
        <v>40943.561793981484</v>
      </c>
      <c r="Q1199" s="10" t="s">
        <v>5352</v>
      </c>
      <c r="R1199" s="10" t="s">
        <v>5353</v>
      </c>
      <c r="S1199" s="13"/>
      <c r="T1199" s="13"/>
      <c r="U1199" s="18" t="str">
        <f>HYPERLINK("https://pbs.twimg.com/profile_images/1099443204666130432/OmC9fmkI.jpg","View")</f>
        <v>View</v>
      </c>
      <c r="V1199" s="13"/>
      <c r="W1199" s="13"/>
      <c r="X1199" s="13"/>
      <c r="Y1199" s="13"/>
      <c r="Z1199" s="13"/>
    </row>
    <row r="1200">
      <c r="A1200" s="8">
        <v>43848.477384259255</v>
      </c>
      <c r="B1200" s="9" t="str">
        <f>HYPERLINK("https://twitter.com/olubunmijegs","@olubunmijegs")</f>
        <v>@olubunmijegs</v>
      </c>
      <c r="C1200" s="10" t="s">
        <v>5354</v>
      </c>
      <c r="D1200" s="10" t="s">
        <v>5355</v>
      </c>
      <c r="E1200" s="9" t="str">
        <f>HYPERLINK("https://twitter.com/olubunmijegs/status/1218570602258272257","1218570602258272257")</f>
        <v>1218570602258272257</v>
      </c>
      <c r="F1200" s="13"/>
      <c r="G1200" s="13"/>
      <c r="H1200" s="13"/>
      <c r="I1200" s="14">
        <v>0.0</v>
      </c>
      <c r="J1200" s="14">
        <v>0.0</v>
      </c>
      <c r="K1200" s="9" t="str">
        <f t="shared" si="140"/>
        <v>Twitter for Android</v>
      </c>
      <c r="L1200" s="15">
        <v>762.0</v>
      </c>
      <c r="M1200" s="15">
        <v>2488.0</v>
      </c>
      <c r="N1200" s="15">
        <v>0.0</v>
      </c>
      <c r="O1200" s="16"/>
      <c r="P1200" s="17">
        <v>41493.11640046296</v>
      </c>
      <c r="Q1200" s="10" t="s">
        <v>5356</v>
      </c>
      <c r="R1200" s="10" t="s">
        <v>5357</v>
      </c>
      <c r="S1200" s="13"/>
      <c r="T1200" s="13"/>
      <c r="U1200" s="18" t="str">
        <f>HYPERLINK("https://pbs.twimg.com/profile_images/1211242612549652481/NYMMNK7h.jpg","View")</f>
        <v>View</v>
      </c>
      <c r="V1200" s="13"/>
      <c r="W1200" s="13"/>
      <c r="X1200" s="13"/>
      <c r="Y1200" s="13"/>
      <c r="Z1200" s="13"/>
    </row>
    <row r="1201">
      <c r="A1201" s="8">
        <v>43848.47677083334</v>
      </c>
      <c r="B1201" s="9" t="str">
        <f>HYPERLINK("https://twitter.com/toddwoo90842068","@toddwoo90842068")</f>
        <v>@toddwoo90842068</v>
      </c>
      <c r="C1201" s="10" t="s">
        <v>5358</v>
      </c>
      <c r="D1201" s="10" t="s">
        <v>5359</v>
      </c>
      <c r="E1201" s="9" t="str">
        <f>HYPERLINK("https://twitter.com/toddwoo90842068/status/1218570379238813697","1218570379238813697")</f>
        <v>1218570379238813697</v>
      </c>
      <c r="F1201" s="13"/>
      <c r="G1201" s="13"/>
      <c r="H1201" s="13"/>
      <c r="I1201" s="14">
        <v>0.0</v>
      </c>
      <c r="J1201" s="14">
        <v>2.0</v>
      </c>
      <c r="K1201" s="9" t="str">
        <f>HYPERLINK("http://twitter.com/download/iphone","Twitter for iPhone")</f>
        <v>Twitter for iPhone</v>
      </c>
      <c r="L1201" s="15">
        <v>46.0</v>
      </c>
      <c r="M1201" s="15">
        <v>113.0</v>
      </c>
      <c r="N1201" s="15">
        <v>0.0</v>
      </c>
      <c r="O1201" s="16"/>
      <c r="P1201" s="17">
        <v>43509.352754629625</v>
      </c>
      <c r="Q1201" s="10" t="s">
        <v>161</v>
      </c>
      <c r="R1201" s="13"/>
      <c r="S1201" s="13"/>
      <c r="T1201" s="13"/>
      <c r="U1201" s="18" t="str">
        <f>HYPERLINK("https://pbs.twimg.com/profile_images/1095682650973585409/SYwxEmkL.jpg","View")</f>
        <v>View</v>
      </c>
      <c r="V1201" s="13"/>
      <c r="W1201" s="13"/>
      <c r="X1201" s="13"/>
      <c r="Y1201" s="13"/>
      <c r="Z1201" s="13"/>
    </row>
    <row r="1202">
      <c r="A1202" s="8">
        <v>43848.47653935185</v>
      </c>
      <c r="B1202" s="9" t="str">
        <f>HYPERLINK("https://twitter.com/aurblog","@aurblog")</f>
        <v>@aurblog</v>
      </c>
      <c r="C1202" s="10" t="s">
        <v>5360</v>
      </c>
      <c r="D1202" s="10" t="s">
        <v>5361</v>
      </c>
      <c r="E1202" s="9" t="str">
        <f>HYPERLINK("https://twitter.com/aurblog/status/1218570299173634049","1218570299173634049")</f>
        <v>1218570299173634049</v>
      </c>
      <c r="F1202" s="11" t="s">
        <v>5362</v>
      </c>
      <c r="G1202" s="13"/>
      <c r="H1202" s="13"/>
      <c r="I1202" s="14">
        <v>2.0</v>
      </c>
      <c r="J1202" s="14">
        <v>2.0</v>
      </c>
      <c r="K1202" s="9" t="str">
        <f>HYPERLINK("http://twitter.com/download/android","Twitter for Android")</f>
        <v>Twitter for Android</v>
      </c>
      <c r="L1202" s="15">
        <v>25.0</v>
      </c>
      <c r="M1202" s="15">
        <v>54.0</v>
      </c>
      <c r="N1202" s="15">
        <v>0.0</v>
      </c>
      <c r="O1202" s="16"/>
      <c r="P1202" s="17">
        <v>43600.4278125</v>
      </c>
      <c r="Q1202" s="13"/>
      <c r="R1202" s="10" t="s">
        <v>5363</v>
      </c>
      <c r="S1202" s="11" t="s">
        <v>5364</v>
      </c>
      <c r="T1202" s="13"/>
      <c r="U1202" s="18" t="str">
        <f>HYPERLINK("https://pbs.twimg.com/profile_images/1179706078080225280/LRis7idl.jpg","View")</f>
        <v>View</v>
      </c>
      <c r="V1202" s="13"/>
      <c r="W1202" s="13"/>
      <c r="X1202" s="13"/>
      <c r="Y1202" s="13"/>
      <c r="Z1202" s="13"/>
    </row>
    <row r="1203">
      <c r="A1203" s="8">
        <v>43848.47583333333</v>
      </c>
      <c r="B1203" s="9" t="str">
        <f>HYPERLINK("https://twitter.com/AlbertStienstra","@AlbertStienstra")</f>
        <v>@AlbertStienstra</v>
      </c>
      <c r="C1203" s="10" t="s">
        <v>5365</v>
      </c>
      <c r="D1203" s="10" t="s">
        <v>238</v>
      </c>
      <c r="E1203" s="9" t="str">
        <f>HYPERLINK("https://twitter.com/AlbertStienstra/status/1218570040150253569","1218570040150253569")</f>
        <v>1218570040150253569</v>
      </c>
      <c r="F1203" s="13"/>
      <c r="G1203" s="13"/>
      <c r="H1203" s="13"/>
      <c r="I1203" s="14">
        <v>0.0</v>
      </c>
      <c r="J1203" s="14">
        <v>1.0</v>
      </c>
      <c r="K1203" s="9" t="str">
        <f>HYPERLINK("https://mobile.twitter.com","Twitter Web App")</f>
        <v>Twitter Web App</v>
      </c>
      <c r="L1203" s="15">
        <v>2045.0</v>
      </c>
      <c r="M1203" s="15">
        <v>572.0</v>
      </c>
      <c r="N1203" s="15">
        <v>35.0</v>
      </c>
      <c r="O1203" s="16"/>
      <c r="P1203" s="17">
        <v>40954.156863425924</v>
      </c>
      <c r="Q1203" s="10" t="s">
        <v>5366</v>
      </c>
      <c r="R1203" s="10" t="s">
        <v>5367</v>
      </c>
      <c r="S1203" s="13"/>
      <c r="T1203" s="13"/>
      <c r="U1203" s="18" t="str">
        <f>HYPERLINK("https://pbs.twimg.com/profile_images/1828678425/z-PICT0081fb.jpg","View")</f>
        <v>View</v>
      </c>
      <c r="V1203" s="13"/>
      <c r="W1203" s="13"/>
      <c r="X1203" s="13"/>
      <c r="Y1203" s="13"/>
      <c r="Z1203" s="13"/>
    </row>
    <row r="1204">
      <c r="A1204" s="8">
        <v>43848.475810185184</v>
      </c>
      <c r="B1204" s="9" t="str">
        <f>HYPERLINK("https://twitter.com/jpafhc","@jpafhc")</f>
        <v>@jpafhc</v>
      </c>
      <c r="C1204" s="10" t="s">
        <v>5368</v>
      </c>
      <c r="D1204" s="10" t="s">
        <v>5369</v>
      </c>
      <c r="E1204" s="9" t="str">
        <f>HYPERLINK("https://twitter.com/jpafhc/status/1218570032369803266","1218570032369803266")</f>
        <v>1218570032369803266</v>
      </c>
      <c r="F1204" s="11" t="s">
        <v>5370</v>
      </c>
      <c r="G1204" s="11" t="s">
        <v>5371</v>
      </c>
      <c r="H1204" s="13"/>
      <c r="I1204" s="14">
        <v>0.0</v>
      </c>
      <c r="J1204" s="14">
        <v>0.0</v>
      </c>
      <c r="K1204" s="9" t="str">
        <f>HYPERLINK("https://www.hootsuite.com","Hootsuite Inc.")</f>
        <v>Hootsuite Inc.</v>
      </c>
      <c r="L1204" s="15">
        <v>21.0</v>
      </c>
      <c r="M1204" s="15">
        <v>11.0</v>
      </c>
      <c r="N1204" s="15">
        <v>1.0</v>
      </c>
      <c r="O1204" s="16"/>
      <c r="P1204" s="17">
        <v>42467.64606481481</v>
      </c>
      <c r="Q1204" s="10" t="s">
        <v>266</v>
      </c>
      <c r="R1204" s="10" t="s">
        <v>5372</v>
      </c>
      <c r="S1204" s="11" t="s">
        <v>5373</v>
      </c>
      <c r="T1204" s="13"/>
      <c r="U1204" s="18" t="str">
        <f>HYPERLINK("https://pbs.twimg.com/profile_images/1082388519937466368/Foa0EDQ3.jpg","View")</f>
        <v>View</v>
      </c>
      <c r="V1204" s="13"/>
      <c r="W1204" s="13"/>
      <c r="X1204" s="13"/>
      <c r="Y1204" s="13"/>
      <c r="Z1204" s="13"/>
    </row>
    <row r="1205">
      <c r="A1205" s="8">
        <v>43848.475752314815</v>
      </c>
      <c r="B1205" s="9" t="str">
        <f>HYPERLINK("https://twitter.com/grouptherapy33","@grouptherapy33")</f>
        <v>@grouptherapy33</v>
      </c>
      <c r="C1205" s="10" t="s">
        <v>831</v>
      </c>
      <c r="D1205" s="10" t="s">
        <v>5374</v>
      </c>
      <c r="E1205" s="9" t="str">
        <f>HYPERLINK("https://twitter.com/grouptherapy33/status/1218570011356299266","1218570011356299266")</f>
        <v>1218570011356299266</v>
      </c>
      <c r="F1205" s="13"/>
      <c r="G1205" s="13"/>
      <c r="H1205" s="13"/>
      <c r="I1205" s="14">
        <v>0.0</v>
      </c>
      <c r="J1205" s="14">
        <v>0.0</v>
      </c>
      <c r="K1205" s="9" t="str">
        <f>HYPERLINK("http://www.DynamicTweets.com","Dynamic Tweets")</f>
        <v>Dynamic Tweets</v>
      </c>
      <c r="L1205" s="15">
        <v>4053.0</v>
      </c>
      <c r="M1205" s="15">
        <v>3517.0</v>
      </c>
      <c r="N1205" s="15">
        <v>74.0</v>
      </c>
      <c r="O1205" s="16"/>
      <c r="P1205" s="17">
        <v>42375.45542824074</v>
      </c>
      <c r="Q1205" s="13"/>
      <c r="R1205" s="13"/>
      <c r="S1205" s="11" t="s">
        <v>833</v>
      </c>
      <c r="T1205" s="13"/>
      <c r="U1205" s="18" t="str">
        <f>HYPERLINK("https://pbs.twimg.com/profile_images/773354507157671941/wE10yy8j.jpg","View")</f>
        <v>View</v>
      </c>
      <c r="V1205" s="13"/>
      <c r="W1205" s="13"/>
      <c r="X1205" s="13"/>
      <c r="Y1205" s="13"/>
      <c r="Z1205" s="13"/>
    </row>
    <row r="1206">
      <c r="A1206" s="8">
        <v>43848.475752314815</v>
      </c>
      <c r="B1206" s="9" t="str">
        <f>HYPERLINK("https://twitter.com/SelfPubShowcase","@SelfPubShowcase")</f>
        <v>@SelfPubShowcase</v>
      </c>
      <c r="C1206" s="10" t="s">
        <v>5375</v>
      </c>
      <c r="D1206" s="10" t="s">
        <v>5376</v>
      </c>
      <c r="E1206" s="9" t="str">
        <f>HYPERLINK("https://twitter.com/SelfPubShowcase/status/1218570010710478849","1218570010710478849")</f>
        <v>1218570010710478849</v>
      </c>
      <c r="F1206" s="11" t="s">
        <v>5377</v>
      </c>
      <c r="G1206" s="13"/>
      <c r="H1206" s="13"/>
      <c r="I1206" s="14">
        <v>2.0</v>
      </c>
      <c r="J1206" s="14">
        <v>2.0</v>
      </c>
      <c r="K1206" s="9" t="str">
        <f>HYPERLINK("https://www.hootsuite.com","Hootsuite Inc.")</f>
        <v>Hootsuite Inc.</v>
      </c>
      <c r="L1206" s="15">
        <v>210679.0</v>
      </c>
      <c r="M1206" s="15">
        <v>198716.0</v>
      </c>
      <c r="N1206" s="15">
        <v>2849.0</v>
      </c>
      <c r="O1206" s="16"/>
      <c r="P1206" s="17">
        <v>41416.660949074074</v>
      </c>
      <c r="Q1206" s="10" t="s">
        <v>3371</v>
      </c>
      <c r="R1206" s="10" t="s">
        <v>5378</v>
      </c>
      <c r="S1206" s="11" t="s">
        <v>5379</v>
      </c>
      <c r="T1206" s="13"/>
      <c r="U1206" s="18" t="str">
        <f>HYPERLINK("https://pbs.twimg.com/profile_images/378800000746525160/add06170632f313d714844ab6091eb3b.jpeg","View")</f>
        <v>View</v>
      </c>
      <c r="V1206" s="13"/>
      <c r="W1206" s="13"/>
      <c r="X1206" s="13"/>
      <c r="Y1206" s="13"/>
      <c r="Z1206" s="13"/>
    </row>
    <row r="1207">
      <c r="A1207" s="8">
        <v>43848.47546296296</v>
      </c>
      <c r="B1207" s="9" t="str">
        <f>HYPERLINK("https://twitter.com/grouptherapy33","@grouptherapy33")</f>
        <v>@grouptherapy33</v>
      </c>
      <c r="C1207" s="10" t="s">
        <v>831</v>
      </c>
      <c r="D1207" s="10" t="s">
        <v>5380</v>
      </c>
      <c r="E1207" s="9" t="str">
        <f>HYPERLINK("https://twitter.com/grouptherapy33/status/1218569909388574721","1218569909388574721")</f>
        <v>1218569909388574721</v>
      </c>
      <c r="F1207" s="11" t="s">
        <v>5381</v>
      </c>
      <c r="G1207" s="13"/>
      <c r="H1207" s="13"/>
      <c r="I1207" s="14">
        <v>0.0</v>
      </c>
      <c r="J1207" s="14">
        <v>0.0</v>
      </c>
      <c r="K1207" s="9" t="str">
        <f>HYPERLINK("http://www.DynamicTweets.com","Dynamic Tweets")</f>
        <v>Dynamic Tweets</v>
      </c>
      <c r="L1207" s="15">
        <v>4053.0</v>
      </c>
      <c r="M1207" s="15">
        <v>3517.0</v>
      </c>
      <c r="N1207" s="15">
        <v>74.0</v>
      </c>
      <c r="O1207" s="16"/>
      <c r="P1207" s="17">
        <v>42375.45542824074</v>
      </c>
      <c r="Q1207" s="13"/>
      <c r="R1207" s="13"/>
      <c r="S1207" s="11" t="s">
        <v>833</v>
      </c>
      <c r="T1207" s="13"/>
      <c r="U1207" s="18" t="str">
        <f>HYPERLINK("https://pbs.twimg.com/profile_images/773354507157671941/wE10yy8j.jpg","View")</f>
        <v>View</v>
      </c>
      <c r="V1207" s="13"/>
      <c r="W1207" s="13"/>
      <c r="X1207" s="13"/>
      <c r="Y1207" s="13"/>
      <c r="Z1207" s="13"/>
    </row>
    <row r="1208">
      <c r="A1208" s="8">
        <v>43848.47293981482</v>
      </c>
      <c r="B1208" s="9" t="str">
        <f>HYPERLINK("https://twitter.com/tutti_space","@tutti_space")</f>
        <v>@tutti_space</v>
      </c>
      <c r="C1208" s="10" t="s">
        <v>5382</v>
      </c>
      <c r="D1208" s="10" t="s">
        <v>5383</v>
      </c>
      <c r="E1208" s="9" t="str">
        <f>HYPERLINK("https://twitter.com/tutti_space/status/1218568992132124672","1218568992132124672")</f>
        <v>1218568992132124672</v>
      </c>
      <c r="F1208" s="11" t="s">
        <v>5384</v>
      </c>
      <c r="G1208" s="11" t="s">
        <v>5385</v>
      </c>
      <c r="H1208" s="13"/>
      <c r="I1208" s="14">
        <v>0.0</v>
      </c>
      <c r="J1208" s="14">
        <v>0.0</v>
      </c>
      <c r="K1208" s="9" t="str">
        <f>HYPERLINK("https://buffer.com","Buffer")</f>
        <v>Buffer</v>
      </c>
      <c r="L1208" s="15">
        <v>6680.0</v>
      </c>
      <c r="M1208" s="15">
        <v>5685.0</v>
      </c>
      <c r="N1208" s="15">
        <v>12.0</v>
      </c>
      <c r="O1208" s="16"/>
      <c r="P1208" s="17">
        <v>42950.49643518518</v>
      </c>
      <c r="Q1208" s="10" t="s">
        <v>95</v>
      </c>
      <c r="R1208" s="10" t="s">
        <v>5386</v>
      </c>
      <c r="S1208" s="11" t="s">
        <v>5387</v>
      </c>
      <c r="T1208" s="13"/>
      <c r="U1208" s="18" t="str">
        <f>HYPERLINK("https://pbs.twimg.com/profile_images/1057290073224462339/VovjWAmt.jpg","View")</f>
        <v>View</v>
      </c>
      <c r="V1208" s="13"/>
      <c r="W1208" s="13"/>
      <c r="X1208" s="13"/>
      <c r="Y1208" s="13"/>
      <c r="Z1208" s="13"/>
    </row>
    <row r="1209">
      <c r="A1209" s="8">
        <v>43848.47226851852</v>
      </c>
      <c r="B1209" s="9" t="str">
        <f>HYPERLINK("https://twitter.com/NAMINTX","@NAMINTX")</f>
        <v>@NAMINTX</v>
      </c>
      <c r="C1209" s="10" t="s">
        <v>5388</v>
      </c>
      <c r="D1209" s="10" t="s">
        <v>5389</v>
      </c>
      <c r="E1209" s="9" t="str">
        <f>HYPERLINK("https://twitter.com/NAMINTX/status/1218568750951256068","1218568750951256068")</f>
        <v>1218568750951256068</v>
      </c>
      <c r="F1209" s="11" t="s">
        <v>5390</v>
      </c>
      <c r="G1209" s="13"/>
      <c r="H1209" s="13"/>
      <c r="I1209" s="14">
        <v>1.0</v>
      </c>
      <c r="J1209" s="14">
        <v>0.0</v>
      </c>
      <c r="K1209" s="9" t="str">
        <f>HYPERLINK("https://www.hootsuite.com","Hootsuite Inc.")</f>
        <v>Hootsuite Inc.</v>
      </c>
      <c r="L1209" s="15">
        <v>2077.0</v>
      </c>
      <c r="M1209" s="15">
        <v>872.0</v>
      </c>
      <c r="N1209" s="15">
        <v>80.0</v>
      </c>
      <c r="O1209" s="16"/>
      <c r="P1209" s="17">
        <v>40469.66322916667</v>
      </c>
      <c r="Q1209" s="10" t="s">
        <v>3738</v>
      </c>
      <c r="R1209" s="10" t="s">
        <v>5391</v>
      </c>
      <c r="S1209" s="11" t="s">
        <v>5392</v>
      </c>
      <c r="T1209" s="13"/>
      <c r="U1209" s="18" t="str">
        <f>HYPERLINK("https://pbs.twimg.com/profile_images/1057712630717018113/-6VCgTsK.jpg","View")</f>
        <v>View</v>
      </c>
      <c r="V1209" s="13"/>
      <c r="W1209" s="13"/>
      <c r="X1209" s="13"/>
      <c r="Y1209" s="13"/>
      <c r="Z1209" s="13"/>
    </row>
    <row r="1210">
      <c r="A1210" s="8">
        <v>43848.47152777778</v>
      </c>
      <c r="B1210" s="9" t="str">
        <f>HYPERLINK("https://twitter.com/jimallthetime","@jimallthetime")</f>
        <v>@jimallthetime</v>
      </c>
      <c r="C1210" s="10" t="s">
        <v>3690</v>
      </c>
      <c r="D1210" s="10" t="s">
        <v>2327</v>
      </c>
      <c r="E1210" s="9" t="str">
        <f>HYPERLINK("https://twitter.com/jimallthetime/status/1218568480368230406","1218568480368230406")</f>
        <v>1218568480368230406</v>
      </c>
      <c r="F1210" s="11" t="s">
        <v>2328</v>
      </c>
      <c r="G1210" s="13"/>
      <c r="H1210" s="13"/>
      <c r="I1210" s="14">
        <v>2.0</v>
      </c>
      <c r="J1210" s="14">
        <v>3.0</v>
      </c>
      <c r="K1210" s="9" t="str">
        <f>HYPERLINK("https://about.twitter.com/products/tweetdeck","TweetDeck")</f>
        <v>TweetDeck</v>
      </c>
      <c r="L1210" s="15">
        <v>22697.0</v>
      </c>
      <c r="M1210" s="15">
        <v>5770.0</v>
      </c>
      <c r="N1210" s="15">
        <v>658.0</v>
      </c>
      <c r="O1210" s="16"/>
      <c r="P1210" s="17">
        <v>39756.35388888889</v>
      </c>
      <c r="Q1210" s="10" t="s">
        <v>3693</v>
      </c>
      <c r="R1210" s="10" t="s">
        <v>3694</v>
      </c>
      <c r="S1210" s="11" t="s">
        <v>3695</v>
      </c>
      <c r="T1210" s="13"/>
      <c r="U1210" s="18" t="str">
        <f>HYPERLINK("https://pbs.twimg.com/profile_images/796744281797099520/poECZO92.jpg","View")</f>
        <v>View</v>
      </c>
      <c r="V1210" s="13"/>
      <c r="W1210" s="13"/>
      <c r="X1210" s="13"/>
      <c r="Y1210" s="13"/>
      <c r="Z1210" s="13"/>
    </row>
    <row r="1211">
      <c r="A1211" s="8">
        <v>43848.471087962964</v>
      </c>
      <c r="B1211" s="9" t="str">
        <f>HYPERLINK("https://twitter.com/GoodMenProject","@GoodMenProject")</f>
        <v>@GoodMenProject</v>
      </c>
      <c r="C1211" s="10" t="s">
        <v>5393</v>
      </c>
      <c r="D1211" s="10" t="s">
        <v>5394</v>
      </c>
      <c r="E1211" s="9" t="str">
        <f>HYPERLINK("https://twitter.com/GoodMenProject/status/1218568322448592896","1218568322448592896")</f>
        <v>1218568322448592896</v>
      </c>
      <c r="F1211" s="11" t="s">
        <v>5395</v>
      </c>
      <c r="G1211" s="13"/>
      <c r="H1211" s="13"/>
      <c r="I1211" s="14">
        <v>3.0</v>
      </c>
      <c r="J1211" s="14">
        <v>4.0</v>
      </c>
      <c r="K1211" s="9" t="str">
        <f>HYPERLINK("https://www.smedian.com","Penname")</f>
        <v>Penname</v>
      </c>
      <c r="L1211" s="15">
        <v>189730.0</v>
      </c>
      <c r="M1211" s="15">
        <v>148995.0</v>
      </c>
      <c r="N1211" s="15">
        <v>3573.0</v>
      </c>
      <c r="O1211" s="16"/>
      <c r="P1211" s="17">
        <v>40217.50633101852</v>
      </c>
      <c r="Q1211" s="10" t="s">
        <v>2050</v>
      </c>
      <c r="R1211" s="10" t="s">
        <v>5396</v>
      </c>
      <c r="S1211" s="11" t="s">
        <v>5397</v>
      </c>
      <c r="T1211" s="13"/>
      <c r="U1211" s="18" t="str">
        <f>HYPERLINK("https://pbs.twimg.com/profile_images/1149215738/ManInWater.jpg","View")</f>
        <v>View</v>
      </c>
      <c r="V1211" s="13"/>
      <c r="W1211" s="13"/>
      <c r="X1211" s="13"/>
      <c r="Y1211" s="13"/>
      <c r="Z1211" s="13"/>
    </row>
    <row r="1212">
      <c r="A1212" s="8">
        <v>43848.470925925925</v>
      </c>
      <c r="B1212" s="9" t="str">
        <f>HYPERLINK("https://twitter.com/nicoletta_lekka","@nicoletta_lekka")</f>
        <v>@nicoletta_lekka</v>
      </c>
      <c r="C1212" s="10" t="s">
        <v>5398</v>
      </c>
      <c r="D1212" s="10" t="s">
        <v>5399</v>
      </c>
      <c r="E1212" s="9" t="str">
        <f>HYPERLINK("https://twitter.com/nicoletta_lekka/status/1218568263229169669","1218568263229169669")</f>
        <v>1218568263229169669</v>
      </c>
      <c r="F1212" s="11" t="s">
        <v>5400</v>
      </c>
      <c r="G1212" s="13"/>
      <c r="H1212" s="13"/>
      <c r="I1212" s="14">
        <v>2.0</v>
      </c>
      <c r="J1212" s="14">
        <v>0.0</v>
      </c>
      <c r="K1212" s="9" t="str">
        <f>HYPERLINK("http://twitter.com/download/iphone","Twitter for iPhone")</f>
        <v>Twitter for iPhone</v>
      </c>
      <c r="L1212" s="15">
        <v>352.0</v>
      </c>
      <c r="M1212" s="15">
        <v>144.0</v>
      </c>
      <c r="N1212" s="15">
        <v>1.0</v>
      </c>
      <c r="O1212" s="16"/>
      <c r="P1212" s="17">
        <v>43384.70064814815</v>
      </c>
      <c r="Q1212" s="10" t="s">
        <v>161</v>
      </c>
      <c r="R1212" s="10" t="s">
        <v>5401</v>
      </c>
      <c r="S1212" s="11" t="s">
        <v>5402</v>
      </c>
      <c r="T1212" s="13"/>
      <c r="U1212" s="18" t="str">
        <f>HYPERLINK("https://pbs.twimg.com/profile_images/1140404914474094592/aAa-HiZH.jpg","View")</f>
        <v>View</v>
      </c>
      <c r="V1212" s="13"/>
      <c r="W1212" s="13"/>
      <c r="X1212" s="13"/>
      <c r="Y1212" s="13"/>
      <c r="Z1212" s="13"/>
    </row>
    <row r="1213">
      <c r="A1213" s="8">
        <v>43848.4708912037</v>
      </c>
      <c r="B1213" s="9" t="str">
        <f>HYPERLINK("https://twitter.com/SLAMKingsX","@SLAMKingsX")</f>
        <v>@SLAMKingsX</v>
      </c>
      <c r="C1213" s="10" t="s">
        <v>5403</v>
      </c>
      <c r="D1213" s="10" t="s">
        <v>5404</v>
      </c>
      <c r="E1213" s="9" t="str">
        <f>HYPERLINK("https://twitter.com/SLAMKingsX/status/1218568252349087746","1218568252349087746")</f>
        <v>1218568252349087746</v>
      </c>
      <c r="F1213" s="11" t="s">
        <v>5405</v>
      </c>
      <c r="G1213" s="11" t="s">
        <v>5406</v>
      </c>
      <c r="H1213" s="13"/>
      <c r="I1213" s="14">
        <v>0.0</v>
      </c>
      <c r="J1213" s="14">
        <v>0.0</v>
      </c>
      <c r="K1213" s="9" t="str">
        <f>HYPERLINK("https://ifttt.com","IFTTT")</f>
        <v>IFTTT</v>
      </c>
      <c r="L1213" s="15">
        <v>1781.0</v>
      </c>
      <c r="M1213" s="15">
        <v>1331.0</v>
      </c>
      <c r="N1213" s="15">
        <v>21.0</v>
      </c>
      <c r="O1213" s="16"/>
      <c r="P1213" s="17">
        <v>42521.31391203703</v>
      </c>
      <c r="Q1213" s="10" t="s">
        <v>95</v>
      </c>
      <c r="R1213" s="10" t="s">
        <v>5407</v>
      </c>
      <c r="S1213" s="11" t="s">
        <v>5408</v>
      </c>
      <c r="T1213" s="13"/>
      <c r="U1213" s="18" t="str">
        <f>HYPERLINK("https://pbs.twimg.com/profile_images/978931875380191232/9p3XUveI.jpg","View")</f>
        <v>View</v>
      </c>
      <c r="V1213" s="13"/>
      <c r="W1213" s="13"/>
      <c r="X1213" s="13"/>
      <c r="Y1213" s="13"/>
      <c r="Z1213" s="13"/>
    </row>
    <row r="1214">
      <c r="A1214" s="8">
        <v>43848.47081018519</v>
      </c>
      <c r="B1214" s="9" t="str">
        <f>HYPERLINK("https://twitter.com/mentalhealth57","@mentalhealth57")</f>
        <v>@mentalhealth57</v>
      </c>
      <c r="C1214" s="10" t="s">
        <v>795</v>
      </c>
      <c r="D1214" s="10" t="s">
        <v>5409</v>
      </c>
      <c r="E1214" s="9" t="str">
        <f>HYPERLINK("https://twitter.com/mentalhealth57/status/1218568219558060036","1218568219558060036")</f>
        <v>1218568219558060036</v>
      </c>
      <c r="F1214" s="11" t="s">
        <v>5410</v>
      </c>
      <c r="G1214" s="13"/>
      <c r="H1214" s="13"/>
      <c r="I1214" s="14">
        <v>4.0</v>
      </c>
      <c r="J1214" s="14">
        <v>11.0</v>
      </c>
      <c r="K1214" s="9" t="str">
        <f>HYPERLINK("http://twitter.com/download/iphone","Twitter for iPhone")</f>
        <v>Twitter for iPhone</v>
      </c>
      <c r="L1214" s="15">
        <v>574.0</v>
      </c>
      <c r="M1214" s="15">
        <v>662.0</v>
      </c>
      <c r="N1214" s="15">
        <v>1.0</v>
      </c>
      <c r="O1214" s="16"/>
      <c r="P1214" s="17">
        <v>43778.54798611111</v>
      </c>
      <c r="Q1214" s="13"/>
      <c r="R1214" s="10" t="s">
        <v>798</v>
      </c>
      <c r="S1214" s="13"/>
      <c r="T1214" s="13"/>
      <c r="U1214" s="18" t="str">
        <f>HYPERLINK("https://pbs.twimg.com/profile_images/1206581434682630144/yJrWPoVb.jpg","View")</f>
        <v>View</v>
      </c>
      <c r="V1214" s="13"/>
      <c r="W1214" s="13"/>
      <c r="X1214" s="13"/>
      <c r="Y1214" s="13"/>
      <c r="Z1214" s="13"/>
    </row>
    <row r="1215">
      <c r="A1215" s="8">
        <v>43848.470763888894</v>
      </c>
      <c r="B1215" s="9" t="str">
        <f>HYPERLINK("https://twitter.com/tonitomijoo","@tonitomijoo")</f>
        <v>@tonitomijoo</v>
      </c>
      <c r="C1215" s="10" t="s">
        <v>5411</v>
      </c>
      <c r="D1215" s="10" t="s">
        <v>238</v>
      </c>
      <c r="E1215" s="9" t="str">
        <f>HYPERLINK("https://twitter.com/tonitomijoo/status/1218568204273848320","1218568204273848320")</f>
        <v>1218568204273848320</v>
      </c>
      <c r="F1215" s="13"/>
      <c r="G1215" s="13"/>
      <c r="H1215" s="13"/>
      <c r="I1215" s="14">
        <v>0.0</v>
      </c>
      <c r="J1215" s="14">
        <v>0.0</v>
      </c>
      <c r="K1215" s="9" t="str">
        <f>HYPERLINK("http://twitter.com/download/android","Twitter for Android")</f>
        <v>Twitter for Android</v>
      </c>
      <c r="L1215" s="15">
        <v>61.0</v>
      </c>
      <c r="M1215" s="15">
        <v>533.0</v>
      </c>
      <c r="N1215" s="15">
        <v>0.0</v>
      </c>
      <c r="O1215" s="16"/>
      <c r="P1215" s="17">
        <v>40437.4996875</v>
      </c>
      <c r="Q1215" s="13"/>
      <c r="R1215" s="13"/>
      <c r="S1215" s="13"/>
      <c r="T1215" s="13"/>
      <c r="U1215" s="21" t="s">
        <v>292</v>
      </c>
      <c r="V1215" s="13"/>
      <c r="W1215" s="13"/>
      <c r="X1215" s="13"/>
      <c r="Y1215" s="13"/>
      <c r="Z1215" s="13"/>
    </row>
    <row r="1216">
      <c r="A1216" s="8">
        <v>43848.469548611116</v>
      </c>
      <c r="B1216" s="9" t="str">
        <f>HYPERLINK("https://twitter.com/HADability","@HADability")</f>
        <v>@HADability</v>
      </c>
      <c r="C1216" s="10" t="s">
        <v>5412</v>
      </c>
      <c r="D1216" s="10" t="s">
        <v>5413</v>
      </c>
      <c r="E1216" s="9" t="str">
        <f>HYPERLINK("https://twitter.com/HADability/status/1218567763624710145","1218567763624710145")</f>
        <v>1218567763624710145</v>
      </c>
      <c r="F1216" s="13"/>
      <c r="G1216" s="11" t="s">
        <v>5414</v>
      </c>
      <c r="H1216" s="13"/>
      <c r="I1216" s="14">
        <v>5.0</v>
      </c>
      <c r="J1216" s="14">
        <v>8.0</v>
      </c>
      <c r="K1216" s="9" t="str">
        <f>HYPERLINK("https://mobile.twitter.com","Twitter Web App")</f>
        <v>Twitter Web App</v>
      </c>
      <c r="L1216" s="15">
        <v>2117.0</v>
      </c>
      <c r="M1216" s="15">
        <v>3976.0</v>
      </c>
      <c r="N1216" s="15">
        <v>51.0</v>
      </c>
      <c r="O1216" s="16"/>
      <c r="P1216" s="17">
        <v>40863.39912037037</v>
      </c>
      <c r="Q1216" s="10" t="s">
        <v>5415</v>
      </c>
      <c r="R1216" s="10" t="s">
        <v>5416</v>
      </c>
      <c r="S1216" s="11" t="s">
        <v>5417</v>
      </c>
      <c r="T1216" s="13"/>
      <c r="U1216" s="18" t="str">
        <f>HYPERLINK("https://pbs.twimg.com/profile_images/1212653408055894016/IPnUblY_.jpg","View")</f>
        <v>View</v>
      </c>
      <c r="V1216" s="13"/>
      <c r="W1216" s="13"/>
      <c r="X1216" s="13"/>
      <c r="Y1216" s="13"/>
      <c r="Z1216" s="13"/>
    </row>
    <row r="1217">
      <c r="A1217" s="8">
        <v>43848.46931712963</v>
      </c>
      <c r="B1217" s="9" t="str">
        <f>HYPERLINK("https://twitter.com/RCI_101","@RCI_101")</f>
        <v>@RCI_101</v>
      </c>
      <c r="C1217" s="10" t="s">
        <v>5418</v>
      </c>
      <c r="D1217" s="10" t="s">
        <v>5419</v>
      </c>
      <c r="E1217" s="9" t="str">
        <f>HYPERLINK("https://twitter.com/RCI_101/status/1218567679050768384","1218567679050768384")</f>
        <v>1218567679050768384</v>
      </c>
      <c r="F1217" s="10" t="s">
        <v>5420</v>
      </c>
      <c r="G1217" s="13"/>
      <c r="H1217" s="13"/>
      <c r="I1217" s="14">
        <v>1.0</v>
      </c>
      <c r="J1217" s="14">
        <v>2.0</v>
      </c>
      <c r="K1217" s="9" t="str">
        <f>HYPERLINK("http://twitter.com/download/android","Twitter for Android")</f>
        <v>Twitter for Android</v>
      </c>
      <c r="L1217" s="15">
        <v>966.0</v>
      </c>
      <c r="M1217" s="15">
        <v>1162.0</v>
      </c>
      <c r="N1217" s="15">
        <v>9.0</v>
      </c>
      <c r="O1217" s="16"/>
      <c r="P1217" s="17">
        <v>39968.97015046296</v>
      </c>
      <c r="Q1217" s="13"/>
      <c r="R1217" s="10" t="s">
        <v>5421</v>
      </c>
      <c r="S1217" s="11" t="s">
        <v>5422</v>
      </c>
      <c r="T1217" s="13"/>
      <c r="U1217" s="18" t="str">
        <f>HYPERLINK("https://pbs.twimg.com/profile_images/1167987801742172162/pL_lo2X-.jpg","View")</f>
        <v>View</v>
      </c>
      <c r="V1217" s="13"/>
      <c r="W1217" s="13"/>
      <c r="X1217" s="13"/>
      <c r="Y1217" s="13"/>
      <c r="Z1217" s="13"/>
    </row>
    <row r="1218">
      <c r="A1218" s="8">
        <v>43848.46884259259</v>
      </c>
      <c r="B1218" s="9" t="str">
        <f>HYPERLINK("https://twitter.com/kates2091","@kates2091")</f>
        <v>@kates2091</v>
      </c>
      <c r="C1218" s="10" t="s">
        <v>5344</v>
      </c>
      <c r="D1218" s="10" t="s">
        <v>5423</v>
      </c>
      <c r="E1218" s="9" t="str">
        <f>HYPERLINK("https://twitter.com/kates2091/status/1218567509760147462","1218567509760147462")</f>
        <v>1218567509760147462</v>
      </c>
      <c r="F1218" s="13"/>
      <c r="G1218" s="11" t="s">
        <v>5424</v>
      </c>
      <c r="H1218" s="13"/>
      <c r="I1218" s="14">
        <v>1.0</v>
      </c>
      <c r="J1218" s="14">
        <v>7.0</v>
      </c>
      <c r="K1218" s="9" t="str">
        <f>HYPERLINK("http://twitter.com/download/iphone","Twitter for iPhone")</f>
        <v>Twitter for iPhone</v>
      </c>
      <c r="L1218" s="15">
        <v>1766.0</v>
      </c>
      <c r="M1218" s="15">
        <v>1933.0</v>
      </c>
      <c r="N1218" s="15">
        <v>58.0</v>
      </c>
      <c r="O1218" s="16"/>
      <c r="P1218" s="17">
        <v>40431.330717592595</v>
      </c>
      <c r="Q1218" s="10" t="s">
        <v>5347</v>
      </c>
      <c r="R1218" s="10" t="s">
        <v>5348</v>
      </c>
      <c r="S1218" s="11" t="s">
        <v>5349</v>
      </c>
      <c r="T1218" s="13"/>
      <c r="U1218" s="18" t="str">
        <f>HYPERLINK("https://pbs.twimg.com/profile_images/723621554001682433/8MLl2CXC.jpg","View")</f>
        <v>View</v>
      </c>
      <c r="V1218" s="13"/>
      <c r="W1218" s="13"/>
      <c r="X1218" s="13"/>
      <c r="Y1218" s="13"/>
      <c r="Z1218" s="13"/>
    </row>
    <row r="1219">
      <c r="A1219" s="8">
        <v>43848.468576388885</v>
      </c>
      <c r="B1219" s="9" t="str">
        <f>HYPERLINK("https://twitter.com/DrGurdeepParhar","@DrGurdeepParhar")</f>
        <v>@DrGurdeepParhar</v>
      </c>
      <c r="C1219" s="10" t="s">
        <v>54</v>
      </c>
      <c r="D1219" s="22" t="s">
        <v>5425</v>
      </c>
      <c r="E1219" s="9" t="str">
        <f>HYPERLINK("https://twitter.com/DrGurdeepParhar/status/1218567411840028677","1218567411840028677")</f>
        <v>1218567411840028677</v>
      </c>
      <c r="F1219" s="11" t="s">
        <v>5426</v>
      </c>
      <c r="G1219" s="13"/>
      <c r="H1219" s="13"/>
      <c r="I1219" s="14">
        <v>1.0</v>
      </c>
      <c r="J1219" s="14">
        <v>1.0</v>
      </c>
      <c r="K1219" s="9" t="str">
        <f>HYPERLINK("https://nectar.social","BHIVE Nectar")</f>
        <v>BHIVE Nectar</v>
      </c>
      <c r="L1219" s="15">
        <v>81427.0</v>
      </c>
      <c r="M1219" s="15">
        <v>30.0</v>
      </c>
      <c r="N1219" s="15">
        <v>73.0</v>
      </c>
      <c r="O1219" s="16"/>
      <c r="P1219" s="17">
        <v>42450.41334490741</v>
      </c>
      <c r="Q1219" s="10" t="s">
        <v>57</v>
      </c>
      <c r="R1219" s="10" t="s">
        <v>58</v>
      </c>
      <c r="S1219" s="11" t="s">
        <v>59</v>
      </c>
      <c r="T1219" s="13"/>
      <c r="U1219" s="18" t="str">
        <f>HYPERLINK("https://pbs.twimg.com/profile_images/1013719377697357824/2F3Qgmy6.jpg","View")</f>
        <v>View</v>
      </c>
      <c r="V1219" s="13"/>
      <c r="W1219" s="13"/>
      <c r="X1219" s="13"/>
      <c r="Y1219" s="13"/>
      <c r="Z1219" s="13"/>
    </row>
    <row r="1220">
      <c r="A1220" s="8">
        <v>43848.46842592592</v>
      </c>
      <c r="B1220" s="9" t="str">
        <f>HYPERLINK("https://twitter.com/MancEssexGirl","@MancEssexGirl")</f>
        <v>@MancEssexGirl</v>
      </c>
      <c r="C1220" s="10" t="s">
        <v>5427</v>
      </c>
      <c r="D1220" s="10" t="s">
        <v>5428</v>
      </c>
      <c r="E1220" s="9" t="str">
        <f>HYPERLINK("https://twitter.com/MancEssexGirl/status/1218567356093468673","1218567356093468673")</f>
        <v>1218567356093468673</v>
      </c>
      <c r="F1220" s="13"/>
      <c r="G1220" s="11" t="s">
        <v>5429</v>
      </c>
      <c r="H1220" s="13"/>
      <c r="I1220" s="14">
        <v>3.0</v>
      </c>
      <c r="J1220" s="14">
        <v>4.0</v>
      </c>
      <c r="K1220" s="9" t="str">
        <f>HYPERLINK("http://twitter.com/download/android","Twitter for Android")</f>
        <v>Twitter for Android</v>
      </c>
      <c r="L1220" s="15">
        <v>232.0</v>
      </c>
      <c r="M1220" s="15">
        <v>827.0</v>
      </c>
      <c r="N1220" s="15">
        <v>3.0</v>
      </c>
      <c r="O1220" s="16"/>
      <c r="P1220" s="17">
        <v>42865.68172453703</v>
      </c>
      <c r="Q1220" s="10" t="s">
        <v>3408</v>
      </c>
      <c r="R1220" s="10" t="s">
        <v>5430</v>
      </c>
      <c r="S1220" s="13"/>
      <c r="T1220" s="13"/>
      <c r="U1220" s="18" t="str">
        <f>HYPERLINK("https://pbs.twimg.com/profile_images/904719670590177282/ZvR9N46u.jpg","View")</f>
        <v>View</v>
      </c>
      <c r="V1220" s="13"/>
      <c r="W1220" s="13"/>
      <c r="X1220" s="13"/>
      <c r="Y1220" s="13"/>
      <c r="Z1220" s="13"/>
    </row>
    <row r="1221">
      <c r="A1221" s="8">
        <v>43848.46806712963</v>
      </c>
      <c r="B1221" s="9" t="str">
        <f>HYPERLINK("https://twitter.com/SilverHillHosp","@SilverHillHosp")</f>
        <v>@SilverHillHosp</v>
      </c>
      <c r="C1221" s="10" t="s">
        <v>5431</v>
      </c>
      <c r="D1221" s="10" t="s">
        <v>5432</v>
      </c>
      <c r="E1221" s="9" t="str">
        <f>HYPERLINK("https://twitter.com/SilverHillHosp/status/1218567226481160192","1218567226481160192")</f>
        <v>1218567226481160192</v>
      </c>
      <c r="F1221" s="11" t="s">
        <v>5433</v>
      </c>
      <c r="G1221" s="13"/>
      <c r="H1221" s="13"/>
      <c r="I1221" s="14">
        <v>1.0</v>
      </c>
      <c r="J1221" s="14">
        <v>0.0</v>
      </c>
      <c r="K1221" s="9" t="str">
        <f>HYPERLINK("https://sproutsocial.com","Sprout Social")</f>
        <v>Sprout Social</v>
      </c>
      <c r="L1221" s="15">
        <v>2120.0</v>
      </c>
      <c r="M1221" s="15">
        <v>1485.0</v>
      </c>
      <c r="N1221" s="15">
        <v>47.0</v>
      </c>
      <c r="O1221" s="16"/>
      <c r="P1221" s="17">
        <v>39987.48778935185</v>
      </c>
      <c r="Q1221" s="10" t="s">
        <v>5434</v>
      </c>
      <c r="R1221" s="10" t="s">
        <v>5435</v>
      </c>
      <c r="S1221" s="11" t="s">
        <v>5436</v>
      </c>
      <c r="T1221" s="13"/>
      <c r="U1221" s="18" t="str">
        <f>HYPERLINK("https://pbs.twimg.com/profile_images/903663404275048448/-C3A-PgX.jpg","View")</f>
        <v>View</v>
      </c>
      <c r="V1221" s="13"/>
      <c r="W1221" s="13"/>
      <c r="X1221" s="13"/>
      <c r="Y1221" s="13"/>
      <c r="Z1221" s="13"/>
    </row>
    <row r="1222">
      <c r="A1222" s="8">
        <v>43848.467939814815</v>
      </c>
      <c r="B1222" s="9" t="str">
        <f>HYPERLINK("https://twitter.com/drpokea","@drpokea")</f>
        <v>@drpokea</v>
      </c>
      <c r="C1222" s="10" t="s">
        <v>385</v>
      </c>
      <c r="D1222" s="10" t="s">
        <v>5437</v>
      </c>
      <c r="E1222" s="9" t="str">
        <f>HYPERLINK("https://twitter.com/drpokea/status/1218567180759044097","1218567180759044097")</f>
        <v>1218567180759044097</v>
      </c>
      <c r="F1222" s="11" t="s">
        <v>5438</v>
      </c>
      <c r="G1222" s="13"/>
      <c r="H1222" s="13"/>
      <c r="I1222" s="14">
        <v>1.0</v>
      </c>
      <c r="J1222" s="14">
        <v>1.0</v>
      </c>
      <c r="K1222" s="9" t="str">
        <f>HYPERLINK("https://apps.twitter.com","TwitterHelper4John")</f>
        <v>TwitterHelper4John</v>
      </c>
      <c r="L1222" s="15">
        <v>10050.0</v>
      </c>
      <c r="M1222" s="15">
        <v>3862.0</v>
      </c>
      <c r="N1222" s="15">
        <v>409.0</v>
      </c>
      <c r="O1222" s="16"/>
      <c r="P1222" s="17">
        <v>41994.369722222225</v>
      </c>
      <c r="Q1222" s="10" t="s">
        <v>388</v>
      </c>
      <c r="R1222" s="10" t="s">
        <v>389</v>
      </c>
      <c r="S1222" s="11" t="s">
        <v>390</v>
      </c>
      <c r="T1222" s="13"/>
      <c r="U1222" s="18" t="str">
        <f>HYPERLINK("https://pbs.twimg.com/profile_images/546664706165841921/SP4ZJXOO.jpeg","View")</f>
        <v>View</v>
      </c>
      <c r="V1222" s="13"/>
      <c r="W1222" s="13"/>
      <c r="X1222" s="13"/>
      <c r="Y1222" s="13"/>
      <c r="Z1222" s="13"/>
    </row>
    <row r="1223">
      <c r="A1223" s="8">
        <v>43848.46784722222</v>
      </c>
      <c r="B1223" s="9" t="str">
        <f>HYPERLINK("https://twitter.com/grouptherapy33","@grouptherapy33")</f>
        <v>@grouptherapy33</v>
      </c>
      <c r="C1223" s="10" t="s">
        <v>831</v>
      </c>
      <c r="D1223" s="10" t="s">
        <v>5439</v>
      </c>
      <c r="E1223" s="9" t="str">
        <f>HYPERLINK("https://twitter.com/grouptherapy33/status/1218567147422613504","1218567147422613504")</f>
        <v>1218567147422613504</v>
      </c>
      <c r="F1223" s="13"/>
      <c r="G1223" s="13"/>
      <c r="H1223" s="13"/>
      <c r="I1223" s="14">
        <v>1.0</v>
      </c>
      <c r="J1223" s="14">
        <v>1.0</v>
      </c>
      <c r="K1223" s="9" t="str">
        <f>HYPERLINK("http://www.DynamicTweets.com","Dynamic Tweets")</f>
        <v>Dynamic Tweets</v>
      </c>
      <c r="L1223" s="15">
        <v>4053.0</v>
      </c>
      <c r="M1223" s="15">
        <v>3517.0</v>
      </c>
      <c r="N1223" s="15">
        <v>74.0</v>
      </c>
      <c r="O1223" s="16"/>
      <c r="P1223" s="17">
        <v>42375.45542824074</v>
      </c>
      <c r="Q1223" s="13"/>
      <c r="R1223" s="13"/>
      <c r="S1223" s="11" t="s">
        <v>833</v>
      </c>
      <c r="T1223" s="13"/>
      <c r="U1223" s="18" t="str">
        <f>HYPERLINK("https://pbs.twimg.com/profile_images/773354507157671941/wE10yy8j.jpg","View")</f>
        <v>View</v>
      </c>
      <c r="V1223" s="13"/>
      <c r="W1223" s="13"/>
      <c r="X1223" s="13"/>
      <c r="Y1223" s="13"/>
      <c r="Z1223" s="13"/>
    </row>
    <row r="1224">
      <c r="A1224" s="8">
        <v>43848.46716435185</v>
      </c>
      <c r="B1224" s="9" t="str">
        <f>HYPERLINK("https://twitter.com/sobertheory","@sobertheory")</f>
        <v>@sobertheory</v>
      </c>
      <c r="C1224" s="10" t="s">
        <v>5440</v>
      </c>
      <c r="D1224" s="10" t="s">
        <v>5441</v>
      </c>
      <c r="E1224" s="9" t="str">
        <f>HYPERLINK("https://twitter.com/sobertheory/status/1218566898478133248","1218566898478133248")</f>
        <v>1218566898478133248</v>
      </c>
      <c r="F1224" s="11" t="s">
        <v>5442</v>
      </c>
      <c r="G1224" s="13"/>
      <c r="H1224" s="13"/>
      <c r="I1224" s="14">
        <v>0.0</v>
      </c>
      <c r="J1224" s="14">
        <v>2.0</v>
      </c>
      <c r="K1224" s="9" t="str">
        <f>HYPERLINK("https://mobile.twitter.com","Twitter Web App")</f>
        <v>Twitter Web App</v>
      </c>
      <c r="L1224" s="15">
        <v>70.0</v>
      </c>
      <c r="M1224" s="15">
        <v>115.0</v>
      </c>
      <c r="N1224" s="15">
        <v>0.0</v>
      </c>
      <c r="O1224" s="16"/>
      <c r="P1224" s="17">
        <v>43673.63900462963</v>
      </c>
      <c r="Q1224" s="10" t="s">
        <v>983</v>
      </c>
      <c r="R1224" s="10" t="s">
        <v>5443</v>
      </c>
      <c r="S1224" s="11" t="s">
        <v>5444</v>
      </c>
      <c r="T1224" s="13"/>
      <c r="U1224" s="18" t="str">
        <f>HYPERLINK("https://pbs.twimg.com/profile_images/1182674835614371840/w6RE-LMS.jpg","View")</f>
        <v>View</v>
      </c>
      <c r="V1224" s="13"/>
      <c r="W1224" s="13"/>
      <c r="X1224" s="13"/>
      <c r="Y1224" s="13"/>
      <c r="Z1224" s="13"/>
    </row>
    <row r="1225">
      <c r="A1225" s="8">
        <v>43848.46704861111</v>
      </c>
      <c r="B1225" s="9" t="str">
        <f>HYPERLINK("https://twitter.com/DrRebellious","@DrRebellious")</f>
        <v>@DrRebellious</v>
      </c>
      <c r="C1225" s="10" t="s">
        <v>5445</v>
      </c>
      <c r="D1225" s="10" t="s">
        <v>5446</v>
      </c>
      <c r="E1225" s="9" t="str">
        <f>HYPERLINK("https://twitter.com/DrRebellious/status/1218566857306734592","1218566857306734592")</f>
        <v>1218566857306734592</v>
      </c>
      <c r="F1225" s="13"/>
      <c r="G1225" s="13"/>
      <c r="H1225" s="13"/>
      <c r="I1225" s="14">
        <v>2.0</v>
      </c>
      <c r="J1225" s="14">
        <v>20.0</v>
      </c>
      <c r="K1225" s="9" t="str">
        <f>HYPERLINK("http://twitter.com/download/iphone","Twitter for iPhone")</f>
        <v>Twitter for iPhone</v>
      </c>
      <c r="L1225" s="15">
        <v>3566.0</v>
      </c>
      <c r="M1225" s="15">
        <v>4988.0</v>
      </c>
      <c r="N1225" s="15">
        <v>4.0</v>
      </c>
      <c r="O1225" s="16"/>
      <c r="P1225" s="17">
        <v>41231.00347222222</v>
      </c>
      <c r="Q1225" s="10" t="s">
        <v>5447</v>
      </c>
      <c r="R1225" s="10" t="s">
        <v>5448</v>
      </c>
      <c r="S1225" s="13"/>
      <c r="T1225" s="13"/>
      <c r="U1225" s="18" t="str">
        <f>HYPERLINK("https://pbs.twimg.com/profile_images/1216049644095954944/to9POp_k.jpg","View")</f>
        <v>View</v>
      </c>
      <c r="V1225" s="13"/>
      <c r="W1225" s="13"/>
      <c r="X1225" s="13"/>
      <c r="Y1225" s="13"/>
      <c r="Z1225" s="13"/>
    </row>
    <row r="1226">
      <c r="A1226" s="8">
        <v>43848.465370370366</v>
      </c>
      <c r="B1226" s="9" t="str">
        <f>HYPERLINK("https://twitter.com/UNewHaven","@UNewHaven")</f>
        <v>@UNewHaven</v>
      </c>
      <c r="C1226" s="10" t="s">
        <v>5449</v>
      </c>
      <c r="D1226" s="10" t="s">
        <v>5450</v>
      </c>
      <c r="E1226" s="9" t="str">
        <f>HYPERLINK("https://twitter.com/UNewHaven/status/1218566251846545408","1218566251846545408")</f>
        <v>1218566251846545408</v>
      </c>
      <c r="F1226" s="11" t="s">
        <v>5451</v>
      </c>
      <c r="G1226" s="13"/>
      <c r="H1226" s="13"/>
      <c r="I1226" s="14">
        <v>5.0</v>
      </c>
      <c r="J1226" s="14">
        <v>4.0</v>
      </c>
      <c r="K1226" s="9" t="str">
        <f>HYPERLINK("https://www.hootsuite.com","Hootsuite Inc.")</f>
        <v>Hootsuite Inc.</v>
      </c>
      <c r="L1226" s="15">
        <v>7887.0</v>
      </c>
      <c r="M1226" s="15">
        <v>778.0</v>
      </c>
      <c r="N1226" s="15">
        <v>134.0</v>
      </c>
      <c r="O1226" s="16"/>
      <c r="P1226" s="17">
        <v>40590.6252662037</v>
      </c>
      <c r="Q1226" s="10" t="s">
        <v>5452</v>
      </c>
      <c r="R1226" s="10" t="s">
        <v>5453</v>
      </c>
      <c r="S1226" s="11" t="s">
        <v>5454</v>
      </c>
      <c r="T1226" s="13"/>
      <c r="U1226" s="18" t="str">
        <f>HYPERLINK("https://pbs.twimg.com/profile_images/1212810481640955904/YsYYoGqU.jpg","View")</f>
        <v>View</v>
      </c>
      <c r="V1226" s="13"/>
      <c r="W1226" s="13"/>
      <c r="X1226" s="13"/>
      <c r="Y1226" s="13"/>
      <c r="Z1226" s="13"/>
    </row>
    <row r="1227">
      <c r="A1227" s="8">
        <v>43848.46512731482</v>
      </c>
      <c r="B1227" s="9" t="str">
        <f>HYPERLINK("https://twitter.com/james_betts","@james_betts")</f>
        <v>@james_betts</v>
      </c>
      <c r="C1227" s="10" t="s">
        <v>5455</v>
      </c>
      <c r="D1227" s="10" t="s">
        <v>5456</v>
      </c>
      <c r="E1227" s="9" t="str">
        <f>HYPERLINK("https://twitter.com/james_betts/status/1218566159932579840","1218566159932579840")</f>
        <v>1218566159932579840</v>
      </c>
      <c r="F1227" s="13"/>
      <c r="G1227" s="11" t="s">
        <v>5457</v>
      </c>
      <c r="H1227" s="13"/>
      <c r="I1227" s="14">
        <v>0.0</v>
      </c>
      <c r="J1227" s="14">
        <v>0.0</v>
      </c>
      <c r="K1227" s="9" t="str">
        <f>HYPERLINK("http://twitter.com/download/iphone","Twitter for iPhone")</f>
        <v>Twitter for iPhone</v>
      </c>
      <c r="L1227" s="15">
        <v>349.0</v>
      </c>
      <c r="M1227" s="15">
        <v>842.0</v>
      </c>
      <c r="N1227" s="15">
        <v>15.0</v>
      </c>
      <c r="O1227" s="16"/>
      <c r="P1227" s="17">
        <v>40357.51881944444</v>
      </c>
      <c r="Q1227" s="13"/>
      <c r="R1227" s="10" t="s">
        <v>5458</v>
      </c>
      <c r="S1227" s="13"/>
      <c r="T1227" s="13"/>
      <c r="U1227" s="18" t="str">
        <f>HYPERLINK("https://pbs.twimg.com/profile_images/1162603091109265410/C8X6ssXv.jpg","View")</f>
        <v>View</v>
      </c>
      <c r="V1227" s="13"/>
      <c r="W1227" s="13"/>
      <c r="X1227" s="13"/>
      <c r="Y1227" s="13"/>
      <c r="Z1227" s="13"/>
    </row>
    <row r="1228">
      <c r="A1228" s="8">
        <v>43848.464594907404</v>
      </c>
      <c r="B1228" s="9" t="str">
        <f>HYPERLINK("https://twitter.com/RtoRorg","@RtoRorg")</f>
        <v>@RtoRorg</v>
      </c>
      <c r="C1228" s="10" t="s">
        <v>5459</v>
      </c>
      <c r="D1228" s="10" t="s">
        <v>5460</v>
      </c>
      <c r="E1228" s="9" t="str">
        <f>HYPERLINK("https://twitter.com/RtoRorg/status/1218565970861666304","1218565970861666304")</f>
        <v>1218565970861666304</v>
      </c>
      <c r="F1228" s="11" t="s">
        <v>5461</v>
      </c>
      <c r="G1228" s="11" t="s">
        <v>5462</v>
      </c>
      <c r="H1228" s="13"/>
      <c r="I1228" s="14">
        <v>0.0</v>
      </c>
      <c r="J1228" s="14">
        <v>0.0</v>
      </c>
      <c r="K1228" s="9" t="str">
        <f>HYPERLINK("https://buffer.com","Buffer")</f>
        <v>Buffer</v>
      </c>
      <c r="L1228" s="15">
        <v>2633.0</v>
      </c>
      <c r="M1228" s="15">
        <v>2497.0</v>
      </c>
      <c r="N1228" s="15">
        <v>132.0</v>
      </c>
      <c r="O1228" s="16"/>
      <c r="P1228" s="17">
        <v>41821.44054398148</v>
      </c>
      <c r="Q1228" s="13"/>
      <c r="R1228" s="10" t="s">
        <v>5463</v>
      </c>
      <c r="S1228" s="11" t="s">
        <v>5464</v>
      </c>
      <c r="T1228" s="13"/>
      <c r="U1228" s="18" t="str">
        <f>HYPERLINK("https://pbs.twimg.com/profile_images/484069537285804032/E8khw6-I.jpeg","View")</f>
        <v>View</v>
      </c>
      <c r="V1228" s="13"/>
      <c r="W1228" s="13"/>
      <c r="X1228" s="13"/>
      <c r="Y1228" s="13"/>
      <c r="Z1228" s="13"/>
    </row>
    <row r="1229">
      <c r="A1229" s="8">
        <v>43848.46417824074</v>
      </c>
      <c r="B1229" s="9" t="str">
        <f>HYPERLINK("https://twitter.com/ladytereska","@ladytereska")</f>
        <v>@ladytereska</v>
      </c>
      <c r="C1229" s="10" t="s">
        <v>5465</v>
      </c>
      <c r="D1229" s="10" t="s">
        <v>5466</v>
      </c>
      <c r="E1229" s="9" t="str">
        <f>HYPERLINK("https://twitter.com/ladytereska/status/1218565817169780737","1218565817169780737")</f>
        <v>1218565817169780737</v>
      </c>
      <c r="F1229" s="13"/>
      <c r="G1229" s="11" t="s">
        <v>5467</v>
      </c>
      <c r="H1229" s="13"/>
      <c r="I1229" s="14">
        <v>1.0</v>
      </c>
      <c r="J1229" s="14">
        <v>21.0</v>
      </c>
      <c r="K1229" s="9" t="str">
        <f>HYPERLINK("http://twitter.com/download/iphone","Twitter for iPhone")</f>
        <v>Twitter for iPhone</v>
      </c>
      <c r="L1229" s="15">
        <v>1015.0</v>
      </c>
      <c r="M1229" s="15">
        <v>360.0</v>
      </c>
      <c r="N1229" s="15">
        <v>11.0</v>
      </c>
      <c r="O1229" s="16"/>
      <c r="P1229" s="17">
        <v>40399.725439814814</v>
      </c>
      <c r="Q1229" s="13"/>
      <c r="R1229" s="10" t="s">
        <v>5468</v>
      </c>
      <c r="S1229" s="13"/>
      <c r="T1229" s="13"/>
      <c r="U1229" s="18" t="str">
        <f>HYPERLINK("https://pbs.twimg.com/profile_images/1056853578583891968/cD50Qd5F.jpg","View")</f>
        <v>View</v>
      </c>
      <c r="V1229" s="13"/>
      <c r="W1229" s="13"/>
      <c r="X1229" s="13"/>
      <c r="Y1229" s="13"/>
      <c r="Z1229" s="13"/>
    </row>
    <row r="1230">
      <c r="A1230" s="8">
        <v>43848.464097222226</v>
      </c>
      <c r="B1230" s="9" t="str">
        <f>HYPERLINK("https://twitter.com/mhanorthshore","@mhanorthshore")</f>
        <v>@mhanorthshore</v>
      </c>
      <c r="C1230" s="10" t="s">
        <v>3158</v>
      </c>
      <c r="D1230" s="10" t="s">
        <v>5469</v>
      </c>
      <c r="E1230" s="9" t="str">
        <f>HYPERLINK("https://twitter.com/mhanorthshore/status/1218565786681389057","1218565786681389057")</f>
        <v>1218565786681389057</v>
      </c>
      <c r="F1230" s="10" t="s">
        <v>5470</v>
      </c>
      <c r="G1230" s="13"/>
      <c r="H1230" s="13"/>
      <c r="I1230" s="14">
        <v>0.0</v>
      </c>
      <c r="J1230" s="14">
        <v>0.0</v>
      </c>
      <c r="K1230" s="9" t="str">
        <f>HYPERLINK("https://mobile.twitter.com","Twitter Web App")</f>
        <v>Twitter Web App</v>
      </c>
      <c r="L1230" s="15">
        <v>275.0</v>
      </c>
      <c r="M1230" s="15">
        <v>332.0</v>
      </c>
      <c r="N1230" s="15">
        <v>15.0</v>
      </c>
      <c r="O1230" s="16"/>
      <c r="P1230" s="17">
        <v>42702.43809027778</v>
      </c>
      <c r="Q1230" s="10" t="s">
        <v>3162</v>
      </c>
      <c r="R1230" s="10" t="s">
        <v>3163</v>
      </c>
      <c r="S1230" s="11" t="s">
        <v>3164</v>
      </c>
      <c r="T1230" s="13"/>
      <c r="U1230" s="18" t="str">
        <f>HYPERLINK("https://pbs.twimg.com/profile_images/803260862869798913/rVdlPE-m.jpg","View")</f>
        <v>View</v>
      </c>
      <c r="V1230" s="13"/>
      <c r="W1230" s="13"/>
      <c r="X1230" s="13"/>
      <c r="Y1230" s="13"/>
      <c r="Z1230" s="13"/>
    </row>
    <row r="1231">
      <c r="A1231" s="8">
        <v>43848.46359953703</v>
      </c>
      <c r="B1231" s="9" t="str">
        <f>HYPERLINK("https://twitter.com/Alshepmcr","@Alshepmcr")</f>
        <v>@Alshepmcr</v>
      </c>
      <c r="C1231" s="10" t="s">
        <v>5471</v>
      </c>
      <c r="D1231" s="10" t="s">
        <v>5472</v>
      </c>
      <c r="E1231" s="9" t="str">
        <f>HYPERLINK("https://twitter.com/Alshepmcr/status/1218565609652400130","1218565609652400130")</f>
        <v>1218565609652400130</v>
      </c>
      <c r="F1231" s="13"/>
      <c r="G1231" s="11" t="s">
        <v>5473</v>
      </c>
      <c r="H1231" s="13"/>
      <c r="I1231" s="14">
        <v>4.0</v>
      </c>
      <c r="J1231" s="14">
        <v>14.0</v>
      </c>
      <c r="K1231" s="9" t="str">
        <f>HYPERLINK("http://twitter.com/download/iphone","Twitter for iPhone")</f>
        <v>Twitter for iPhone</v>
      </c>
      <c r="L1231" s="15">
        <v>2485.0</v>
      </c>
      <c r="M1231" s="15">
        <v>4642.0</v>
      </c>
      <c r="N1231" s="15">
        <v>29.0</v>
      </c>
      <c r="O1231" s="16"/>
      <c r="P1231" s="17">
        <v>41341.60810185185</v>
      </c>
      <c r="Q1231" s="10" t="s">
        <v>5474</v>
      </c>
      <c r="R1231" s="10" t="s">
        <v>5475</v>
      </c>
      <c r="S1231" s="13"/>
      <c r="T1231" s="13"/>
      <c r="U1231" s="18" t="str">
        <f>HYPERLINK("https://pbs.twimg.com/profile_images/3354480200/4e7c6a3ad50b65d6c3611c68a8db09af.jpeg","View")</f>
        <v>View</v>
      </c>
      <c r="V1231" s="13"/>
      <c r="W1231" s="13"/>
      <c r="X1231" s="13"/>
      <c r="Y1231" s="13"/>
      <c r="Z1231" s="13"/>
    </row>
    <row r="1232">
      <c r="A1232" s="8">
        <v>43848.463483796295</v>
      </c>
      <c r="B1232" s="9" t="str">
        <f>HYPERLINK("https://twitter.com/killman_alicia","@killman_alicia")</f>
        <v>@killman_alicia</v>
      </c>
      <c r="C1232" s="10" t="s">
        <v>5476</v>
      </c>
      <c r="D1232" s="10" t="s">
        <v>5477</v>
      </c>
      <c r="E1232" s="9" t="str">
        <f>HYPERLINK("https://twitter.com/killman_alicia/status/1218565564261707778","1218565564261707778")</f>
        <v>1218565564261707778</v>
      </c>
      <c r="F1232" s="13"/>
      <c r="G1232" s="11" t="s">
        <v>5478</v>
      </c>
      <c r="H1232" s="13"/>
      <c r="I1232" s="14">
        <v>0.0</v>
      </c>
      <c r="J1232" s="14">
        <v>1.0</v>
      </c>
      <c r="K1232" s="9" t="str">
        <f>HYPERLINK("http://twitter.com/download/android","Twitter for Android")</f>
        <v>Twitter for Android</v>
      </c>
      <c r="L1232" s="15">
        <v>171.0</v>
      </c>
      <c r="M1232" s="15">
        <v>549.0</v>
      </c>
      <c r="N1232" s="15">
        <v>4.0</v>
      </c>
      <c r="O1232" s="16"/>
      <c r="P1232" s="17">
        <v>41381.71212962963</v>
      </c>
      <c r="Q1232" s="10" t="s">
        <v>5479</v>
      </c>
      <c r="R1232" s="10" t="s">
        <v>5480</v>
      </c>
      <c r="S1232" s="13"/>
      <c r="T1232" s="13"/>
      <c r="U1232" s="18" t="str">
        <f>HYPERLINK("https://pbs.twimg.com/profile_images/1198649696954269698/8s4okUv8.jpg","View")</f>
        <v>View</v>
      </c>
      <c r="V1232" s="13"/>
      <c r="W1232" s="13"/>
      <c r="X1232" s="13"/>
      <c r="Y1232" s="13"/>
      <c r="Z1232" s="13"/>
    </row>
    <row r="1233">
      <c r="A1233" s="8">
        <v>43848.463379629626</v>
      </c>
      <c r="B1233" s="9" t="str">
        <f>HYPERLINK("https://twitter.com/mhanorthshore","@mhanorthshore")</f>
        <v>@mhanorthshore</v>
      </c>
      <c r="C1233" s="10" t="s">
        <v>3158</v>
      </c>
      <c r="D1233" s="10" t="s">
        <v>5481</v>
      </c>
      <c r="E1233" s="9" t="str">
        <f>HYPERLINK("https://twitter.com/mhanorthshore/status/1218565529469845504","1218565529469845504")</f>
        <v>1218565529469845504</v>
      </c>
      <c r="F1233" s="10" t="s">
        <v>5482</v>
      </c>
      <c r="G1233" s="13"/>
      <c r="H1233" s="13"/>
      <c r="I1233" s="14">
        <v>0.0</v>
      </c>
      <c r="J1233" s="14">
        <v>1.0</v>
      </c>
      <c r="K1233" s="9" t="str">
        <f>HYPERLINK("https://mobile.twitter.com","Twitter Web App")</f>
        <v>Twitter Web App</v>
      </c>
      <c r="L1233" s="15">
        <v>275.0</v>
      </c>
      <c r="M1233" s="15">
        <v>332.0</v>
      </c>
      <c r="N1233" s="15">
        <v>15.0</v>
      </c>
      <c r="O1233" s="16"/>
      <c r="P1233" s="17">
        <v>42702.43809027778</v>
      </c>
      <c r="Q1233" s="10" t="s">
        <v>3162</v>
      </c>
      <c r="R1233" s="10" t="s">
        <v>3163</v>
      </c>
      <c r="S1233" s="11" t="s">
        <v>3164</v>
      </c>
      <c r="T1233" s="13"/>
      <c r="U1233" s="18" t="str">
        <f>HYPERLINK("https://pbs.twimg.com/profile_images/803260862869798913/rVdlPE-m.jpg","View")</f>
        <v>View</v>
      </c>
      <c r="V1233" s="13"/>
      <c r="W1233" s="13"/>
      <c r="X1233" s="13"/>
      <c r="Y1233" s="13"/>
      <c r="Z1233" s="13"/>
    </row>
    <row r="1234">
      <c r="A1234" s="8">
        <v>43848.463275462964</v>
      </c>
      <c r="B1234" s="9" t="str">
        <f>HYPERLINK("https://twitter.com/dtrtoronto","@dtrtoronto")</f>
        <v>@dtrtoronto</v>
      </c>
      <c r="C1234" s="10" t="s">
        <v>5483</v>
      </c>
      <c r="D1234" s="10" t="s">
        <v>5484</v>
      </c>
      <c r="E1234" s="9" t="str">
        <f>HYPERLINK("https://twitter.com/dtrtoronto/status/1218565489183678465","1218565489183678465")</f>
        <v>1218565489183678465</v>
      </c>
      <c r="F1234" s="11" t="s">
        <v>5485</v>
      </c>
      <c r="G1234" s="13"/>
      <c r="H1234" s="13"/>
      <c r="I1234" s="14">
        <v>0.0</v>
      </c>
      <c r="J1234" s="14">
        <v>1.0</v>
      </c>
      <c r="K1234" s="9" t="str">
        <f>HYPERLINK("http://twitter.com","Twitter Web Client")</f>
        <v>Twitter Web Client</v>
      </c>
      <c r="L1234" s="15">
        <v>972.0</v>
      </c>
      <c r="M1234" s="15">
        <v>2577.0</v>
      </c>
      <c r="N1234" s="15">
        <v>30.0</v>
      </c>
      <c r="O1234" s="16"/>
      <c r="P1234" s="17">
        <v>41159.41704861111</v>
      </c>
      <c r="Q1234" s="10" t="s">
        <v>474</v>
      </c>
      <c r="R1234" s="10" t="s">
        <v>5486</v>
      </c>
      <c r="S1234" s="13"/>
      <c r="T1234" s="13"/>
      <c r="U1234" s="18" t="str">
        <f>HYPERLINK("https://pbs.twimg.com/profile_images/1217280818596499456/T2Ze9R8t.jpg","View")</f>
        <v>View</v>
      </c>
      <c r="V1234" s="13"/>
      <c r="W1234" s="13"/>
      <c r="X1234" s="13"/>
      <c r="Y1234" s="13"/>
      <c r="Z1234" s="13"/>
    </row>
    <row r="1235">
      <c r="A1235" s="8">
        <v>43848.46326388889</v>
      </c>
      <c r="B1235" s="9" t="str">
        <f>HYPERLINK("https://twitter.com/g_balesh","@g_balesh")</f>
        <v>@g_balesh</v>
      </c>
      <c r="C1235" s="10" t="s">
        <v>5058</v>
      </c>
      <c r="D1235" s="10" t="s">
        <v>2354</v>
      </c>
      <c r="E1235" s="9" t="str">
        <f>HYPERLINK("https://twitter.com/g_balesh/status/1218565485341618176","1218565485341618176")</f>
        <v>1218565485341618176</v>
      </c>
      <c r="F1235" s="13"/>
      <c r="G1235" s="11" t="s">
        <v>5487</v>
      </c>
      <c r="H1235" s="13"/>
      <c r="I1235" s="14">
        <v>0.0</v>
      </c>
      <c r="J1235" s="14">
        <v>0.0</v>
      </c>
      <c r="K1235" s="9" t="str">
        <f>HYPERLINK("https://crowdfireapp.com","Crowdfire App")</f>
        <v>Crowdfire App</v>
      </c>
      <c r="L1235" s="15">
        <v>281.0</v>
      </c>
      <c r="M1235" s="15">
        <v>689.0</v>
      </c>
      <c r="N1235" s="15">
        <v>3.0</v>
      </c>
      <c r="O1235" s="16"/>
      <c r="P1235" s="17">
        <v>40831.670428240745</v>
      </c>
      <c r="Q1235" s="10" t="s">
        <v>5060</v>
      </c>
      <c r="R1235" s="13"/>
      <c r="S1235" s="11" t="s">
        <v>5061</v>
      </c>
      <c r="T1235" s="13"/>
      <c r="U1235" s="18" t="str">
        <f>HYPERLINK("https://pbs.twimg.com/profile_images/597657796008513536/X4k5BQeN.jpg","View")</f>
        <v>View</v>
      </c>
      <c r="V1235" s="13"/>
      <c r="W1235" s="13"/>
      <c r="X1235" s="13"/>
      <c r="Y1235" s="13"/>
      <c r="Z1235" s="13"/>
    </row>
    <row r="1236">
      <c r="A1236" s="8">
        <v>43848.46289351852</v>
      </c>
      <c r="B1236" s="9" t="str">
        <f>HYPERLINK("https://twitter.com/theangelinthed2","@theangelinthed2")</f>
        <v>@theangelinthed2</v>
      </c>
      <c r="C1236" s="10" t="s">
        <v>5488</v>
      </c>
      <c r="D1236" s="10" t="s">
        <v>5489</v>
      </c>
      <c r="E1236" s="9" t="str">
        <f>HYPERLINK("https://twitter.com/theangelinthed2/status/1218565351149113346","1218565351149113346")</f>
        <v>1218565351149113346</v>
      </c>
      <c r="F1236" s="13"/>
      <c r="G1236" s="11" t="s">
        <v>5490</v>
      </c>
      <c r="H1236" s="13"/>
      <c r="I1236" s="14">
        <v>0.0</v>
      </c>
      <c r="J1236" s="14">
        <v>0.0</v>
      </c>
      <c r="K1236" s="9" t="str">
        <f>HYPERLINK("http://twitter.com/download/iphone","Twitter for iPhone")</f>
        <v>Twitter for iPhone</v>
      </c>
      <c r="L1236" s="15">
        <v>1179.0</v>
      </c>
      <c r="M1236" s="15">
        <v>1169.0</v>
      </c>
      <c r="N1236" s="15">
        <v>10.0</v>
      </c>
      <c r="O1236" s="16"/>
      <c r="P1236" s="17">
        <v>43260.84886574074</v>
      </c>
      <c r="Q1236" s="13"/>
      <c r="R1236" s="10" t="s">
        <v>5491</v>
      </c>
      <c r="S1236" s="11" t="s">
        <v>5492</v>
      </c>
      <c r="T1236" s="13"/>
      <c r="U1236" s="18" t="str">
        <f>HYPERLINK("https://pbs.twimg.com/profile_images/1159257500937543680/oJ82S5aa.jpg","View")</f>
        <v>View</v>
      </c>
      <c r="V1236" s="13"/>
      <c r="W1236" s="13"/>
      <c r="X1236" s="13"/>
      <c r="Y1236" s="13"/>
      <c r="Z1236" s="13"/>
    </row>
    <row r="1237">
      <c r="A1237" s="8">
        <v>43848.46282407407</v>
      </c>
      <c r="B1237" s="9" t="str">
        <f>HYPERLINK("https://twitter.com/sagacyte","@sagacyte")</f>
        <v>@sagacyte</v>
      </c>
      <c r="C1237" s="10" t="s">
        <v>5493</v>
      </c>
      <c r="D1237" s="10" t="s">
        <v>5494</v>
      </c>
      <c r="E1237" s="9" t="str">
        <f>HYPERLINK("https://twitter.com/sagacyte/status/1218565325177921539","1218565325177921539")</f>
        <v>1218565325177921539</v>
      </c>
      <c r="F1237" s="11" t="s">
        <v>5495</v>
      </c>
      <c r="G1237" s="11" t="s">
        <v>5496</v>
      </c>
      <c r="H1237" s="13"/>
      <c r="I1237" s="14">
        <v>0.0</v>
      </c>
      <c r="J1237" s="14">
        <v>0.0</v>
      </c>
      <c r="K1237" s="9" t="str">
        <f>HYPERLINK("http://twitter.com/download/android","Twitter for Android")</f>
        <v>Twitter for Android</v>
      </c>
      <c r="L1237" s="15">
        <v>1075.0</v>
      </c>
      <c r="M1237" s="15">
        <v>430.0</v>
      </c>
      <c r="N1237" s="15">
        <v>34.0</v>
      </c>
      <c r="O1237" s="16"/>
      <c r="P1237" s="17">
        <v>41437.64806712963</v>
      </c>
      <c r="Q1237" s="10" t="s">
        <v>5497</v>
      </c>
      <c r="R1237" s="10" t="s">
        <v>5498</v>
      </c>
      <c r="S1237" s="13"/>
      <c r="T1237" s="13"/>
      <c r="U1237" s="18" t="str">
        <f>HYPERLINK("https://pbs.twimg.com/profile_images/1216819279947059202/4xwk4J1Z.jpg","View")</f>
        <v>View</v>
      </c>
      <c r="V1237" s="13"/>
      <c r="W1237" s="13"/>
      <c r="X1237" s="13"/>
      <c r="Y1237" s="13"/>
      <c r="Z1237" s="13"/>
    </row>
    <row r="1238">
      <c r="A1238" s="8">
        <v>43848.4628125</v>
      </c>
      <c r="B1238" s="9" t="str">
        <f>HYPERLINK("https://twitter.com/CrownedDaemon","@CrownedDaemon")</f>
        <v>@CrownedDaemon</v>
      </c>
      <c r="C1238" s="10" t="s">
        <v>5499</v>
      </c>
      <c r="D1238" s="10" t="s">
        <v>5500</v>
      </c>
      <c r="E1238" s="9" t="str">
        <f>HYPERLINK("https://twitter.com/CrownedDaemon/status/1218565321046614016","1218565321046614016")</f>
        <v>1218565321046614016</v>
      </c>
      <c r="F1238" s="11" t="s">
        <v>5501</v>
      </c>
      <c r="G1238" s="11" t="s">
        <v>5502</v>
      </c>
      <c r="H1238" s="13"/>
      <c r="I1238" s="14">
        <v>9.0</v>
      </c>
      <c r="J1238" s="14">
        <v>12.0</v>
      </c>
      <c r="K1238" s="9" t="str">
        <f>HYPERLINK("https://mobile.twitter.com","Twitter Web App")</f>
        <v>Twitter Web App</v>
      </c>
      <c r="L1238" s="15">
        <v>296.0</v>
      </c>
      <c r="M1238" s="15">
        <v>14.0</v>
      </c>
      <c r="N1238" s="15">
        <v>22.0</v>
      </c>
      <c r="O1238" s="16"/>
      <c r="P1238" s="17">
        <v>41672.64210648148</v>
      </c>
      <c r="Q1238" s="10" t="s">
        <v>5503</v>
      </c>
      <c r="R1238" s="10" t="s">
        <v>5504</v>
      </c>
      <c r="S1238" s="11" t="s">
        <v>5505</v>
      </c>
      <c r="T1238" s="13"/>
      <c r="U1238" s="18" t="str">
        <f>HYPERLINK("https://pbs.twimg.com/profile_images/444252564393971712/0wnl_BV2.png","View")</f>
        <v>View</v>
      </c>
      <c r="V1238" s="13"/>
      <c r="W1238" s="13"/>
      <c r="X1238" s="13"/>
      <c r="Y1238" s="13"/>
      <c r="Z1238" s="13"/>
    </row>
    <row r="1239">
      <c r="A1239" s="8">
        <v>43848.4627662037</v>
      </c>
      <c r="B1239" s="9" t="str">
        <f>HYPERLINK("https://twitter.com/AimAttitude","@AimAttitude")</f>
        <v>@AimAttitude</v>
      </c>
      <c r="C1239" s="10" t="s">
        <v>5506</v>
      </c>
      <c r="D1239" s="10" t="s">
        <v>5507</v>
      </c>
      <c r="E1239" s="9" t="str">
        <f>HYPERLINK("https://twitter.com/AimAttitude/status/1218565307280678913","1218565307280678913")</f>
        <v>1218565307280678913</v>
      </c>
      <c r="F1239" s="13"/>
      <c r="G1239" s="11" t="s">
        <v>5508</v>
      </c>
      <c r="H1239" s="13"/>
      <c r="I1239" s="14">
        <v>0.0</v>
      </c>
      <c r="J1239" s="14">
        <v>2.0</v>
      </c>
      <c r="K1239" s="9" t="str">
        <f t="shared" ref="K1239:K1240" si="141">HYPERLINK("http://twitter.com/download/iphone","Twitter for iPhone")</f>
        <v>Twitter for iPhone</v>
      </c>
      <c r="L1239" s="15">
        <v>4875.0</v>
      </c>
      <c r="M1239" s="15">
        <v>7663.0</v>
      </c>
      <c r="N1239" s="15">
        <v>15.0</v>
      </c>
      <c r="O1239" s="16"/>
      <c r="P1239" s="17">
        <v>41184.683287037034</v>
      </c>
      <c r="Q1239" s="10" t="s">
        <v>5509</v>
      </c>
      <c r="R1239" s="10" t="s">
        <v>5510</v>
      </c>
      <c r="S1239" s="11" t="s">
        <v>5511</v>
      </c>
      <c r="T1239" s="13"/>
      <c r="U1239" s="18" t="str">
        <f>HYPERLINK("https://pbs.twimg.com/profile_images/878584646639865857/VhGyKNQz.jpg","View")</f>
        <v>View</v>
      </c>
      <c r="V1239" s="13"/>
      <c r="W1239" s="13"/>
      <c r="X1239" s="13"/>
      <c r="Y1239" s="13"/>
      <c r="Z1239" s="13"/>
    </row>
    <row r="1240">
      <c r="A1240" s="8">
        <v>43848.46252314815</v>
      </c>
      <c r="B1240" s="9" t="str">
        <f>HYPERLINK("https://twitter.com/mentalhealth57","@mentalhealth57")</f>
        <v>@mentalhealth57</v>
      </c>
      <c r="C1240" s="10" t="s">
        <v>795</v>
      </c>
      <c r="D1240" s="10" t="s">
        <v>5512</v>
      </c>
      <c r="E1240" s="9" t="str">
        <f>HYPERLINK("https://twitter.com/mentalhealth57/status/1218565218718158848","1218565218718158848")</f>
        <v>1218565218718158848</v>
      </c>
      <c r="F1240" s="10" t="s">
        <v>5513</v>
      </c>
      <c r="G1240" s="13"/>
      <c r="H1240" s="13"/>
      <c r="I1240" s="14">
        <v>5.0</v>
      </c>
      <c r="J1240" s="14">
        <v>14.0</v>
      </c>
      <c r="K1240" s="9" t="str">
        <f t="shared" si="141"/>
        <v>Twitter for iPhone</v>
      </c>
      <c r="L1240" s="15">
        <v>574.0</v>
      </c>
      <c r="M1240" s="15">
        <v>662.0</v>
      </c>
      <c r="N1240" s="15">
        <v>1.0</v>
      </c>
      <c r="O1240" s="16"/>
      <c r="P1240" s="17">
        <v>43778.54798611111</v>
      </c>
      <c r="Q1240" s="13"/>
      <c r="R1240" s="10" t="s">
        <v>798</v>
      </c>
      <c r="S1240" s="13"/>
      <c r="T1240" s="13"/>
      <c r="U1240" s="18" t="str">
        <f>HYPERLINK("https://pbs.twimg.com/profile_images/1206581434682630144/yJrWPoVb.jpg","View")</f>
        <v>View</v>
      </c>
      <c r="V1240" s="13"/>
      <c r="W1240" s="13"/>
      <c r="X1240" s="13"/>
      <c r="Y1240" s="13"/>
      <c r="Z1240" s="13"/>
    </row>
    <row r="1241">
      <c r="A1241" s="8">
        <v>43848.46233796296</v>
      </c>
      <c r="B1241" s="9" t="str">
        <f>HYPERLINK("https://twitter.com/DanielleBoose","@DanielleBoose")</f>
        <v>@DanielleBoose</v>
      </c>
      <c r="C1241" s="10" t="s">
        <v>5514</v>
      </c>
      <c r="D1241" s="10" t="s">
        <v>5515</v>
      </c>
      <c r="E1241" s="9" t="str">
        <f>HYPERLINK("https://twitter.com/DanielleBoose/status/1218565150384513025","1218565150384513025")</f>
        <v>1218565150384513025</v>
      </c>
      <c r="F1241" s="11" t="s">
        <v>5516</v>
      </c>
      <c r="G1241" s="13"/>
      <c r="H1241" s="13"/>
      <c r="I1241" s="14">
        <v>0.0</v>
      </c>
      <c r="J1241" s="14">
        <v>0.0</v>
      </c>
      <c r="K1241" s="9" t="str">
        <f>HYPERLINK("http://www.facebook.com/twitter","Facebook")</f>
        <v>Facebook</v>
      </c>
      <c r="L1241" s="15">
        <v>1319.0</v>
      </c>
      <c r="M1241" s="15">
        <v>1408.0</v>
      </c>
      <c r="N1241" s="15">
        <v>105.0</v>
      </c>
      <c r="O1241" s="16"/>
      <c r="P1241" s="17">
        <v>42294.01734953704</v>
      </c>
      <c r="Q1241" s="10" t="s">
        <v>5517</v>
      </c>
      <c r="R1241" s="10" t="s">
        <v>5518</v>
      </c>
      <c r="S1241" s="11" t="s">
        <v>5519</v>
      </c>
      <c r="T1241" s="13"/>
      <c r="U1241" s="18" t="str">
        <f>HYPERLINK("https://pbs.twimg.com/profile_images/745645550071123968/b3MLaMha.jpg","View")</f>
        <v>View</v>
      </c>
      <c r="V1241" s="13"/>
      <c r="W1241" s="13"/>
      <c r="X1241" s="13"/>
      <c r="Y1241" s="13"/>
      <c r="Z1241" s="13"/>
    </row>
    <row r="1242">
      <c r="A1242" s="8">
        <v>43848.46233796296</v>
      </c>
      <c r="B1242" s="9" t="str">
        <f>HYPERLINK("https://twitter.com/AngelMagnanimo","@AngelMagnanimo")</f>
        <v>@AngelMagnanimo</v>
      </c>
      <c r="C1242" s="10" t="s">
        <v>5520</v>
      </c>
      <c r="D1242" s="10" t="s">
        <v>5521</v>
      </c>
      <c r="E1242" s="9" t="str">
        <f>HYPERLINK("https://twitter.com/AngelMagnanimo/status/1218565150267056130","1218565150267056130")</f>
        <v>1218565150267056130</v>
      </c>
      <c r="F1242" s="13"/>
      <c r="G1242" s="13"/>
      <c r="H1242" s="13"/>
      <c r="I1242" s="14">
        <v>0.0</v>
      </c>
      <c r="J1242" s="14">
        <v>0.0</v>
      </c>
      <c r="K1242" s="9" t="str">
        <f>HYPERLINK("https://mobile.twitter.com","Twitter Web App")</f>
        <v>Twitter Web App</v>
      </c>
      <c r="L1242" s="15">
        <v>2210.0</v>
      </c>
      <c r="M1242" s="15">
        <v>2015.0</v>
      </c>
      <c r="N1242" s="15">
        <v>32.0</v>
      </c>
      <c r="O1242" s="16"/>
      <c r="P1242" s="17">
        <v>41740.795057870375</v>
      </c>
      <c r="Q1242" s="13"/>
      <c r="R1242" s="10" t="s">
        <v>5522</v>
      </c>
      <c r="S1242" s="13"/>
      <c r="T1242" s="13"/>
      <c r="U1242" s="18" t="str">
        <f>HYPERLINK("https://pbs.twimg.com/profile_images/458261163252654080/CIPCsZEp.jpeg","View")</f>
        <v>View</v>
      </c>
      <c r="V1242" s="13"/>
      <c r="W1242" s="13"/>
      <c r="X1242" s="13"/>
      <c r="Y1242" s="13"/>
      <c r="Z1242" s="13"/>
    </row>
    <row r="1243">
      <c r="A1243" s="8">
        <v>43848.46214120371</v>
      </c>
      <c r="B1243" s="9" t="str">
        <f>HYPERLINK("https://twitter.com/NviewHealth","@NviewHealth")</f>
        <v>@NviewHealth</v>
      </c>
      <c r="C1243" s="10" t="s">
        <v>5523</v>
      </c>
      <c r="D1243" s="10" t="s">
        <v>5524</v>
      </c>
      <c r="E1243" s="9" t="str">
        <f>HYPERLINK("https://twitter.com/NviewHealth/status/1218565080104742916","1218565080104742916")</f>
        <v>1218565080104742916</v>
      </c>
      <c r="F1243" s="11" t="s">
        <v>5525</v>
      </c>
      <c r="G1243" s="13"/>
      <c r="H1243" s="13"/>
      <c r="I1243" s="14">
        <v>2.0</v>
      </c>
      <c r="J1243" s="14">
        <v>1.0</v>
      </c>
      <c r="K1243" s="9" t="str">
        <f>HYPERLINK("http://www.hubspot.com/","HubSpot")</f>
        <v>HubSpot</v>
      </c>
      <c r="L1243" s="15">
        <v>60.0</v>
      </c>
      <c r="M1243" s="15">
        <v>184.0</v>
      </c>
      <c r="N1243" s="15">
        <v>0.0</v>
      </c>
      <c r="O1243" s="16"/>
      <c r="P1243" s="17">
        <v>42665.570625</v>
      </c>
      <c r="Q1243" s="10" t="s">
        <v>5526</v>
      </c>
      <c r="R1243" s="10" t="s">
        <v>5527</v>
      </c>
      <c r="S1243" s="11" t="s">
        <v>5528</v>
      </c>
      <c r="T1243" s="13"/>
      <c r="U1243" s="18" t="str">
        <f>HYPERLINK("https://pbs.twimg.com/profile_images/1207012598459310080/YNLQe7bh.jpg","View")</f>
        <v>View</v>
      </c>
      <c r="V1243" s="13"/>
      <c r="W1243" s="13"/>
      <c r="X1243" s="13"/>
      <c r="Y1243" s="13"/>
      <c r="Z1243" s="13"/>
    </row>
    <row r="1244">
      <c r="A1244" s="8">
        <v>43848.46184027778</v>
      </c>
      <c r="B1244" s="9" t="str">
        <f>HYPERLINK("https://twitter.com/MGHClayCenter","@MGHClayCenter")</f>
        <v>@MGHClayCenter</v>
      </c>
      <c r="C1244" s="10" t="s">
        <v>1876</v>
      </c>
      <c r="D1244" s="10" t="s">
        <v>5529</v>
      </c>
      <c r="E1244" s="9" t="str">
        <f>HYPERLINK("https://twitter.com/MGHClayCenter/status/1218564970549600256","1218564970549600256")</f>
        <v>1218564970549600256</v>
      </c>
      <c r="F1244" s="11" t="s">
        <v>5530</v>
      </c>
      <c r="G1244" s="13"/>
      <c r="H1244" s="13"/>
      <c r="I1244" s="14">
        <v>0.0</v>
      </c>
      <c r="J1244" s="14">
        <v>0.0</v>
      </c>
      <c r="K1244" s="9" t="str">
        <f>HYPERLINK("https://www.hootsuite.com","Hootsuite Inc.")</f>
        <v>Hootsuite Inc.</v>
      </c>
      <c r="L1244" s="15">
        <v>2095.0</v>
      </c>
      <c r="M1244" s="15">
        <v>1623.0</v>
      </c>
      <c r="N1244" s="15">
        <v>95.0</v>
      </c>
      <c r="O1244" s="16"/>
      <c r="P1244" s="17">
        <v>41522.70261574074</v>
      </c>
      <c r="Q1244" s="10" t="s">
        <v>251</v>
      </c>
      <c r="R1244" s="10" t="s">
        <v>1879</v>
      </c>
      <c r="S1244" s="13"/>
      <c r="T1244" s="13"/>
      <c r="U1244" s="18" t="str">
        <f>HYPERLINK("https://pbs.twimg.com/profile_images/1134789340779962368/qntYMNiw.jpg","View")</f>
        <v>View</v>
      </c>
      <c r="V1244" s="13"/>
      <c r="W1244" s="13"/>
      <c r="X1244" s="13"/>
      <c r="Y1244" s="13"/>
      <c r="Z1244" s="13"/>
    </row>
    <row r="1245">
      <c r="A1245" s="8">
        <v>43848.46145833333</v>
      </c>
      <c r="B1245" s="9" t="str">
        <f>HYPERLINK("https://twitter.com/channy_bird","@channy_bird")</f>
        <v>@channy_bird</v>
      </c>
      <c r="C1245" s="10" t="s">
        <v>5273</v>
      </c>
      <c r="D1245" s="10" t="s">
        <v>5531</v>
      </c>
      <c r="E1245" s="9" t="str">
        <f>HYPERLINK("https://twitter.com/channy_bird/status/1218564830472306688","1218564830472306688")</f>
        <v>1218564830472306688</v>
      </c>
      <c r="F1245" s="11" t="s">
        <v>5532</v>
      </c>
      <c r="G1245" s="13"/>
      <c r="H1245" s="13"/>
      <c r="I1245" s="14">
        <v>0.0</v>
      </c>
      <c r="J1245" s="14">
        <v>4.0</v>
      </c>
      <c r="K1245" s="9" t="str">
        <f>HYPERLINK("http://twitter.com/download/iphone","Twitter for iPhone")</f>
        <v>Twitter for iPhone</v>
      </c>
      <c r="L1245" s="15">
        <v>561.0</v>
      </c>
      <c r="M1245" s="15">
        <v>1485.0</v>
      </c>
      <c r="N1245" s="15">
        <v>3.0</v>
      </c>
      <c r="O1245" s="16"/>
      <c r="P1245" s="17">
        <v>39983.395902777775</v>
      </c>
      <c r="Q1245" s="10" t="s">
        <v>5276</v>
      </c>
      <c r="R1245" s="10" t="s">
        <v>5277</v>
      </c>
      <c r="S1245" s="11" t="s">
        <v>5278</v>
      </c>
      <c r="T1245" s="13"/>
      <c r="U1245" s="18" t="str">
        <f>HYPERLINK("https://pbs.twimg.com/profile_images/1204896112064241671/EFRTRaDN.jpg","View")</f>
        <v>View</v>
      </c>
      <c r="V1245" s="13"/>
      <c r="W1245" s="13"/>
      <c r="X1245" s="13"/>
      <c r="Y1245" s="13"/>
      <c r="Z1245" s="13"/>
    </row>
    <row r="1246">
      <c r="A1246" s="8">
        <v>43848.461122685185</v>
      </c>
      <c r="B1246" s="9" t="str">
        <f>HYPERLINK("https://twitter.com/opheacanada","@opheacanada")</f>
        <v>@opheacanada</v>
      </c>
      <c r="C1246" s="10" t="s">
        <v>5533</v>
      </c>
      <c r="D1246" s="10" t="s">
        <v>5534</v>
      </c>
      <c r="E1246" s="9" t="str">
        <f>HYPERLINK("https://twitter.com/opheacanada/status/1218564709676408832","1218564709676408832")</f>
        <v>1218564709676408832</v>
      </c>
      <c r="F1246" s="11" t="s">
        <v>5535</v>
      </c>
      <c r="G1246" s="13"/>
      <c r="H1246" s="13"/>
      <c r="I1246" s="14">
        <v>0.0</v>
      </c>
      <c r="J1246" s="14">
        <v>0.0</v>
      </c>
      <c r="K1246" s="9" t="str">
        <f>HYPERLINK("https://sproutsocial.com","Sprout Social")</f>
        <v>Sprout Social</v>
      </c>
      <c r="L1246" s="15">
        <v>14372.0</v>
      </c>
      <c r="M1246" s="15">
        <v>5313.0</v>
      </c>
      <c r="N1246" s="15">
        <v>232.0</v>
      </c>
      <c r="O1246" s="16"/>
      <c r="P1246" s="17">
        <v>40567.71055555555</v>
      </c>
      <c r="Q1246" s="10" t="s">
        <v>91</v>
      </c>
      <c r="R1246" s="10" t="s">
        <v>5536</v>
      </c>
      <c r="S1246" s="11" t="s">
        <v>5537</v>
      </c>
      <c r="T1246" s="13"/>
      <c r="U1246" s="18" t="str">
        <f>HYPERLINK("https://pbs.twimg.com/profile_images/1146086041922809862/IntDbzLC.jpg","View")</f>
        <v>View</v>
      </c>
      <c r="V1246" s="13"/>
      <c r="W1246" s="13"/>
      <c r="X1246" s="13"/>
      <c r="Y1246" s="13"/>
      <c r="Z1246" s="13"/>
    </row>
    <row r="1247">
      <c r="A1247" s="8">
        <v>43848.460868055554</v>
      </c>
      <c r="B1247" s="9" t="str">
        <f>HYPERLINK("https://twitter.com/UnjuliWrites","@UnjuliWrites")</f>
        <v>@UnjuliWrites</v>
      </c>
      <c r="C1247" s="10" t="s">
        <v>5538</v>
      </c>
      <c r="D1247" s="10" t="s">
        <v>5539</v>
      </c>
      <c r="E1247" s="9" t="str">
        <f>HYPERLINK("https://twitter.com/UnjuliWrites/status/1218564618978594816","1218564618978594816")</f>
        <v>1218564618978594816</v>
      </c>
      <c r="F1247" s="13"/>
      <c r="G1247" s="13"/>
      <c r="H1247" s="13"/>
      <c r="I1247" s="14">
        <v>0.0</v>
      </c>
      <c r="J1247" s="14">
        <v>3.0</v>
      </c>
      <c r="K1247" s="9" t="str">
        <f t="shared" ref="K1247:K1249" si="142">HYPERLINK("http://twitter.com/download/android","Twitter for Android")</f>
        <v>Twitter for Android</v>
      </c>
      <c r="L1247" s="15">
        <v>277.0</v>
      </c>
      <c r="M1247" s="15">
        <v>705.0</v>
      </c>
      <c r="N1247" s="15">
        <v>3.0</v>
      </c>
      <c r="O1247" s="16"/>
      <c r="P1247" s="17">
        <v>41748.92945601852</v>
      </c>
      <c r="Q1247" s="10" t="s">
        <v>2881</v>
      </c>
      <c r="R1247" s="10" t="s">
        <v>5540</v>
      </c>
      <c r="S1247" s="11" t="s">
        <v>5541</v>
      </c>
      <c r="T1247" s="13"/>
      <c r="U1247" s="18" t="str">
        <f>HYPERLINK("https://pbs.twimg.com/profile_images/1000218033778974720/fa6HOVOx.jpg","View")</f>
        <v>View</v>
      </c>
      <c r="V1247" s="13"/>
      <c r="W1247" s="13"/>
      <c r="X1247" s="13"/>
      <c r="Y1247" s="13"/>
      <c r="Z1247" s="13"/>
    </row>
    <row r="1248">
      <c r="A1248" s="8">
        <v>43848.46008101852</v>
      </c>
      <c r="B1248" s="9" t="str">
        <f>HYPERLINK("https://twitter.com/Dumirocks","@Dumirocks")</f>
        <v>@Dumirocks</v>
      </c>
      <c r="C1248" s="10" t="s">
        <v>5542</v>
      </c>
      <c r="D1248" s="10" t="s">
        <v>238</v>
      </c>
      <c r="E1248" s="9" t="str">
        <f>HYPERLINK("https://twitter.com/Dumirocks/status/1218564331203452929","1218564331203452929")</f>
        <v>1218564331203452929</v>
      </c>
      <c r="F1248" s="13"/>
      <c r="G1248" s="13"/>
      <c r="H1248" s="13"/>
      <c r="I1248" s="14">
        <v>0.0</v>
      </c>
      <c r="J1248" s="14">
        <v>0.0</v>
      </c>
      <c r="K1248" s="9" t="str">
        <f t="shared" si="142"/>
        <v>Twitter for Android</v>
      </c>
      <c r="L1248" s="15">
        <v>944.0</v>
      </c>
      <c r="M1248" s="15">
        <v>834.0</v>
      </c>
      <c r="N1248" s="15">
        <v>21.0</v>
      </c>
      <c r="O1248" s="16"/>
      <c r="P1248" s="17">
        <v>40054.06489583333</v>
      </c>
      <c r="Q1248" s="10" t="s">
        <v>5543</v>
      </c>
      <c r="R1248" s="10" t="s">
        <v>5544</v>
      </c>
      <c r="S1248" s="11" t="s">
        <v>5545</v>
      </c>
      <c r="T1248" s="13"/>
      <c r="U1248" s="18" t="str">
        <f>HYPERLINK("https://pbs.twimg.com/profile_images/653309788433088512/gnYGhT1z.jpg","View")</f>
        <v>View</v>
      </c>
      <c r="V1248" s="13"/>
      <c r="W1248" s="13"/>
      <c r="X1248" s="13"/>
      <c r="Y1248" s="13"/>
      <c r="Z1248" s="13"/>
    </row>
    <row r="1249">
      <c r="A1249" s="8">
        <v>43848.459756944445</v>
      </c>
      <c r="B1249" s="9" t="str">
        <f>HYPERLINK("https://twitter.com/Nursingworld_Ng","@Nursingworld_Ng")</f>
        <v>@Nursingworld_Ng</v>
      </c>
      <c r="C1249" s="10" t="s">
        <v>5546</v>
      </c>
      <c r="D1249" s="10" t="s">
        <v>5547</v>
      </c>
      <c r="E1249" s="9" t="str">
        <f>HYPERLINK("https://twitter.com/Nursingworld_Ng/status/1218564213834223618","1218564213834223618")</f>
        <v>1218564213834223618</v>
      </c>
      <c r="F1249" s="11" t="s">
        <v>5548</v>
      </c>
      <c r="G1249" s="11" t="s">
        <v>5549</v>
      </c>
      <c r="H1249" s="13"/>
      <c r="I1249" s="14">
        <v>1.0</v>
      </c>
      <c r="J1249" s="14">
        <v>5.0</v>
      </c>
      <c r="K1249" s="9" t="str">
        <f t="shared" si="142"/>
        <v>Twitter for Android</v>
      </c>
      <c r="L1249" s="15">
        <v>9294.0</v>
      </c>
      <c r="M1249" s="15">
        <v>1597.0</v>
      </c>
      <c r="N1249" s="15">
        <v>72.0</v>
      </c>
      <c r="O1249" s="16"/>
      <c r="P1249" s="17">
        <v>40936.251238425924</v>
      </c>
      <c r="Q1249" s="10" t="s">
        <v>3593</v>
      </c>
      <c r="R1249" s="10" t="s">
        <v>5550</v>
      </c>
      <c r="S1249" s="11" t="s">
        <v>5551</v>
      </c>
      <c r="T1249" s="13"/>
      <c r="U1249" s="18" t="str">
        <f>HYPERLINK("https://pbs.twimg.com/profile_images/1052310723374829568/JAUSBK_y.jpg","View")</f>
        <v>View</v>
      </c>
      <c r="V1249" s="13"/>
      <c r="W1249" s="13"/>
      <c r="X1249" s="13"/>
      <c r="Y1249" s="13"/>
      <c r="Z1249" s="13"/>
    </row>
    <row r="1250">
      <c r="A1250" s="8">
        <v>43848.459652777776</v>
      </c>
      <c r="B1250" s="9" t="str">
        <f>HYPERLINK("https://twitter.com/talk2lauren","@talk2lauren")</f>
        <v>@talk2lauren</v>
      </c>
      <c r="C1250" s="10" t="s">
        <v>1420</v>
      </c>
      <c r="D1250" s="10" t="s">
        <v>5552</v>
      </c>
      <c r="E1250" s="9" t="str">
        <f>HYPERLINK("https://twitter.com/talk2lauren/status/1218564177305964545","1218564177305964545")</f>
        <v>1218564177305964545</v>
      </c>
      <c r="F1250" s="13"/>
      <c r="G1250" s="11" t="s">
        <v>5553</v>
      </c>
      <c r="H1250" s="13"/>
      <c r="I1250" s="14">
        <v>0.0</v>
      </c>
      <c r="J1250" s="14">
        <v>0.0</v>
      </c>
      <c r="K1250" s="9" t="str">
        <f>HYPERLINK("https://www.later.com","LaterMedia")</f>
        <v>LaterMedia</v>
      </c>
      <c r="L1250" s="15">
        <v>21.0</v>
      </c>
      <c r="M1250" s="15">
        <v>22.0</v>
      </c>
      <c r="N1250" s="15">
        <v>0.0</v>
      </c>
      <c r="O1250" s="16"/>
      <c r="P1250" s="17">
        <v>43780.329780092594</v>
      </c>
      <c r="Q1250" s="10" t="s">
        <v>1423</v>
      </c>
      <c r="R1250" s="10" t="s">
        <v>1424</v>
      </c>
      <c r="S1250" s="11" t="s">
        <v>1425</v>
      </c>
      <c r="T1250" s="13"/>
      <c r="U1250" s="18" t="str">
        <f>HYPERLINK("https://pbs.twimg.com/profile_images/1197296201957163008/xNA2L0B6.jpg","View")</f>
        <v>View</v>
      </c>
      <c r="V1250" s="13"/>
      <c r="W1250" s="13"/>
      <c r="X1250" s="13"/>
      <c r="Y1250" s="13"/>
      <c r="Z1250" s="13"/>
    </row>
    <row r="1251">
      <c r="A1251" s="8">
        <v>43848.45935185185</v>
      </c>
      <c r="B1251" s="9" t="str">
        <f>HYPERLINK("https://twitter.com/tennissance","@tennissance")</f>
        <v>@tennissance</v>
      </c>
      <c r="C1251" s="10" t="s">
        <v>5554</v>
      </c>
      <c r="D1251" s="10" t="s">
        <v>5555</v>
      </c>
      <c r="E1251" s="9" t="str">
        <f>HYPERLINK("https://twitter.com/tennissance/status/1218564069558345728","1218564069558345728")</f>
        <v>1218564069558345728</v>
      </c>
      <c r="F1251" s="13"/>
      <c r="G1251" s="13"/>
      <c r="H1251" s="13"/>
      <c r="I1251" s="14">
        <v>0.0</v>
      </c>
      <c r="J1251" s="14">
        <v>0.0</v>
      </c>
      <c r="K1251" s="9" t="str">
        <f>HYPERLINK("http://twitter.com/#!/download/ipad","Twitter for iPad")</f>
        <v>Twitter for iPad</v>
      </c>
      <c r="L1251" s="15">
        <v>105.0</v>
      </c>
      <c r="M1251" s="15">
        <v>0.0</v>
      </c>
      <c r="N1251" s="15">
        <v>116.0</v>
      </c>
      <c r="O1251" s="16"/>
      <c r="P1251" s="17">
        <v>42465.47363425926</v>
      </c>
      <c r="Q1251" s="13"/>
      <c r="R1251" s="10" t="s">
        <v>5556</v>
      </c>
      <c r="S1251" s="11" t="s">
        <v>5557</v>
      </c>
      <c r="T1251" s="13"/>
      <c r="U1251" s="18" t="str">
        <f>HYPERLINK("https://pbs.twimg.com/profile_images/1210211061233700865/Zq6xeM0G.jpg","View")</f>
        <v>View</v>
      </c>
      <c r="V1251" s="13"/>
      <c r="W1251" s="13"/>
      <c r="X1251" s="13"/>
      <c r="Y1251" s="13"/>
      <c r="Z1251" s="13"/>
    </row>
    <row r="1252">
      <c r="A1252" s="8">
        <v>43848.45920138889</v>
      </c>
      <c r="B1252" s="9" t="str">
        <f>HYPERLINK("https://twitter.com/taraglcsw","@taraglcsw")</f>
        <v>@taraglcsw</v>
      </c>
      <c r="C1252" s="10" t="s">
        <v>3070</v>
      </c>
      <c r="D1252" s="10" t="s">
        <v>5558</v>
      </c>
      <c r="E1252" s="9" t="str">
        <f>HYPERLINK("https://twitter.com/taraglcsw/status/1218564014533500929","1218564014533500929")</f>
        <v>1218564014533500929</v>
      </c>
      <c r="F1252" s="13"/>
      <c r="G1252" s="13"/>
      <c r="H1252" s="13"/>
      <c r="I1252" s="14">
        <v>0.0</v>
      </c>
      <c r="J1252" s="14">
        <v>1.0</v>
      </c>
      <c r="K1252" s="9" t="str">
        <f>HYPERLINK("https://www.hootsuite.com","Hootsuite Inc.")</f>
        <v>Hootsuite Inc.</v>
      </c>
      <c r="L1252" s="15">
        <v>22.0</v>
      </c>
      <c r="M1252" s="15">
        <v>21.0</v>
      </c>
      <c r="N1252" s="15">
        <v>0.0</v>
      </c>
      <c r="O1252" s="16"/>
      <c r="P1252" s="17">
        <v>43754.492361111115</v>
      </c>
      <c r="Q1252" s="10" t="s">
        <v>3072</v>
      </c>
      <c r="R1252" s="10" t="s">
        <v>3073</v>
      </c>
      <c r="S1252" s="11" t="s">
        <v>3074</v>
      </c>
      <c r="T1252" s="13"/>
      <c r="U1252" s="18" t="str">
        <f>HYPERLINK("https://pbs.twimg.com/profile_images/1190723174067003395/2K7Mz-xw.jpg","View")</f>
        <v>View</v>
      </c>
      <c r="V1252" s="13"/>
      <c r="W1252" s="13"/>
      <c r="X1252" s="13"/>
      <c r="Y1252" s="13"/>
      <c r="Z1252" s="13"/>
    </row>
    <row r="1253">
      <c r="A1253" s="8">
        <v>43848.459143518514</v>
      </c>
      <c r="B1253" s="9" t="str">
        <f>HYPERLINK("https://twitter.com/RealIAmKitty","@RealIAmKitty")</f>
        <v>@RealIAmKitty</v>
      </c>
      <c r="C1253" s="10" t="s">
        <v>5559</v>
      </c>
      <c r="D1253" s="10" t="s">
        <v>5560</v>
      </c>
      <c r="E1253" s="9" t="str">
        <f>HYPERLINK("https://twitter.com/RealIAmKitty/status/1218563991808696320","1218563991808696320")</f>
        <v>1218563991808696320</v>
      </c>
      <c r="F1253" s="13"/>
      <c r="G1253" s="11" t="s">
        <v>5561</v>
      </c>
      <c r="H1253" s="13"/>
      <c r="I1253" s="14">
        <v>0.0</v>
      </c>
      <c r="J1253" s="14">
        <v>1.0</v>
      </c>
      <c r="K1253" s="9" t="str">
        <f>HYPERLINK("http://twitter.com/download/android","Twitter for Android")</f>
        <v>Twitter for Android</v>
      </c>
      <c r="L1253" s="15">
        <v>144.0</v>
      </c>
      <c r="M1253" s="15">
        <v>53.0</v>
      </c>
      <c r="N1253" s="15">
        <v>2.0</v>
      </c>
      <c r="O1253" s="16"/>
      <c r="P1253" s="17">
        <v>42412.39738425926</v>
      </c>
      <c r="Q1253" s="10" t="s">
        <v>1324</v>
      </c>
      <c r="R1253" s="10" t="s">
        <v>5562</v>
      </c>
      <c r="S1253" s="11" t="s">
        <v>5563</v>
      </c>
      <c r="T1253" s="13"/>
      <c r="U1253" s="18" t="str">
        <f>HYPERLINK("https://pbs.twimg.com/profile_images/989499605682401280/21xQ-19N.jpg","View")</f>
        <v>View</v>
      </c>
      <c r="V1253" s="13"/>
      <c r="W1253" s="13"/>
      <c r="X1253" s="13"/>
      <c r="Y1253" s="13"/>
      <c r="Z1253" s="13"/>
    </row>
    <row r="1254">
      <c r="A1254" s="8">
        <v>43848.459131944444</v>
      </c>
      <c r="B1254" s="9" t="str">
        <f>HYPERLINK("https://twitter.com/KariJoys","@KariJoys")</f>
        <v>@KariJoys</v>
      </c>
      <c r="C1254" s="10" t="s">
        <v>2521</v>
      </c>
      <c r="D1254" s="10" t="s">
        <v>5564</v>
      </c>
      <c r="E1254" s="9" t="str">
        <f>HYPERLINK("https://twitter.com/KariJoys/status/1218563989505859585","1218563989505859585")</f>
        <v>1218563989505859585</v>
      </c>
      <c r="F1254" s="11" t="s">
        <v>5565</v>
      </c>
      <c r="G1254" s="11" t="s">
        <v>5566</v>
      </c>
      <c r="H1254" s="13"/>
      <c r="I1254" s="14">
        <v>7.0</v>
      </c>
      <c r="J1254" s="14">
        <v>15.0</v>
      </c>
      <c r="K1254" s="9" t="str">
        <f>HYPERLINK("https://mobile.twitter.com","Twitter Web App")</f>
        <v>Twitter Web App</v>
      </c>
      <c r="L1254" s="15">
        <v>130331.0</v>
      </c>
      <c r="M1254" s="15">
        <v>80815.0</v>
      </c>
      <c r="N1254" s="15">
        <v>1994.0</v>
      </c>
      <c r="O1254" s="16"/>
      <c r="P1254" s="17">
        <v>39806.44865740741</v>
      </c>
      <c r="Q1254" s="10" t="s">
        <v>2050</v>
      </c>
      <c r="R1254" s="10" t="s">
        <v>2524</v>
      </c>
      <c r="S1254" s="11" t="s">
        <v>2525</v>
      </c>
      <c r="T1254" s="13"/>
      <c r="U1254" s="18" t="str">
        <f>HYPERLINK("https://pbs.twimg.com/profile_images/842437753086263296/kSw0r50-.jpg","View")</f>
        <v>View</v>
      </c>
      <c r="V1254" s="13"/>
      <c r="W1254" s="13"/>
      <c r="X1254" s="13"/>
      <c r="Y1254" s="13"/>
      <c r="Z1254" s="13"/>
    </row>
    <row r="1255">
      <c r="A1255" s="8">
        <v>43848.4591087963</v>
      </c>
      <c r="B1255" s="9" t="str">
        <f>HYPERLINK("https://twitter.com/KettleSociety","@KettleSociety")</f>
        <v>@KettleSociety</v>
      </c>
      <c r="C1255" s="10" t="s">
        <v>5567</v>
      </c>
      <c r="D1255" s="10" t="s">
        <v>5568</v>
      </c>
      <c r="E1255" s="9" t="str">
        <f>HYPERLINK("https://twitter.com/KettleSociety/status/1218563981327159300","1218563981327159300")</f>
        <v>1218563981327159300</v>
      </c>
      <c r="F1255" s="11" t="s">
        <v>5569</v>
      </c>
      <c r="G1255" s="11" t="s">
        <v>5570</v>
      </c>
      <c r="H1255" s="13"/>
      <c r="I1255" s="14">
        <v>4.0</v>
      </c>
      <c r="J1255" s="14">
        <v>4.0</v>
      </c>
      <c r="K1255" s="9" t="str">
        <f>HYPERLINK("https://www.hootsuite.com","Hootsuite Inc.")</f>
        <v>Hootsuite Inc.</v>
      </c>
      <c r="L1255" s="15">
        <v>943.0</v>
      </c>
      <c r="M1255" s="15">
        <v>1044.0</v>
      </c>
      <c r="N1255" s="15">
        <v>21.0</v>
      </c>
      <c r="O1255" s="16"/>
      <c r="P1255" s="17">
        <v>42073.88133101852</v>
      </c>
      <c r="Q1255" s="10" t="s">
        <v>826</v>
      </c>
      <c r="R1255" s="10" t="s">
        <v>5571</v>
      </c>
      <c r="S1255" s="11" t="s">
        <v>5572</v>
      </c>
      <c r="T1255" s="13"/>
      <c r="U1255" s="18" t="str">
        <f>HYPERLINK("https://pbs.twimg.com/profile_images/1215728620527738881/86fygjU0.jpg","View")</f>
        <v>View</v>
      </c>
      <c r="V1255" s="13"/>
      <c r="W1255" s="13"/>
      <c r="X1255" s="13"/>
      <c r="Y1255" s="13"/>
      <c r="Z1255" s="13"/>
    </row>
    <row r="1256">
      <c r="A1256" s="8">
        <v>43848.45893518519</v>
      </c>
      <c r="B1256" s="9" t="str">
        <f>HYPERLINK("https://twitter.com/ALimitedLife1","@ALimitedLife1")</f>
        <v>@ALimitedLife1</v>
      </c>
      <c r="C1256" s="10" t="s">
        <v>5573</v>
      </c>
      <c r="D1256" s="10" t="s">
        <v>5574</v>
      </c>
      <c r="E1256" s="9" t="str">
        <f>HYPERLINK("https://twitter.com/ALimitedLife1/status/1218563917250813952","1218563917250813952")</f>
        <v>1218563917250813952</v>
      </c>
      <c r="F1256" s="13"/>
      <c r="G1256" s="11" t="s">
        <v>5575</v>
      </c>
      <c r="H1256" s="13"/>
      <c r="I1256" s="14">
        <v>3.0</v>
      </c>
      <c r="J1256" s="14">
        <v>3.0</v>
      </c>
      <c r="K1256" s="9" t="str">
        <f>HYPERLINK("http://twitter.com/download/android","Twitter for Android")</f>
        <v>Twitter for Android</v>
      </c>
      <c r="L1256" s="15">
        <v>10.0</v>
      </c>
      <c r="M1256" s="15">
        <v>15.0</v>
      </c>
      <c r="N1256" s="15">
        <v>0.0</v>
      </c>
      <c r="O1256" s="16"/>
      <c r="P1256" s="17">
        <v>43742.320231481484</v>
      </c>
      <c r="Q1256" s="13"/>
      <c r="R1256" s="10" t="s">
        <v>5576</v>
      </c>
      <c r="S1256" s="13"/>
      <c r="T1256" s="13"/>
      <c r="U1256" s="18" t="str">
        <f>HYPERLINK("https://pbs.twimg.com/profile_images/1180086609024294912/p67W0Gr6.jpg","View")</f>
        <v>View</v>
      </c>
      <c r="V1256" s="13"/>
      <c r="W1256" s="13"/>
      <c r="X1256" s="13"/>
      <c r="Y1256" s="13"/>
      <c r="Z1256" s="13"/>
    </row>
    <row r="1257">
      <c r="A1257" s="8">
        <v>43848.458761574075</v>
      </c>
      <c r="B1257" s="9" t="str">
        <f>HYPERLINK("https://twitter.com/myreflexionmed","@myreflexionmed")</f>
        <v>@myreflexionmed</v>
      </c>
      <c r="C1257" s="10" t="s">
        <v>5577</v>
      </c>
      <c r="D1257" s="10" t="s">
        <v>5578</v>
      </c>
      <c r="E1257" s="9" t="str">
        <f>HYPERLINK("https://twitter.com/myreflexionmed/status/1218563853321211909","1218563853321211909")</f>
        <v>1218563853321211909</v>
      </c>
      <c r="F1257" s="11" t="s">
        <v>5579</v>
      </c>
      <c r="G1257" s="11" t="s">
        <v>5580</v>
      </c>
      <c r="H1257" s="13"/>
      <c r="I1257" s="14">
        <v>0.0</v>
      </c>
      <c r="J1257" s="14">
        <v>0.0</v>
      </c>
      <c r="K1257" s="9" t="str">
        <f>HYPERLINK("https://www.hootsuite.com","Hootsuite Inc.")</f>
        <v>Hootsuite Inc.</v>
      </c>
      <c r="L1257" s="15">
        <v>994.0</v>
      </c>
      <c r="M1257" s="15">
        <v>1187.0</v>
      </c>
      <c r="N1257" s="15">
        <v>7.0</v>
      </c>
      <c r="O1257" s="16"/>
      <c r="P1257" s="17">
        <v>42789.859375</v>
      </c>
      <c r="Q1257" s="10" t="s">
        <v>5581</v>
      </c>
      <c r="R1257" s="10" t="s">
        <v>5582</v>
      </c>
      <c r="S1257" s="11" t="s">
        <v>5583</v>
      </c>
      <c r="T1257" s="13"/>
      <c r="U1257" s="18" t="str">
        <f>HYPERLINK("https://pbs.twimg.com/profile_images/1113208995576078336/hM_CkZ14.jpg","View")</f>
        <v>View</v>
      </c>
      <c r="V1257" s="13"/>
      <c r="W1257" s="13"/>
      <c r="X1257" s="13"/>
      <c r="Y1257" s="13"/>
      <c r="Z1257" s="13"/>
    </row>
    <row r="1258">
      <c r="A1258" s="8">
        <v>43848.45873842592</v>
      </c>
      <c r="B1258" s="9" t="str">
        <f>HYPERLINK("https://twitter.com/rcosgrove","@rcosgrove")</f>
        <v>@rcosgrove</v>
      </c>
      <c r="C1258" s="10" t="s">
        <v>2820</v>
      </c>
      <c r="D1258" s="10" t="s">
        <v>2821</v>
      </c>
      <c r="E1258" s="9" t="str">
        <f>HYPERLINK("https://twitter.com/rcosgrove/status/1218563845758898176","1218563845758898176")</f>
        <v>1218563845758898176</v>
      </c>
      <c r="F1258" s="11" t="s">
        <v>2822</v>
      </c>
      <c r="G1258" s="11" t="s">
        <v>5584</v>
      </c>
      <c r="H1258" s="13"/>
      <c r="I1258" s="14">
        <v>0.0</v>
      </c>
      <c r="J1258" s="14">
        <v>0.0</v>
      </c>
      <c r="K1258" s="9" t="str">
        <f>HYPERLINK("https://ifttt.com","IFTTT")</f>
        <v>IFTTT</v>
      </c>
      <c r="L1258" s="15">
        <v>2712.0</v>
      </c>
      <c r="M1258" s="15">
        <v>1269.0</v>
      </c>
      <c r="N1258" s="15">
        <v>158.0</v>
      </c>
      <c r="O1258" s="21" t="s">
        <v>522</v>
      </c>
      <c r="P1258" s="17">
        <v>39638.771990740745</v>
      </c>
      <c r="Q1258" s="10" t="s">
        <v>2805</v>
      </c>
      <c r="R1258" s="10" t="s">
        <v>2824</v>
      </c>
      <c r="S1258" s="11" t="s">
        <v>2825</v>
      </c>
      <c r="T1258" s="13"/>
      <c r="U1258" s="18" t="str">
        <f>HYPERLINK("https://pbs.twimg.com/profile_images/1197101054002913280/BYB5b0FW.jpg","View")</f>
        <v>View</v>
      </c>
      <c r="V1258" s="13"/>
      <c r="W1258" s="13"/>
      <c r="X1258" s="13"/>
      <c r="Y1258" s="13"/>
      <c r="Z1258" s="13"/>
    </row>
    <row r="1259">
      <c r="A1259" s="8">
        <v>43848.45871527778</v>
      </c>
      <c r="B1259" s="9" t="str">
        <f>HYPERLINK("https://twitter.com/MycoMeditations","@MycoMeditations")</f>
        <v>@MycoMeditations</v>
      </c>
      <c r="C1259" s="10" t="s">
        <v>5585</v>
      </c>
      <c r="D1259" s="10" t="s">
        <v>5586</v>
      </c>
      <c r="E1259" s="9" t="str">
        <f>HYPERLINK("https://twitter.com/MycoMeditations/status/1218563836690612229","1218563836690612229")</f>
        <v>1218563836690612229</v>
      </c>
      <c r="F1259" s="13"/>
      <c r="G1259" s="11" t="s">
        <v>5587</v>
      </c>
      <c r="H1259" s="13"/>
      <c r="I1259" s="14">
        <v>0.0</v>
      </c>
      <c r="J1259" s="14">
        <v>0.0</v>
      </c>
      <c r="K1259" s="9" t="str">
        <f>HYPERLINK("https://www.apphi.com","Apphi")</f>
        <v>Apphi</v>
      </c>
      <c r="L1259" s="15">
        <v>1127.0</v>
      </c>
      <c r="M1259" s="15">
        <v>206.0</v>
      </c>
      <c r="N1259" s="15">
        <v>16.0</v>
      </c>
      <c r="O1259" s="16"/>
      <c r="P1259" s="17">
        <v>42750.61288194444</v>
      </c>
      <c r="Q1259" s="10" t="s">
        <v>745</v>
      </c>
      <c r="R1259" s="10" t="s">
        <v>5588</v>
      </c>
      <c r="S1259" s="11" t="s">
        <v>5589</v>
      </c>
      <c r="T1259" s="13"/>
      <c r="U1259" s="18" t="str">
        <f>HYPERLINK("https://pbs.twimg.com/profile_images/1144289990710571008/MNihUikl.jpg","View")</f>
        <v>View</v>
      </c>
      <c r="V1259" s="13"/>
      <c r="W1259" s="13"/>
      <c r="X1259" s="13"/>
      <c r="Y1259" s="13"/>
      <c r="Z1259" s="13"/>
    </row>
    <row r="1260">
      <c r="A1260" s="8">
        <v>43848.45857638889</v>
      </c>
      <c r="B1260" s="9" t="str">
        <f>HYPERLINK("https://twitter.com/HealthyPlace","@HealthyPlace")</f>
        <v>@HealthyPlace</v>
      </c>
      <c r="C1260" s="10" t="s">
        <v>1457</v>
      </c>
      <c r="D1260" s="10" t="s">
        <v>5590</v>
      </c>
      <c r="E1260" s="9" t="str">
        <f>HYPERLINK("https://twitter.com/HealthyPlace/status/1218563787126706177","1218563787126706177")</f>
        <v>1218563787126706177</v>
      </c>
      <c r="F1260" s="11" t="s">
        <v>5591</v>
      </c>
      <c r="G1260" s="11" t="s">
        <v>5592</v>
      </c>
      <c r="H1260" s="13"/>
      <c r="I1260" s="14">
        <v>0.0</v>
      </c>
      <c r="J1260" s="14">
        <v>0.0</v>
      </c>
      <c r="K1260" s="9" t="str">
        <f t="shared" ref="K1260:K1261" si="143">HYPERLINK("https://sproutsocial.com","Sprout Social")</f>
        <v>Sprout Social</v>
      </c>
      <c r="L1260" s="15">
        <v>64943.0</v>
      </c>
      <c r="M1260" s="15">
        <v>25049.0</v>
      </c>
      <c r="N1260" s="15">
        <v>1710.0</v>
      </c>
      <c r="O1260" s="16"/>
      <c r="P1260" s="17">
        <v>39681.03928240741</v>
      </c>
      <c r="Q1260" s="10" t="s">
        <v>1460</v>
      </c>
      <c r="R1260" s="10" t="s">
        <v>1461</v>
      </c>
      <c r="S1260" s="11" t="s">
        <v>1462</v>
      </c>
      <c r="T1260" s="13"/>
      <c r="U1260" s="18" t="str">
        <f>HYPERLINK("https://pbs.twimg.com/profile_images/753613454083252225/i5pr2xny.jpg","View")</f>
        <v>View</v>
      </c>
      <c r="V1260" s="13"/>
      <c r="W1260" s="13"/>
      <c r="X1260" s="13"/>
      <c r="Y1260" s="13"/>
      <c r="Z1260" s="13"/>
    </row>
    <row r="1261">
      <c r="A1261" s="8">
        <v>43848.458402777775</v>
      </c>
      <c r="B1261" s="9" t="str">
        <f>HYPERLINK("https://twitter.com/EducationQuest","@EducationQuest")</f>
        <v>@EducationQuest</v>
      </c>
      <c r="C1261" s="10" t="s">
        <v>5593</v>
      </c>
      <c r="D1261" s="10" t="s">
        <v>5594</v>
      </c>
      <c r="E1261" s="9" t="str">
        <f>HYPERLINK("https://twitter.com/EducationQuest/status/1218563726359425025","1218563726359425025")</f>
        <v>1218563726359425025</v>
      </c>
      <c r="F1261" s="11" t="s">
        <v>5595</v>
      </c>
      <c r="G1261" s="11" t="s">
        <v>5596</v>
      </c>
      <c r="H1261" s="13"/>
      <c r="I1261" s="14">
        <v>0.0</v>
      </c>
      <c r="J1261" s="14">
        <v>0.0</v>
      </c>
      <c r="K1261" s="9" t="str">
        <f t="shared" si="143"/>
        <v>Sprout Social</v>
      </c>
      <c r="L1261" s="15">
        <v>4421.0</v>
      </c>
      <c r="M1261" s="15">
        <v>1454.0</v>
      </c>
      <c r="N1261" s="15">
        <v>74.0</v>
      </c>
      <c r="O1261" s="16"/>
      <c r="P1261" s="17">
        <v>40927.70261574074</v>
      </c>
      <c r="Q1261" s="10" t="s">
        <v>898</v>
      </c>
      <c r="R1261" s="10" t="s">
        <v>5597</v>
      </c>
      <c r="S1261" s="11" t="s">
        <v>5598</v>
      </c>
      <c r="T1261" s="13"/>
      <c r="U1261" s="18" t="str">
        <f>HYPERLINK("https://pbs.twimg.com/profile_images/540222016641441792/4If4wXfI.jpeg","View")</f>
        <v>View</v>
      </c>
      <c r="V1261" s="13"/>
      <c r="W1261" s="13"/>
      <c r="X1261" s="13"/>
      <c r="Y1261" s="13"/>
      <c r="Z1261" s="13"/>
    </row>
    <row r="1262">
      <c r="A1262" s="8">
        <v>43848.45778935185</v>
      </c>
      <c r="B1262" s="9" t="str">
        <f>HYPERLINK("https://twitter.com/HQCadetBranch","@HQCadetBranch")</f>
        <v>@HQCadetBranch</v>
      </c>
      <c r="C1262" s="10" t="s">
        <v>5599</v>
      </c>
      <c r="D1262" s="10" t="s">
        <v>5600</v>
      </c>
      <c r="E1262" s="9" t="str">
        <f>HYPERLINK("https://twitter.com/HQCadetBranch/status/1218563504711589888","1218563504711589888")</f>
        <v>1218563504711589888</v>
      </c>
      <c r="F1262" s="13"/>
      <c r="G1262" s="11" t="s">
        <v>5601</v>
      </c>
      <c r="H1262" s="13"/>
      <c r="I1262" s="14">
        <v>5.0</v>
      </c>
      <c r="J1262" s="14">
        <v>26.0</v>
      </c>
      <c r="K1262" s="9" t="str">
        <f>HYPERLINK("http://twitter.com/download/android","Twitter for Android")</f>
        <v>Twitter for Android</v>
      </c>
      <c r="L1262" s="15">
        <v>1156.0</v>
      </c>
      <c r="M1262" s="15">
        <v>281.0</v>
      </c>
      <c r="N1262" s="15">
        <v>2.0</v>
      </c>
      <c r="O1262" s="16"/>
      <c r="P1262" s="17">
        <v>43433.27496527778</v>
      </c>
      <c r="Q1262" s="10" t="s">
        <v>5602</v>
      </c>
      <c r="R1262" s="10" t="s">
        <v>5603</v>
      </c>
      <c r="S1262" s="13"/>
      <c r="T1262" s="13"/>
      <c r="U1262" s="18" t="str">
        <f>HYPERLINK("https://pbs.twimg.com/profile_images/1068107712142163968/O8z0YlLE.jpg","View")</f>
        <v>View</v>
      </c>
      <c r="V1262" s="13"/>
      <c r="W1262" s="13"/>
      <c r="X1262" s="13"/>
      <c r="Y1262" s="13"/>
      <c r="Z1262" s="13"/>
    </row>
    <row r="1263">
      <c r="A1263" s="8">
        <v>43848.45759259259</v>
      </c>
      <c r="B1263" s="9" t="str">
        <f>HYPERLINK("https://twitter.com/Rachel_Luby","@Rachel_Luby")</f>
        <v>@Rachel_Luby</v>
      </c>
      <c r="C1263" s="10" t="s">
        <v>5604</v>
      </c>
      <c r="D1263" s="10" t="s">
        <v>5605</v>
      </c>
      <c r="E1263" s="9" t="str">
        <f>HYPERLINK("https://twitter.com/Rachel_Luby/status/1218563431676227586","1218563431676227586")</f>
        <v>1218563431676227586</v>
      </c>
      <c r="F1263" s="11" t="s">
        <v>5606</v>
      </c>
      <c r="G1263" s="13"/>
      <c r="H1263" s="13"/>
      <c r="I1263" s="14">
        <v>4.0</v>
      </c>
      <c r="J1263" s="14">
        <v>3.0</v>
      </c>
      <c r="K1263" s="9" t="str">
        <f>HYPERLINK("https://mobile.twitter.com","Twitter Web App")</f>
        <v>Twitter Web App</v>
      </c>
      <c r="L1263" s="15">
        <v>1822.0</v>
      </c>
      <c r="M1263" s="15">
        <v>2469.0</v>
      </c>
      <c r="N1263" s="15">
        <v>27.0</v>
      </c>
      <c r="O1263" s="16"/>
      <c r="P1263" s="17">
        <v>41851.22346064815</v>
      </c>
      <c r="Q1263" s="10" t="s">
        <v>95</v>
      </c>
      <c r="R1263" s="10" t="s">
        <v>5607</v>
      </c>
      <c r="S1263" s="11" t="s">
        <v>5608</v>
      </c>
      <c r="T1263" s="13"/>
      <c r="U1263" s="18" t="str">
        <f>HYPERLINK("https://pbs.twimg.com/profile_images/1212881362258157568/wdnXD1XP.jpg","View")</f>
        <v>View</v>
      </c>
      <c r="V1263" s="13"/>
      <c r="W1263" s="13"/>
      <c r="X1263" s="13"/>
      <c r="Y1263" s="13"/>
      <c r="Z1263" s="13"/>
    </row>
    <row r="1264">
      <c r="A1264" s="8">
        <v>43848.457395833335</v>
      </c>
      <c r="B1264" s="9" t="str">
        <f>HYPERLINK("https://twitter.com/benja_barreir","@benja_barreir")</f>
        <v>@benja_barreir</v>
      </c>
      <c r="C1264" s="10" t="s">
        <v>5609</v>
      </c>
      <c r="D1264" s="10" t="s">
        <v>5610</v>
      </c>
      <c r="E1264" s="9" t="str">
        <f>HYPERLINK("https://twitter.com/benja_barreir/status/1218563360616263682","1218563360616263682")</f>
        <v>1218563360616263682</v>
      </c>
      <c r="F1264" s="13"/>
      <c r="G1264" s="13"/>
      <c r="H1264" s="13"/>
      <c r="I1264" s="14">
        <v>0.0</v>
      </c>
      <c r="J1264" s="14">
        <v>0.0</v>
      </c>
      <c r="K1264" s="9" t="str">
        <f>HYPERLINK("http://twitter.com/download/iphone","Twitter for iPhone")</f>
        <v>Twitter for iPhone</v>
      </c>
      <c r="L1264" s="15">
        <v>3.0</v>
      </c>
      <c r="M1264" s="15">
        <v>4.0</v>
      </c>
      <c r="N1264" s="15">
        <v>0.0</v>
      </c>
      <c r="O1264" s="16"/>
      <c r="P1264" s="17">
        <v>41683.77868055555</v>
      </c>
      <c r="Q1264" s="13"/>
      <c r="R1264" s="13"/>
      <c r="S1264" s="13"/>
      <c r="T1264" s="13"/>
      <c r="U1264" s="18" t="str">
        <f>HYPERLINK("https://pbs.twimg.com/profile_images/560931406034247680/9YZCuiK4.jpeg","View")</f>
        <v>View</v>
      </c>
      <c r="V1264" s="13"/>
      <c r="W1264" s="13"/>
      <c r="X1264" s="13"/>
      <c r="Y1264" s="13"/>
      <c r="Z1264" s="13"/>
    </row>
    <row r="1265">
      <c r="A1265" s="8">
        <v>43848.457083333335</v>
      </c>
      <c r="B1265" s="9" t="str">
        <f>HYPERLINK("https://twitter.com/3DMathW","@3DMathW")</f>
        <v>@3DMathW</v>
      </c>
      <c r="C1265" s="10" t="s">
        <v>5611</v>
      </c>
      <c r="D1265" s="10" t="s">
        <v>5612</v>
      </c>
      <c r="E1265" s="9" t="str">
        <f>HYPERLINK("https://twitter.com/3DMathW/status/1218563247323918337","1218563247323918337")</f>
        <v>1218563247323918337</v>
      </c>
      <c r="F1265" s="11" t="s">
        <v>5613</v>
      </c>
      <c r="G1265" s="13"/>
      <c r="H1265" s="13"/>
      <c r="I1265" s="14">
        <v>3.0</v>
      </c>
      <c r="J1265" s="14">
        <v>4.0</v>
      </c>
      <c r="K1265" s="9" t="str">
        <f>HYPERLINK("http://twitter.com/#!/download/ipad","Twitter for iPad")</f>
        <v>Twitter for iPad</v>
      </c>
      <c r="L1265" s="15">
        <v>3287.0</v>
      </c>
      <c r="M1265" s="15">
        <v>4999.0</v>
      </c>
      <c r="N1265" s="15">
        <v>142.0</v>
      </c>
      <c r="O1265" s="16"/>
      <c r="P1265" s="17">
        <v>42343.79790509259</v>
      </c>
      <c r="Q1265" s="13"/>
      <c r="R1265" s="10" t="s">
        <v>5614</v>
      </c>
      <c r="S1265" s="11" t="s">
        <v>5615</v>
      </c>
      <c r="T1265" s="13"/>
      <c r="U1265" s="18" t="str">
        <f>HYPERLINK("https://pbs.twimg.com/profile_images/1035092614645772290/gWKOgxcj.jpg","View")</f>
        <v>View</v>
      </c>
      <c r="V1265" s="13"/>
      <c r="W1265" s="13"/>
      <c r="X1265" s="13"/>
      <c r="Y1265" s="13"/>
      <c r="Z1265" s="13"/>
    </row>
    <row r="1266">
      <c r="A1266" s="8">
        <v>43848.45707175926</v>
      </c>
      <c r="B1266" s="9" t="str">
        <f>HYPERLINK("https://twitter.com/CheekyCat94","@CheekyCat94")</f>
        <v>@CheekyCat94</v>
      </c>
      <c r="C1266" s="10" t="s">
        <v>5616</v>
      </c>
      <c r="D1266" s="10" t="s">
        <v>5617</v>
      </c>
      <c r="E1266" s="9" t="str">
        <f>HYPERLINK("https://twitter.com/CheekyCat94/status/1218563241321869312","1218563241321869312")</f>
        <v>1218563241321869312</v>
      </c>
      <c r="F1266" s="13"/>
      <c r="G1266" s="13"/>
      <c r="H1266" s="13"/>
      <c r="I1266" s="14">
        <v>0.0</v>
      </c>
      <c r="J1266" s="14">
        <v>0.0</v>
      </c>
      <c r="K1266" s="9" t="str">
        <f>HYPERLINK("http://twitter.com/download/android","Twitter for Android")</f>
        <v>Twitter for Android</v>
      </c>
      <c r="L1266" s="15">
        <v>109.0</v>
      </c>
      <c r="M1266" s="15">
        <v>180.0</v>
      </c>
      <c r="N1266" s="15">
        <v>0.0</v>
      </c>
      <c r="O1266" s="16"/>
      <c r="P1266" s="17">
        <v>40971.48857638889</v>
      </c>
      <c r="Q1266" s="10" t="s">
        <v>5618</v>
      </c>
      <c r="R1266" s="13"/>
      <c r="S1266" s="13"/>
      <c r="T1266" s="13"/>
      <c r="U1266" s="18" t="str">
        <f>HYPERLINK("https://pbs.twimg.com/profile_images/1211735854521225216/CJAfZXEw.jpg","View")</f>
        <v>View</v>
      </c>
      <c r="V1266" s="13"/>
      <c r="W1266" s="13"/>
      <c r="X1266" s="13"/>
      <c r="Y1266" s="13"/>
      <c r="Z1266" s="13"/>
    </row>
    <row r="1267">
      <c r="A1267" s="8">
        <v>43848.45701388889</v>
      </c>
      <c r="B1267" s="9" t="str">
        <f>HYPERLINK("https://twitter.com/Lokizinrj","@Lokizinrj")</f>
        <v>@Lokizinrj</v>
      </c>
      <c r="C1267" s="10" t="s">
        <v>5619</v>
      </c>
      <c r="D1267" s="10" t="s">
        <v>238</v>
      </c>
      <c r="E1267" s="9" t="str">
        <f>HYPERLINK("https://twitter.com/Lokizinrj/status/1218563219759009798","1218563219759009798")</f>
        <v>1218563219759009798</v>
      </c>
      <c r="F1267" s="13"/>
      <c r="G1267" s="13"/>
      <c r="H1267" s="13"/>
      <c r="I1267" s="14">
        <v>0.0</v>
      </c>
      <c r="J1267" s="14">
        <v>0.0</v>
      </c>
      <c r="K1267" s="9" t="str">
        <f>HYPERLINK("http://twitter.com/download/iphone","Twitter for iPhone")</f>
        <v>Twitter for iPhone</v>
      </c>
      <c r="L1267" s="15">
        <v>34.0</v>
      </c>
      <c r="M1267" s="15">
        <v>438.0</v>
      </c>
      <c r="N1267" s="15">
        <v>0.0</v>
      </c>
      <c r="O1267" s="16"/>
      <c r="P1267" s="17">
        <v>42226.4028587963</v>
      </c>
      <c r="Q1267" s="13"/>
      <c r="R1267" s="13"/>
      <c r="S1267" s="13"/>
      <c r="T1267" s="13"/>
      <c r="U1267" s="18" t="str">
        <f>HYPERLINK("https://pbs.twimg.com/profile_images/1197685097543192576/lD2wAXb0.jpg","View")</f>
        <v>View</v>
      </c>
      <c r="V1267" s="13"/>
      <c r="W1267" s="13"/>
      <c r="X1267" s="13"/>
      <c r="Y1267" s="13"/>
      <c r="Z1267" s="13"/>
    </row>
    <row r="1268">
      <c r="A1268" s="8">
        <v>43848.45699074074</v>
      </c>
      <c r="B1268" s="9" t="str">
        <f>HYPERLINK("https://twitter.com/thebadhabitkick","@thebadhabitkick")</f>
        <v>@thebadhabitkick</v>
      </c>
      <c r="C1268" s="10" t="s">
        <v>5620</v>
      </c>
      <c r="D1268" s="10" t="s">
        <v>5621</v>
      </c>
      <c r="E1268" s="9" t="str">
        <f>HYPERLINK("https://twitter.com/thebadhabitkick/status/1218563213849255936","1218563213849255936")</f>
        <v>1218563213849255936</v>
      </c>
      <c r="F1268" s="13"/>
      <c r="G1268" s="11" t="s">
        <v>5622</v>
      </c>
      <c r="H1268" s="13"/>
      <c r="I1268" s="14">
        <v>0.0</v>
      </c>
      <c r="J1268" s="14">
        <v>0.0</v>
      </c>
      <c r="K1268" s="9" t="str">
        <f>HYPERLINK("https://buffer.com","Buffer")</f>
        <v>Buffer</v>
      </c>
      <c r="L1268" s="15">
        <v>25.0</v>
      </c>
      <c r="M1268" s="15">
        <v>103.0</v>
      </c>
      <c r="N1268" s="15">
        <v>0.0</v>
      </c>
      <c r="O1268" s="16"/>
      <c r="P1268" s="17">
        <v>43576.15421296297</v>
      </c>
      <c r="Q1268" s="13"/>
      <c r="R1268" s="10" t="s">
        <v>5623</v>
      </c>
      <c r="S1268" s="11" t="s">
        <v>5624</v>
      </c>
      <c r="T1268" s="13"/>
      <c r="U1268" s="18" t="str">
        <f>HYPERLINK("https://pbs.twimg.com/profile_images/1139973852971315201/iXHCxw6c.png","View")</f>
        <v>View</v>
      </c>
      <c r="V1268" s="13"/>
      <c r="W1268" s="13"/>
      <c r="X1268" s="13"/>
      <c r="Y1268" s="13"/>
      <c r="Z1268" s="13"/>
    </row>
    <row r="1269">
      <c r="A1269" s="8">
        <v>43848.45680555556</v>
      </c>
      <c r="B1269" s="9" t="str">
        <f>HYPERLINK("https://twitter.com/tolusefrancis","@tolusefrancis")</f>
        <v>@tolusefrancis</v>
      </c>
      <c r="C1269" s="10" t="s">
        <v>5625</v>
      </c>
      <c r="D1269" s="10" t="s">
        <v>238</v>
      </c>
      <c r="E1269" s="9" t="str">
        <f>HYPERLINK("https://twitter.com/tolusefrancis/status/1218563145033228288","1218563145033228288")</f>
        <v>1218563145033228288</v>
      </c>
      <c r="F1269" s="13"/>
      <c r="G1269" s="13"/>
      <c r="H1269" s="13"/>
      <c r="I1269" s="14">
        <v>0.0</v>
      </c>
      <c r="J1269" s="14">
        <v>0.0</v>
      </c>
      <c r="K1269" s="9" t="str">
        <f t="shared" ref="K1269:K1270" si="144">HYPERLINK("http://twitter.com/download/iphone","Twitter for iPhone")</f>
        <v>Twitter for iPhone</v>
      </c>
      <c r="L1269" s="15">
        <v>2030.0</v>
      </c>
      <c r="M1269" s="15">
        <v>1586.0</v>
      </c>
      <c r="N1269" s="15">
        <v>50.0</v>
      </c>
      <c r="O1269" s="16"/>
      <c r="P1269" s="17">
        <v>40337.4862037037</v>
      </c>
      <c r="Q1269" s="10" t="s">
        <v>2557</v>
      </c>
      <c r="R1269" s="10" t="s">
        <v>5626</v>
      </c>
      <c r="S1269" s="11" t="s">
        <v>5627</v>
      </c>
      <c r="T1269" s="13"/>
      <c r="U1269" s="18" t="str">
        <f>HYPERLINK("https://pbs.twimg.com/profile_images/1196658548048044033/raTtz4Ts.jpg","View")</f>
        <v>View</v>
      </c>
      <c r="V1269" s="13"/>
      <c r="W1269" s="13"/>
      <c r="X1269" s="13"/>
      <c r="Y1269" s="13"/>
      <c r="Z1269" s="13"/>
    </row>
    <row r="1270">
      <c r="A1270" s="8">
        <v>43848.45672453704</v>
      </c>
      <c r="B1270" s="9" t="str">
        <f>HYPERLINK("https://twitter.com/JustTeachingELA","@JustTeachingELA")</f>
        <v>@JustTeachingELA</v>
      </c>
      <c r="C1270" s="10" t="s">
        <v>5628</v>
      </c>
      <c r="D1270" s="10" t="s">
        <v>5629</v>
      </c>
      <c r="E1270" s="9" t="str">
        <f>HYPERLINK("https://twitter.com/JustTeachingELA/status/1218563117346672647","1218563117346672647")</f>
        <v>1218563117346672647</v>
      </c>
      <c r="F1270" s="13"/>
      <c r="G1270" s="13"/>
      <c r="H1270" s="13"/>
      <c r="I1270" s="14">
        <v>0.0</v>
      </c>
      <c r="J1270" s="14">
        <v>0.0</v>
      </c>
      <c r="K1270" s="9" t="str">
        <f t="shared" si="144"/>
        <v>Twitter for iPhone</v>
      </c>
      <c r="L1270" s="15">
        <v>298.0</v>
      </c>
      <c r="M1270" s="15">
        <v>623.0</v>
      </c>
      <c r="N1270" s="15">
        <v>0.0</v>
      </c>
      <c r="O1270" s="16"/>
      <c r="P1270" s="17">
        <v>42984.72314814814</v>
      </c>
      <c r="Q1270" s="10" t="s">
        <v>5630</v>
      </c>
      <c r="R1270" s="10" t="s">
        <v>5631</v>
      </c>
      <c r="S1270" s="11" t="s">
        <v>5632</v>
      </c>
      <c r="T1270" s="13"/>
      <c r="U1270" s="18" t="str">
        <f>HYPERLINK("https://pbs.twimg.com/profile_images/1198287145443704832/G8_zxn-z.jpg","View")</f>
        <v>View</v>
      </c>
      <c r="V1270" s="13"/>
      <c r="W1270" s="13"/>
      <c r="X1270" s="13"/>
      <c r="Y1270" s="13"/>
      <c r="Z1270" s="13"/>
    </row>
    <row r="1271">
      <c r="A1271" s="8">
        <v>43848.45659722222</v>
      </c>
      <c r="B1271" s="9" t="str">
        <f>HYPERLINK("https://twitter.com/thebpdbabe","@thebpdbabe")</f>
        <v>@thebpdbabe</v>
      </c>
      <c r="C1271" s="10" t="s">
        <v>986</v>
      </c>
      <c r="D1271" s="10" t="s">
        <v>5633</v>
      </c>
      <c r="E1271" s="9" t="str">
        <f>HYPERLINK("https://twitter.com/thebpdbabe/status/1218563069288308737","1218563069288308737")</f>
        <v>1218563069288308737</v>
      </c>
      <c r="F1271" s="11" t="s">
        <v>5634</v>
      </c>
      <c r="G1271" s="13"/>
      <c r="H1271" s="13"/>
      <c r="I1271" s="14">
        <v>0.0</v>
      </c>
      <c r="J1271" s="14">
        <v>3.0</v>
      </c>
      <c r="K1271" s="9" t="str">
        <f>HYPERLINK("http://twitter.com/download/android","Twitter for Android")</f>
        <v>Twitter for Android</v>
      </c>
      <c r="L1271" s="15">
        <v>43.0</v>
      </c>
      <c r="M1271" s="15">
        <v>84.0</v>
      </c>
      <c r="N1271" s="15">
        <v>0.0</v>
      </c>
      <c r="O1271" s="16"/>
      <c r="P1271" s="17">
        <v>43808.85873842593</v>
      </c>
      <c r="Q1271" s="13"/>
      <c r="R1271" s="10" t="s">
        <v>988</v>
      </c>
      <c r="S1271" s="13"/>
      <c r="T1271" s="13"/>
      <c r="U1271" s="18" t="str">
        <f>HYPERLINK("https://pbs.twimg.com/profile_images/1208947228380925952/Z4HyV7z2.jpg","View")</f>
        <v>View</v>
      </c>
      <c r="V1271" s="13"/>
      <c r="W1271" s="13"/>
      <c r="X1271" s="13"/>
      <c r="Y1271" s="13"/>
      <c r="Z1271" s="13"/>
    </row>
    <row r="1272">
      <c r="A1272" s="8">
        <v>43848.456412037034</v>
      </c>
      <c r="B1272" s="9" t="str">
        <f>HYPERLINK("https://twitter.com/benja_barreir","@benja_barreir")</f>
        <v>@benja_barreir</v>
      </c>
      <c r="C1272" s="10" t="s">
        <v>5609</v>
      </c>
      <c r="D1272" s="10" t="s">
        <v>5635</v>
      </c>
      <c r="E1272" s="9" t="str">
        <f>HYPERLINK("https://twitter.com/benja_barreir/status/1218563003529998336","1218563003529998336")</f>
        <v>1218563003529998336</v>
      </c>
      <c r="F1272" s="13"/>
      <c r="G1272" s="13"/>
      <c r="H1272" s="13"/>
      <c r="I1272" s="14">
        <v>0.0</v>
      </c>
      <c r="J1272" s="14">
        <v>0.0</v>
      </c>
      <c r="K1272" s="9" t="str">
        <f>HYPERLINK("http://twitter.com/download/iphone","Twitter for iPhone")</f>
        <v>Twitter for iPhone</v>
      </c>
      <c r="L1272" s="15">
        <v>3.0</v>
      </c>
      <c r="M1272" s="15">
        <v>4.0</v>
      </c>
      <c r="N1272" s="15">
        <v>0.0</v>
      </c>
      <c r="O1272" s="16"/>
      <c r="P1272" s="17">
        <v>41683.77868055555</v>
      </c>
      <c r="Q1272" s="13"/>
      <c r="R1272" s="13"/>
      <c r="S1272" s="13"/>
      <c r="T1272" s="13"/>
      <c r="U1272" s="18" t="str">
        <f>HYPERLINK("https://pbs.twimg.com/profile_images/560931406034247680/9YZCuiK4.jpeg","View")</f>
        <v>View</v>
      </c>
      <c r="V1272" s="13"/>
      <c r="W1272" s="13"/>
      <c r="X1272" s="13"/>
      <c r="Y1272" s="13"/>
      <c r="Z1272" s="13"/>
    </row>
    <row r="1273">
      <c r="A1273" s="8">
        <v>43848.45627314815</v>
      </c>
      <c r="B1273" s="9" t="str">
        <f>HYPERLINK("https://twitter.com/JonHarvey64","@JonHarvey64")</f>
        <v>@JonHarvey64</v>
      </c>
      <c r="C1273" s="10" t="s">
        <v>115</v>
      </c>
      <c r="D1273" s="10" t="s">
        <v>5636</v>
      </c>
      <c r="E1273" s="9" t="str">
        <f>HYPERLINK("https://twitter.com/JonHarvey64/status/1218562953320058880","1218562953320058880")</f>
        <v>1218562953320058880</v>
      </c>
      <c r="F1273" s="13"/>
      <c r="G1273" s="11" t="s">
        <v>5637</v>
      </c>
      <c r="H1273" s="13"/>
      <c r="I1273" s="14">
        <v>0.0</v>
      </c>
      <c r="J1273" s="14">
        <v>7.0</v>
      </c>
      <c r="K1273" s="9" t="str">
        <f>HYPERLINK("http://twitter.com/download/android","Twitter for Android")</f>
        <v>Twitter for Android</v>
      </c>
      <c r="L1273" s="15">
        <v>3488.0</v>
      </c>
      <c r="M1273" s="15">
        <v>5002.0</v>
      </c>
      <c r="N1273" s="15">
        <v>28.0</v>
      </c>
      <c r="O1273" s="16"/>
      <c r="P1273" s="17">
        <v>41856.345358796294</v>
      </c>
      <c r="Q1273" s="10" t="s">
        <v>118</v>
      </c>
      <c r="R1273" s="10" t="s">
        <v>119</v>
      </c>
      <c r="S1273" s="13"/>
      <c r="T1273" s="13"/>
      <c r="U1273" s="18" t="str">
        <f>HYPERLINK("https://pbs.twimg.com/profile_images/1218409859223302144/AI9rxlhq.jpg","View")</f>
        <v>View</v>
      </c>
      <c r="V1273" s="13"/>
      <c r="W1273" s="13"/>
      <c r="X1273" s="13"/>
      <c r="Y1273" s="13"/>
      <c r="Z1273" s="13"/>
    </row>
    <row r="1274">
      <c r="A1274" s="8">
        <v>43848.45609953704</v>
      </c>
      <c r="B1274" s="9" t="str">
        <f>HYPERLINK("https://twitter.com/PratyushSinha_F","@PratyushSinha_F")</f>
        <v>@PratyushSinha_F</v>
      </c>
      <c r="C1274" s="10" t="s">
        <v>5638</v>
      </c>
      <c r="D1274" s="10" t="s">
        <v>5639</v>
      </c>
      <c r="E1274" s="9" t="str">
        <f>HYPERLINK("https://twitter.com/PratyushSinha_F/status/1218562890300633088","1218562890300633088")</f>
        <v>1218562890300633088</v>
      </c>
      <c r="F1274" s="11" t="s">
        <v>5640</v>
      </c>
      <c r="G1274" s="13"/>
      <c r="H1274" s="13"/>
      <c r="I1274" s="14">
        <v>0.0</v>
      </c>
      <c r="J1274" s="14">
        <v>1.0</v>
      </c>
      <c r="K1274" s="9" t="str">
        <f>HYPERLINK("http://instagram.com","Instagram")</f>
        <v>Instagram</v>
      </c>
      <c r="L1274" s="15">
        <v>86.0</v>
      </c>
      <c r="M1274" s="15">
        <v>161.0</v>
      </c>
      <c r="N1274" s="15">
        <v>2.0</v>
      </c>
      <c r="O1274" s="16"/>
      <c r="P1274" s="17">
        <v>42380.60479166667</v>
      </c>
      <c r="Q1274" s="10" t="s">
        <v>5641</v>
      </c>
      <c r="R1274" s="10" t="s">
        <v>5642</v>
      </c>
      <c r="S1274" s="11" t="s">
        <v>5643</v>
      </c>
      <c r="T1274" s="13"/>
      <c r="U1274" s="18" t="str">
        <f>HYPERLINK("https://pbs.twimg.com/profile_images/686633033005273088/PBBo3_7A.png","View")</f>
        <v>View</v>
      </c>
      <c r="V1274" s="13"/>
      <c r="W1274" s="13"/>
      <c r="X1274" s="13"/>
      <c r="Y1274" s="13"/>
      <c r="Z1274" s="13"/>
    </row>
    <row r="1275">
      <c r="A1275" s="8">
        <v>43848.455312499995</v>
      </c>
      <c r="B1275" s="9" t="str">
        <f>HYPERLINK("https://twitter.com/DrTinarae","@DrTinarae")</f>
        <v>@DrTinarae</v>
      </c>
      <c r="C1275" s="10" t="s">
        <v>5644</v>
      </c>
      <c r="D1275" s="10" t="s">
        <v>5645</v>
      </c>
      <c r="E1275" s="9" t="str">
        <f>HYPERLINK("https://twitter.com/DrTinarae/status/1218562603561168896","1218562603561168896")</f>
        <v>1218562603561168896</v>
      </c>
      <c r="F1275" s="11" t="s">
        <v>5646</v>
      </c>
      <c r="G1275" s="11" t="s">
        <v>5647</v>
      </c>
      <c r="H1275" s="13"/>
      <c r="I1275" s="14">
        <v>0.0</v>
      </c>
      <c r="J1275" s="14">
        <v>2.0</v>
      </c>
      <c r="K1275" s="9" t="str">
        <f t="shared" ref="K1275:K1276" si="145">HYPERLINK("http://twitter.com/download/android","Twitter for Android")</f>
        <v>Twitter for Android</v>
      </c>
      <c r="L1275" s="15">
        <v>1204.0</v>
      </c>
      <c r="M1275" s="15">
        <v>982.0</v>
      </c>
      <c r="N1275" s="15">
        <v>3.0</v>
      </c>
      <c r="O1275" s="16"/>
      <c r="P1275" s="17">
        <v>42677.485555555555</v>
      </c>
      <c r="Q1275" s="10" t="s">
        <v>5648</v>
      </c>
      <c r="R1275" s="10" t="s">
        <v>5649</v>
      </c>
      <c r="S1275" s="13"/>
      <c r="T1275" s="13"/>
      <c r="U1275" s="18" t="str">
        <f>HYPERLINK("https://pbs.twimg.com/profile_images/1180837876889726977/p7Tifm1P.jpg","View")</f>
        <v>View</v>
      </c>
      <c r="V1275" s="13"/>
      <c r="W1275" s="13"/>
      <c r="X1275" s="13"/>
      <c r="Y1275" s="13"/>
      <c r="Z1275" s="13"/>
    </row>
    <row r="1276">
      <c r="A1276" s="8">
        <v>43848.45497685185</v>
      </c>
      <c r="B1276" s="9" t="str">
        <f>HYPERLINK("https://twitter.com/CollinBrown85","@CollinBrown85")</f>
        <v>@CollinBrown85</v>
      </c>
      <c r="C1276" s="10" t="s">
        <v>5650</v>
      </c>
      <c r="D1276" s="10" t="s">
        <v>5651</v>
      </c>
      <c r="E1276" s="9" t="str">
        <f>HYPERLINK("https://twitter.com/CollinBrown85/status/1218562482156912646","1218562482156912646")</f>
        <v>1218562482156912646</v>
      </c>
      <c r="F1276" s="13"/>
      <c r="G1276" s="13"/>
      <c r="H1276" s="13"/>
      <c r="I1276" s="14">
        <v>1.0</v>
      </c>
      <c r="J1276" s="14">
        <v>1.0</v>
      </c>
      <c r="K1276" s="9" t="str">
        <f t="shared" si="145"/>
        <v>Twitter for Android</v>
      </c>
      <c r="L1276" s="15">
        <v>350.0</v>
      </c>
      <c r="M1276" s="15">
        <v>892.0</v>
      </c>
      <c r="N1276" s="15">
        <v>19.0</v>
      </c>
      <c r="O1276" s="16"/>
      <c r="P1276" s="17">
        <v>40249.483402777776</v>
      </c>
      <c r="Q1276" s="10" t="s">
        <v>5652</v>
      </c>
      <c r="R1276" s="10" t="s">
        <v>5653</v>
      </c>
      <c r="S1276" s="11" t="s">
        <v>5654</v>
      </c>
      <c r="T1276" s="13"/>
      <c r="U1276" s="18" t="str">
        <f>HYPERLINK("https://pbs.twimg.com/profile_images/1084649569894379520/j1b3fkm8.jpg","View")</f>
        <v>View</v>
      </c>
      <c r="V1276" s="13"/>
      <c r="W1276" s="13"/>
      <c r="X1276" s="13"/>
      <c r="Y1276" s="13"/>
      <c r="Z1276" s="13"/>
    </row>
    <row r="1277">
      <c r="A1277" s="8">
        <v>43848.454942129625</v>
      </c>
      <c r="B1277" s="9" t="str">
        <f>HYPERLINK("https://twitter.com/CompeerBuffalo","@CompeerBuffalo")</f>
        <v>@CompeerBuffalo</v>
      </c>
      <c r="C1277" s="10" t="s">
        <v>5655</v>
      </c>
      <c r="D1277" s="10" t="s">
        <v>5656</v>
      </c>
      <c r="E1277" s="9" t="str">
        <f>HYPERLINK("https://twitter.com/CompeerBuffalo/status/1218562468903038983","1218562468903038983")</f>
        <v>1218562468903038983</v>
      </c>
      <c r="F1277" s="11" t="s">
        <v>5657</v>
      </c>
      <c r="G1277" s="11" t="s">
        <v>5658</v>
      </c>
      <c r="H1277" s="13"/>
      <c r="I1277" s="14">
        <v>0.0</v>
      </c>
      <c r="J1277" s="14">
        <v>1.0</v>
      </c>
      <c r="K1277" s="9" t="str">
        <f>HYPERLINK("http://twitter.com/download/iphone","Twitter for iPhone")</f>
        <v>Twitter for iPhone</v>
      </c>
      <c r="L1277" s="15">
        <v>1374.0</v>
      </c>
      <c r="M1277" s="15">
        <v>305.0</v>
      </c>
      <c r="N1277" s="15">
        <v>51.0</v>
      </c>
      <c r="O1277" s="16"/>
      <c r="P1277" s="17">
        <v>39842.47793981482</v>
      </c>
      <c r="Q1277" s="10" t="s">
        <v>5659</v>
      </c>
      <c r="R1277" s="10" t="s">
        <v>5660</v>
      </c>
      <c r="S1277" s="11" t="s">
        <v>5661</v>
      </c>
      <c r="T1277" s="13"/>
      <c r="U1277" s="18" t="str">
        <f>HYPERLINK("https://pbs.twimg.com/profile_images/831157254124617730/mwUKl71y.jpg","View")</f>
        <v>View</v>
      </c>
      <c r="V1277" s="13"/>
      <c r="W1277" s="13"/>
      <c r="X1277" s="13"/>
      <c r="Y1277" s="13"/>
      <c r="Z1277" s="13"/>
    </row>
    <row r="1278">
      <c r="A1278" s="8">
        <v>43848.45425925926</v>
      </c>
      <c r="B1278" s="9" t="str">
        <f>HYPERLINK("https://twitter.com/romainmurphy","@romainmurphy")</f>
        <v>@romainmurphy</v>
      </c>
      <c r="C1278" s="10" t="s">
        <v>5662</v>
      </c>
      <c r="D1278" s="10" t="s">
        <v>5663</v>
      </c>
      <c r="E1278" s="9" t="str">
        <f>HYPERLINK("https://twitter.com/romainmurphy/status/1218562224534573056","1218562224534573056")</f>
        <v>1218562224534573056</v>
      </c>
      <c r="F1278" s="11" t="s">
        <v>5664</v>
      </c>
      <c r="G1278" s="13"/>
      <c r="H1278" s="13"/>
      <c r="I1278" s="14">
        <v>0.0</v>
      </c>
      <c r="J1278" s="14">
        <v>0.0</v>
      </c>
      <c r="K1278" s="9" t="str">
        <f>HYPERLINK("https://mobile.twitter.com","Twitter Web App")</f>
        <v>Twitter Web App</v>
      </c>
      <c r="L1278" s="15">
        <v>558.0</v>
      </c>
      <c r="M1278" s="15">
        <v>412.0</v>
      </c>
      <c r="N1278" s="15">
        <v>17.0</v>
      </c>
      <c r="O1278" s="16"/>
      <c r="P1278" s="17">
        <v>41656.36444444444</v>
      </c>
      <c r="Q1278" s="10" t="s">
        <v>5665</v>
      </c>
      <c r="R1278" s="10" t="s">
        <v>5666</v>
      </c>
      <c r="S1278" s="11" t="s">
        <v>5667</v>
      </c>
      <c r="T1278" s="13"/>
      <c r="U1278" s="18" t="str">
        <f>HYPERLINK("https://pbs.twimg.com/profile_images/958322693845147648/roagGPlL.jpg","View")</f>
        <v>View</v>
      </c>
      <c r="V1278" s="13"/>
      <c r="W1278" s="13"/>
      <c r="X1278" s="13"/>
      <c r="Y1278" s="13"/>
      <c r="Z1278" s="13"/>
    </row>
    <row r="1279">
      <c r="A1279" s="8">
        <v>43848.45412037037</v>
      </c>
      <c r="B1279" s="9" t="str">
        <f>HYPERLINK("https://twitter.com/LindsaySKallen","@LindsaySKallen")</f>
        <v>@LindsaySKallen</v>
      </c>
      <c r="C1279" s="10" t="s">
        <v>2659</v>
      </c>
      <c r="D1279" s="10" t="s">
        <v>5668</v>
      </c>
      <c r="E1279" s="9" t="str">
        <f>HYPERLINK("https://twitter.com/LindsaySKallen/status/1218562172852326400","1218562172852326400")</f>
        <v>1218562172852326400</v>
      </c>
      <c r="F1279" s="11" t="s">
        <v>5669</v>
      </c>
      <c r="G1279" s="13"/>
      <c r="H1279" s="13"/>
      <c r="I1279" s="14">
        <v>0.0</v>
      </c>
      <c r="J1279" s="14">
        <v>0.0</v>
      </c>
      <c r="K1279" s="9" t="str">
        <f>HYPERLINK("http://twitter.com/download/iphone","Twitter for iPhone")</f>
        <v>Twitter for iPhone</v>
      </c>
      <c r="L1279" s="15">
        <v>374.0</v>
      </c>
      <c r="M1279" s="15">
        <v>874.0</v>
      </c>
      <c r="N1279" s="15">
        <v>24.0</v>
      </c>
      <c r="O1279" s="16"/>
      <c r="P1279" s="17">
        <v>41852.547789351855</v>
      </c>
      <c r="Q1279" s="10" t="s">
        <v>1169</v>
      </c>
      <c r="R1279" s="10" t="s">
        <v>2661</v>
      </c>
      <c r="S1279" s="11" t="s">
        <v>2662</v>
      </c>
      <c r="T1279" s="13"/>
      <c r="U1279" s="18" t="str">
        <f>HYPERLINK("https://pbs.twimg.com/profile_images/497447978420805632/rDlOx7o8.jpeg","View")</f>
        <v>View</v>
      </c>
      <c r="V1279" s="13"/>
      <c r="W1279" s="13"/>
      <c r="X1279" s="13"/>
      <c r="Y1279" s="13"/>
      <c r="Z1279" s="13"/>
    </row>
    <row r="1280">
      <c r="A1280" s="8">
        <v>43848.45396990741</v>
      </c>
      <c r="B1280" s="9" t="str">
        <f>HYPERLINK("https://twitter.com/YHELPNOW","@YHELPNOW")</f>
        <v>@YHELPNOW</v>
      </c>
      <c r="C1280" s="10" t="s">
        <v>2948</v>
      </c>
      <c r="D1280" s="10" t="s">
        <v>5670</v>
      </c>
      <c r="E1280" s="9" t="str">
        <f>HYPERLINK("https://twitter.com/YHELPNOW/status/1218562119177732099","1218562119177732099")</f>
        <v>1218562119177732099</v>
      </c>
      <c r="F1280" s="13"/>
      <c r="G1280" s="11" t="s">
        <v>5671</v>
      </c>
      <c r="H1280" s="13"/>
      <c r="I1280" s="14">
        <v>0.0</v>
      </c>
      <c r="J1280" s="14">
        <v>0.0</v>
      </c>
      <c r="K1280" s="9" t="str">
        <f>HYPERLINK("http://twitter.com/download/android","Twitter for Android")</f>
        <v>Twitter for Android</v>
      </c>
      <c r="L1280" s="15">
        <v>102.0</v>
      </c>
      <c r="M1280" s="15">
        <v>225.0</v>
      </c>
      <c r="N1280" s="15">
        <v>0.0</v>
      </c>
      <c r="O1280" s="16"/>
      <c r="P1280" s="17">
        <v>43356.42155092592</v>
      </c>
      <c r="Q1280" s="13"/>
      <c r="R1280" s="13"/>
      <c r="S1280" s="11" t="s">
        <v>2951</v>
      </c>
      <c r="T1280" s="13"/>
      <c r="U1280" s="18" t="str">
        <f>HYPERLINK("https://pbs.twimg.com/profile_images/1040241233468252161/3prY661p.jpg","View")</f>
        <v>View</v>
      </c>
      <c r="V1280" s="13"/>
      <c r="W1280" s="13"/>
      <c r="X1280" s="13"/>
      <c r="Y1280" s="13"/>
      <c r="Z1280" s="13"/>
    </row>
    <row r="1281">
      <c r="A1281" s="8">
        <v>43848.45379629629</v>
      </c>
      <c r="B1281" s="9" t="str">
        <f>HYPERLINK("https://twitter.com/OpenMinds_SC","@OpenMinds_SC")</f>
        <v>@OpenMinds_SC</v>
      </c>
      <c r="C1281" s="10" t="s">
        <v>5672</v>
      </c>
      <c r="D1281" s="10" t="s">
        <v>5673</v>
      </c>
      <c r="E1281" s="9" t="str">
        <f>HYPERLINK("https://twitter.com/OpenMinds_SC/status/1218562053717266433","1218562053717266433")</f>
        <v>1218562053717266433</v>
      </c>
      <c r="F1281" s="11" t="s">
        <v>5674</v>
      </c>
      <c r="G1281" s="11" t="s">
        <v>5675</v>
      </c>
      <c r="H1281" s="13"/>
      <c r="I1281" s="14">
        <v>1.0</v>
      </c>
      <c r="J1281" s="14">
        <v>5.0</v>
      </c>
      <c r="K1281" s="9" t="str">
        <f>HYPERLINK("https://mobile.twitter.com","Twitter Web App")</f>
        <v>Twitter Web App</v>
      </c>
      <c r="L1281" s="15">
        <v>154.0</v>
      </c>
      <c r="M1281" s="15">
        <v>255.0</v>
      </c>
      <c r="N1281" s="15">
        <v>3.0</v>
      </c>
      <c r="O1281" s="16"/>
      <c r="P1281" s="17">
        <v>42662.25340277777</v>
      </c>
      <c r="Q1281" s="10" t="s">
        <v>5676</v>
      </c>
      <c r="R1281" s="10" t="s">
        <v>5677</v>
      </c>
      <c r="S1281" s="11" t="s">
        <v>5678</v>
      </c>
      <c r="T1281" s="13"/>
      <c r="U1281" s="18" t="str">
        <f>HYPERLINK("https://pbs.twimg.com/profile_images/1210570394131927040/VgJzIIBN.jpg","View")</f>
        <v>View</v>
      </c>
      <c r="V1281" s="13"/>
      <c r="W1281" s="13"/>
      <c r="X1281" s="13"/>
      <c r="Y1281" s="13"/>
      <c r="Z1281" s="13"/>
    </row>
    <row r="1282">
      <c r="A1282" s="8">
        <v>43848.452881944446</v>
      </c>
      <c r="B1282" s="9" t="str">
        <f>HYPERLINK("https://twitter.com/iammeggan","@iammeggan")</f>
        <v>@iammeggan</v>
      </c>
      <c r="C1282" s="10" t="s">
        <v>5679</v>
      </c>
      <c r="D1282" s="10" t="s">
        <v>5680</v>
      </c>
      <c r="E1282" s="9" t="str">
        <f>HYPERLINK("https://twitter.com/iammeggan/status/1218561723659145216","1218561723659145216")</f>
        <v>1218561723659145216</v>
      </c>
      <c r="F1282" s="13"/>
      <c r="G1282" s="11" t="s">
        <v>5681</v>
      </c>
      <c r="H1282" s="13"/>
      <c r="I1282" s="14">
        <v>0.0</v>
      </c>
      <c r="J1282" s="14">
        <v>9.0</v>
      </c>
      <c r="K1282" s="9" t="str">
        <f t="shared" ref="K1282:K1283" si="146">HYPERLINK("http://twitter.com/download/iphone","Twitter for iPhone")</f>
        <v>Twitter for iPhone</v>
      </c>
      <c r="L1282" s="15">
        <v>1124.0</v>
      </c>
      <c r="M1282" s="15">
        <v>1797.0</v>
      </c>
      <c r="N1282" s="15">
        <v>2.0</v>
      </c>
      <c r="O1282" s="16"/>
      <c r="P1282" s="17">
        <v>41550.42755787037</v>
      </c>
      <c r="Q1282" s="10" t="s">
        <v>145</v>
      </c>
      <c r="R1282" s="10" t="s">
        <v>5682</v>
      </c>
      <c r="S1282" s="11" t="s">
        <v>5683</v>
      </c>
      <c r="T1282" s="13"/>
      <c r="U1282" s="18" t="str">
        <f>HYPERLINK("https://pbs.twimg.com/profile_images/1083798578915467264/xQZR_L1i.jpg","View")</f>
        <v>View</v>
      </c>
      <c r="V1282" s="13"/>
      <c r="W1282" s="13"/>
      <c r="X1282" s="13"/>
      <c r="Y1282" s="13"/>
      <c r="Z1282" s="13"/>
    </row>
    <row r="1283">
      <c r="A1283" s="8">
        <v>43848.45282407408</v>
      </c>
      <c r="B1283" s="9" t="str">
        <f>HYPERLINK("https://twitter.com/JakeMHAdvocate","@JakeMHAdvocate")</f>
        <v>@JakeMHAdvocate</v>
      </c>
      <c r="C1283" s="10" t="s">
        <v>5684</v>
      </c>
      <c r="D1283" s="10" t="s">
        <v>5685</v>
      </c>
      <c r="E1283" s="9" t="str">
        <f>HYPERLINK("https://twitter.com/JakeMHAdvocate/status/1218561702905745408","1218561702905745408")</f>
        <v>1218561702905745408</v>
      </c>
      <c r="F1283" s="13"/>
      <c r="G1283" s="13"/>
      <c r="H1283" s="13"/>
      <c r="I1283" s="14">
        <v>3.0</v>
      </c>
      <c r="J1283" s="14">
        <v>2.0</v>
      </c>
      <c r="K1283" s="9" t="str">
        <f t="shared" si="146"/>
        <v>Twitter for iPhone</v>
      </c>
      <c r="L1283" s="15">
        <v>213.0</v>
      </c>
      <c r="M1283" s="15">
        <v>17.0</v>
      </c>
      <c r="N1283" s="15">
        <v>0.0</v>
      </c>
      <c r="O1283" s="16"/>
      <c r="P1283" s="17">
        <v>43665.61002314815</v>
      </c>
      <c r="Q1283" s="13"/>
      <c r="R1283" s="10" t="s">
        <v>5686</v>
      </c>
      <c r="S1283" s="11" t="s">
        <v>5687</v>
      </c>
      <c r="T1283" s="13"/>
      <c r="U1283" s="18" t="str">
        <f>HYPERLINK("https://pbs.twimg.com/profile_images/1218310288468054016/RHpOIWYs.jpg","View")</f>
        <v>View</v>
      </c>
      <c r="V1283" s="13"/>
      <c r="W1283" s="13"/>
      <c r="X1283" s="13"/>
      <c r="Y1283" s="13"/>
      <c r="Z1283" s="13"/>
    </row>
    <row r="1284">
      <c r="A1284" s="8">
        <v>43848.452465277776</v>
      </c>
      <c r="B1284" s="9" t="str">
        <f>HYPERLINK("https://twitter.com/Elizabe74152650","@Elizabe74152650")</f>
        <v>@Elizabe74152650</v>
      </c>
      <c r="C1284" s="10" t="s">
        <v>5688</v>
      </c>
      <c r="D1284" s="10" t="s">
        <v>5689</v>
      </c>
      <c r="E1284" s="9" t="str">
        <f>HYPERLINK("https://twitter.com/Elizabe74152650/status/1218561573138194433","1218561573138194433")</f>
        <v>1218561573138194433</v>
      </c>
      <c r="F1284" s="11" t="s">
        <v>5690</v>
      </c>
      <c r="G1284" s="11" t="s">
        <v>5691</v>
      </c>
      <c r="H1284" s="13"/>
      <c r="I1284" s="14">
        <v>0.0</v>
      </c>
      <c r="J1284" s="14">
        <v>0.0</v>
      </c>
      <c r="K1284" s="9" t="str">
        <f>HYPERLINK("https://www.corelistingmachine.com/","CORE ListingMachine")</f>
        <v>CORE ListingMachine</v>
      </c>
      <c r="L1284" s="15">
        <v>42.0</v>
      </c>
      <c r="M1284" s="15">
        <v>216.0</v>
      </c>
      <c r="N1284" s="15">
        <v>0.0</v>
      </c>
      <c r="O1284" s="16"/>
      <c r="P1284" s="17">
        <v>43119.35162037037</v>
      </c>
      <c r="Q1284" s="10" t="s">
        <v>536</v>
      </c>
      <c r="R1284" s="10" t="s">
        <v>5692</v>
      </c>
      <c r="S1284" s="13"/>
      <c r="T1284" s="13"/>
      <c r="U1284" s="18" t="str">
        <f>HYPERLINK("https://pbs.twimg.com/profile_images/954384056267018247/pjJ43nDC.jpg","View")</f>
        <v>View</v>
      </c>
      <c r="V1284" s="13"/>
      <c r="W1284" s="13"/>
      <c r="X1284" s="13"/>
      <c r="Y1284" s="13"/>
      <c r="Z1284" s="13"/>
    </row>
    <row r="1285">
      <c r="A1285" s="8">
        <v>43848.45212962963</v>
      </c>
      <c r="B1285" s="9" t="str">
        <f>HYPERLINK("https://twitter.com/ChuckDalldorf","@ChuckDalldorf")</f>
        <v>@ChuckDalldorf</v>
      </c>
      <c r="C1285" s="10" t="s">
        <v>5693</v>
      </c>
      <c r="D1285" s="10" t="s">
        <v>5694</v>
      </c>
      <c r="E1285" s="9" t="str">
        <f>HYPERLINK("https://twitter.com/ChuckDalldorf/status/1218561453675859973","1218561453675859973")</f>
        <v>1218561453675859973</v>
      </c>
      <c r="F1285" s="11" t="s">
        <v>5695</v>
      </c>
      <c r="G1285" s="13"/>
      <c r="H1285" s="13"/>
      <c r="I1285" s="14">
        <v>0.0</v>
      </c>
      <c r="J1285" s="14">
        <v>0.0</v>
      </c>
      <c r="K1285" s="9" t="str">
        <f t="shared" ref="K1285:K1286" si="147">HYPERLINK("http://twitter.com","Twitter Web Client")</f>
        <v>Twitter Web Client</v>
      </c>
      <c r="L1285" s="15">
        <v>4257.0</v>
      </c>
      <c r="M1285" s="15">
        <v>4774.0</v>
      </c>
      <c r="N1285" s="15">
        <v>845.0</v>
      </c>
      <c r="O1285" s="16"/>
      <c r="P1285" s="17">
        <v>39876.47568287037</v>
      </c>
      <c r="Q1285" s="13"/>
      <c r="R1285" s="10" t="s">
        <v>5696</v>
      </c>
      <c r="S1285" s="13"/>
      <c r="T1285" s="13"/>
      <c r="U1285" s="18" t="str">
        <f>HYPERLINK("https://pbs.twimg.com/profile_images/1212402664459255808/-vj8Df5e.jpg","View")</f>
        <v>View</v>
      </c>
      <c r="V1285" s="13"/>
      <c r="W1285" s="13"/>
      <c r="X1285" s="13"/>
      <c r="Y1285" s="13"/>
      <c r="Z1285" s="13"/>
    </row>
    <row r="1286">
      <c r="A1286" s="8">
        <v>43848.45192129629</v>
      </c>
      <c r="B1286" s="9" t="str">
        <f>HYPERLINK("https://twitter.com/NoviceJourno","@NoviceJourno")</f>
        <v>@NoviceJourno</v>
      </c>
      <c r="C1286" s="10" t="s">
        <v>5697</v>
      </c>
      <c r="D1286" s="10" t="s">
        <v>5698</v>
      </c>
      <c r="E1286" s="9" t="str">
        <f>HYPERLINK("https://twitter.com/NoviceJourno/status/1218561375632609288","1218561375632609288")</f>
        <v>1218561375632609288</v>
      </c>
      <c r="F1286" s="11" t="s">
        <v>5699</v>
      </c>
      <c r="G1286" s="13"/>
      <c r="H1286" s="13"/>
      <c r="I1286" s="14">
        <v>0.0</v>
      </c>
      <c r="J1286" s="14">
        <v>1.0</v>
      </c>
      <c r="K1286" s="9" t="str">
        <f t="shared" si="147"/>
        <v>Twitter Web Client</v>
      </c>
      <c r="L1286" s="15">
        <v>277.0</v>
      </c>
      <c r="M1286" s="15">
        <v>458.0</v>
      </c>
      <c r="N1286" s="15">
        <v>0.0</v>
      </c>
      <c r="O1286" s="16"/>
      <c r="P1286" s="17">
        <v>43522.70587962963</v>
      </c>
      <c r="Q1286" s="10" t="s">
        <v>5700</v>
      </c>
      <c r="R1286" s="10" t="s">
        <v>5701</v>
      </c>
      <c r="S1286" s="11" t="s">
        <v>5702</v>
      </c>
      <c r="T1286" s="13"/>
      <c r="U1286" s="18" t="str">
        <f>HYPERLINK("https://pbs.twimg.com/profile_images/1196190443396046850/UysZMqIb.jpg","View")</f>
        <v>View</v>
      </c>
      <c r="V1286" s="13"/>
      <c r="W1286" s="13"/>
      <c r="X1286" s="13"/>
      <c r="Y1286" s="13"/>
      <c r="Z1286" s="13"/>
    </row>
    <row r="1287">
      <c r="A1287" s="8">
        <v>43848.45178240741</v>
      </c>
      <c r="B1287" s="9" t="str">
        <f>HYPERLINK("https://twitter.com/lgibson12397","@lgibson12397")</f>
        <v>@lgibson12397</v>
      </c>
      <c r="C1287" s="10" t="s">
        <v>3010</v>
      </c>
      <c r="D1287" s="10" t="s">
        <v>5703</v>
      </c>
      <c r="E1287" s="9" t="str">
        <f>HYPERLINK("https://twitter.com/lgibson12397/status/1218561325636431877","1218561325636431877")</f>
        <v>1218561325636431877</v>
      </c>
      <c r="F1287" s="13"/>
      <c r="G1287" s="11" t="s">
        <v>5704</v>
      </c>
      <c r="H1287" s="13"/>
      <c r="I1287" s="14">
        <v>11.0</v>
      </c>
      <c r="J1287" s="14">
        <v>58.0</v>
      </c>
      <c r="K1287" s="9" t="str">
        <f>HYPERLINK("http://twitter.com/download/android","Twitter for Android")</f>
        <v>Twitter for Android</v>
      </c>
      <c r="L1287" s="15">
        <v>8912.0</v>
      </c>
      <c r="M1287" s="15">
        <v>9794.0</v>
      </c>
      <c r="N1287" s="15">
        <v>15.0</v>
      </c>
      <c r="O1287" s="16"/>
      <c r="P1287" s="17">
        <v>42002.58578703704</v>
      </c>
      <c r="Q1287" s="13"/>
      <c r="R1287" s="10" t="s">
        <v>3012</v>
      </c>
      <c r="S1287" s="13"/>
      <c r="T1287" s="13"/>
      <c r="U1287" s="18" t="str">
        <f>HYPERLINK("https://pbs.twimg.com/profile_images/1022914492227760128/zjmy0zqU.jpg","View")</f>
        <v>View</v>
      </c>
      <c r="V1287" s="13"/>
      <c r="W1287" s="13"/>
      <c r="X1287" s="13"/>
      <c r="Y1287" s="13"/>
      <c r="Z1287" s="13"/>
    </row>
    <row r="1288">
      <c r="A1288" s="8">
        <v>43848.45150462963</v>
      </c>
      <c r="B1288" s="9" t="str">
        <f>HYPERLINK("https://twitter.com/tarasharmasaluj","@tarasharmasaluj")</f>
        <v>@tarasharmasaluj</v>
      </c>
      <c r="C1288" s="10" t="s">
        <v>5705</v>
      </c>
      <c r="D1288" s="10" t="s">
        <v>5706</v>
      </c>
      <c r="E1288" s="9" t="str">
        <f>HYPERLINK("https://twitter.com/tarasharmasaluj/status/1218561225858007042","1218561225858007042")</f>
        <v>1218561225858007042</v>
      </c>
      <c r="F1288" s="11" t="s">
        <v>5707</v>
      </c>
      <c r="G1288" s="13"/>
      <c r="H1288" s="13"/>
      <c r="I1288" s="14">
        <v>0.0</v>
      </c>
      <c r="J1288" s="14">
        <v>4.0</v>
      </c>
      <c r="K1288" s="9" t="str">
        <f>HYPERLINK("http://twitter.com/download/iphone","Twitter for iPhone")</f>
        <v>Twitter for iPhone</v>
      </c>
      <c r="L1288" s="15">
        <v>43251.0</v>
      </c>
      <c r="M1288" s="15">
        <v>1107.0</v>
      </c>
      <c r="N1288" s="15">
        <v>199.0</v>
      </c>
      <c r="O1288" s="21" t="s">
        <v>522</v>
      </c>
      <c r="P1288" s="17">
        <v>40405.184270833335</v>
      </c>
      <c r="Q1288" s="10" t="s">
        <v>5708</v>
      </c>
      <c r="R1288" s="10" t="s">
        <v>5709</v>
      </c>
      <c r="S1288" s="11" t="s">
        <v>5710</v>
      </c>
      <c r="T1288" s="13"/>
      <c r="U1288" s="18" t="str">
        <f>HYPERLINK("https://pbs.twimg.com/profile_images/378800000054795474/b95c56b1849562b0dbbbf91c99f7af13.jpeg","View")</f>
        <v>View</v>
      </c>
      <c r="V1288" s="13"/>
      <c r="W1288" s="13"/>
      <c r="X1288" s="13"/>
      <c r="Y1288" s="13"/>
      <c r="Z1288" s="13"/>
    </row>
    <row r="1289">
      <c r="A1289" s="8">
        <v>43848.45113425926</v>
      </c>
      <c r="B1289" s="9" t="str">
        <f>HYPERLINK("https://twitter.com/its_after","@its_after")</f>
        <v>@its_after</v>
      </c>
      <c r="C1289" s="10" t="s">
        <v>5711</v>
      </c>
      <c r="D1289" s="10" t="s">
        <v>5712</v>
      </c>
      <c r="E1289" s="9" t="str">
        <f>HYPERLINK("https://twitter.com/its_after/status/1218561088863817728","1218561088863817728")</f>
        <v>1218561088863817728</v>
      </c>
      <c r="F1289" s="13"/>
      <c r="G1289" s="11" t="s">
        <v>5713</v>
      </c>
      <c r="H1289" s="13"/>
      <c r="I1289" s="14">
        <v>0.0</v>
      </c>
      <c r="J1289" s="14">
        <v>1.0</v>
      </c>
      <c r="K1289" s="9" t="str">
        <f>HYPERLINK("https://mobile.twitter.com","Twitter Web App")</f>
        <v>Twitter Web App</v>
      </c>
      <c r="L1289" s="15">
        <v>369.0</v>
      </c>
      <c r="M1289" s="15">
        <v>878.0</v>
      </c>
      <c r="N1289" s="15">
        <v>2.0</v>
      </c>
      <c r="O1289" s="16"/>
      <c r="P1289" s="17">
        <v>43708.49408564815</v>
      </c>
      <c r="Q1289" s="10" t="s">
        <v>5714</v>
      </c>
      <c r="R1289" s="10" t="s">
        <v>5715</v>
      </c>
      <c r="S1289" s="13"/>
      <c r="T1289" s="13"/>
      <c r="U1289" s="18" t="str">
        <f>HYPERLINK("https://pbs.twimg.com/profile_images/1213260563997872128/jLk-jBgF.jpg","View")</f>
        <v>View</v>
      </c>
      <c r="V1289" s="13"/>
      <c r="W1289" s="13"/>
      <c r="X1289" s="13"/>
      <c r="Y1289" s="13"/>
      <c r="Z1289" s="13"/>
    </row>
    <row r="1290">
      <c r="A1290" s="8">
        <v>43848.45091435185</v>
      </c>
      <c r="B1290" s="9" t="str">
        <f>HYPERLINK("https://twitter.com/MHACalifornia","@MHACalifornia")</f>
        <v>@MHACalifornia</v>
      </c>
      <c r="C1290" s="10" t="s">
        <v>5716</v>
      </c>
      <c r="D1290" s="10" t="s">
        <v>5717</v>
      </c>
      <c r="E1290" s="9" t="str">
        <f>HYPERLINK("https://twitter.com/MHACalifornia/status/1218561011273412608","1218561011273412608")</f>
        <v>1218561011273412608</v>
      </c>
      <c r="F1290" s="11" t="s">
        <v>5718</v>
      </c>
      <c r="G1290" s="13"/>
      <c r="H1290" s="13"/>
      <c r="I1290" s="14">
        <v>0.0</v>
      </c>
      <c r="J1290" s="14">
        <v>0.0</v>
      </c>
      <c r="K1290" s="9" t="str">
        <f>HYPERLINK("https://www.hootsuite.com","Hootsuite Inc.")</f>
        <v>Hootsuite Inc.</v>
      </c>
      <c r="L1290" s="15">
        <v>179.0</v>
      </c>
      <c r="M1290" s="15">
        <v>65.0</v>
      </c>
      <c r="N1290" s="15">
        <v>6.0</v>
      </c>
      <c r="O1290" s="16"/>
      <c r="P1290" s="17">
        <v>41085.5868287037</v>
      </c>
      <c r="Q1290" s="10" t="s">
        <v>2568</v>
      </c>
      <c r="R1290" s="13"/>
      <c r="S1290" s="11" t="s">
        <v>5719</v>
      </c>
      <c r="T1290" s="13"/>
      <c r="U1290" s="18" t="str">
        <f>HYPERLINK("https://pbs.twimg.com/profile_images/2340371703/mhac_small_logo.JPG","View")</f>
        <v>View</v>
      </c>
      <c r="V1290" s="13"/>
      <c r="W1290" s="13"/>
      <c r="X1290" s="13"/>
      <c r="Y1290" s="13"/>
      <c r="Z1290" s="13"/>
    </row>
    <row r="1291">
      <c r="A1291" s="8">
        <v>43848.45076388889</v>
      </c>
      <c r="B1291" s="9" t="str">
        <f>HYPERLINK("https://twitter.com/JunkshopLibrary","@JunkshopLibrary")</f>
        <v>@JunkshopLibrary</v>
      </c>
      <c r="C1291" s="10" t="s">
        <v>5720</v>
      </c>
      <c r="D1291" s="10" t="s">
        <v>5721</v>
      </c>
      <c r="E1291" s="9" t="str">
        <f>HYPERLINK("https://twitter.com/JunkshopLibrary/status/1218560958282465280","1218560958282465280")</f>
        <v>1218560958282465280</v>
      </c>
      <c r="F1291" s="11" t="s">
        <v>5722</v>
      </c>
      <c r="G1291" s="13"/>
      <c r="H1291" s="13"/>
      <c r="I1291" s="14">
        <v>0.0</v>
      </c>
      <c r="J1291" s="14">
        <v>1.0</v>
      </c>
      <c r="K1291" s="9" t="str">
        <f>HYPERLINK("http://twitter.com/download/android","Twitter for Android")</f>
        <v>Twitter for Android</v>
      </c>
      <c r="L1291" s="15">
        <v>705.0</v>
      </c>
      <c r="M1291" s="15">
        <v>862.0</v>
      </c>
      <c r="N1291" s="15">
        <v>6.0</v>
      </c>
      <c r="O1291" s="16"/>
      <c r="P1291" s="17">
        <v>43209.49900462963</v>
      </c>
      <c r="Q1291" s="10" t="s">
        <v>5723</v>
      </c>
      <c r="R1291" s="10" t="s">
        <v>5724</v>
      </c>
      <c r="S1291" s="11" t="s">
        <v>5725</v>
      </c>
      <c r="T1291" s="13"/>
      <c r="U1291" s="18" t="str">
        <f>HYPERLINK("https://pbs.twimg.com/profile_images/1216235024388972546/CZY3ZKwc.jpg","View")</f>
        <v>View</v>
      </c>
      <c r="V1291" s="13"/>
      <c r="W1291" s="13"/>
      <c r="X1291" s="13"/>
      <c r="Y1291" s="13"/>
      <c r="Z1291" s="13"/>
    </row>
    <row r="1292">
      <c r="A1292" s="8">
        <v>43848.45064814815</v>
      </c>
      <c r="B1292" s="9" t="str">
        <f>HYPERLINK("https://twitter.com/Stevorocket1","@Stevorocket1")</f>
        <v>@Stevorocket1</v>
      </c>
      <c r="C1292" s="10" t="s">
        <v>5726</v>
      </c>
      <c r="D1292" s="10" t="s">
        <v>238</v>
      </c>
      <c r="E1292" s="9" t="str">
        <f>HYPERLINK("https://twitter.com/Stevorocket1/status/1218560916549197824","1218560916549197824")</f>
        <v>1218560916549197824</v>
      </c>
      <c r="F1292" s="13"/>
      <c r="G1292" s="13"/>
      <c r="H1292" s="13"/>
      <c r="I1292" s="14">
        <v>0.0</v>
      </c>
      <c r="J1292" s="14">
        <v>0.0</v>
      </c>
      <c r="K1292" s="9" t="str">
        <f>HYPERLINK("http://twitter.com/#!/download/ipad","Twitter for iPad")</f>
        <v>Twitter for iPad</v>
      </c>
      <c r="L1292" s="15">
        <v>152.0</v>
      </c>
      <c r="M1292" s="15">
        <v>641.0</v>
      </c>
      <c r="N1292" s="15">
        <v>5.0</v>
      </c>
      <c r="O1292" s="16"/>
      <c r="P1292" s="17">
        <v>41613.22085648148</v>
      </c>
      <c r="Q1292" s="10" t="s">
        <v>5727</v>
      </c>
      <c r="R1292" s="10" t="s">
        <v>5728</v>
      </c>
      <c r="S1292" s="11" t="s">
        <v>5729</v>
      </c>
      <c r="T1292" s="13"/>
      <c r="U1292" s="18" t="str">
        <f>HYPERLINK("https://pbs.twimg.com/profile_images/779014152962605056/aeNtpR_X.jpg","View")</f>
        <v>View</v>
      </c>
      <c r="V1292" s="13"/>
      <c r="W1292" s="13"/>
      <c r="X1292" s="13"/>
      <c r="Y1292" s="13"/>
      <c r="Z1292" s="13"/>
    </row>
    <row r="1293">
      <c r="A1293" s="8">
        <v>43848.45046296297</v>
      </c>
      <c r="B1293" s="9" t="str">
        <f>HYPERLINK("https://twitter.com/kateylumpkins","@kateylumpkins")</f>
        <v>@kateylumpkins</v>
      </c>
      <c r="C1293" s="10" t="s">
        <v>5730</v>
      </c>
      <c r="D1293" s="10" t="s">
        <v>238</v>
      </c>
      <c r="E1293" s="9" t="str">
        <f>HYPERLINK("https://twitter.com/kateylumpkins/status/1218560845719986176","1218560845719986176")</f>
        <v>1218560845719986176</v>
      </c>
      <c r="F1293" s="13"/>
      <c r="G1293" s="13"/>
      <c r="H1293" s="13"/>
      <c r="I1293" s="14">
        <v>0.0</v>
      </c>
      <c r="J1293" s="14">
        <v>0.0</v>
      </c>
      <c r="K1293" s="9" t="str">
        <f>HYPERLINK("http://twitter.com/download/iphone","Twitter for iPhone")</f>
        <v>Twitter for iPhone</v>
      </c>
      <c r="L1293" s="15">
        <v>504.0</v>
      </c>
      <c r="M1293" s="15">
        <v>736.0</v>
      </c>
      <c r="N1293" s="15">
        <v>14.0</v>
      </c>
      <c r="O1293" s="16"/>
      <c r="P1293" s="17">
        <v>39975.25274305556</v>
      </c>
      <c r="Q1293" s="10" t="s">
        <v>5731</v>
      </c>
      <c r="R1293" s="10" t="s">
        <v>5732</v>
      </c>
      <c r="S1293" s="13"/>
      <c r="T1293" s="13"/>
      <c r="U1293" s="18" t="str">
        <f>HYPERLINK("https://pbs.twimg.com/profile_images/1208045813445910528/buOPO8gJ.jpg","View")</f>
        <v>View</v>
      </c>
      <c r="V1293" s="13"/>
      <c r="W1293" s="13"/>
      <c r="X1293" s="13"/>
      <c r="Y1293" s="13"/>
      <c r="Z1293" s="13"/>
    </row>
    <row r="1294">
      <c r="A1294" s="8">
        <v>43848.44980324074</v>
      </c>
      <c r="B1294" s="9" t="str">
        <f>HYPERLINK("https://twitter.com/shelleythiemann","@shelleythiemann")</f>
        <v>@shelleythiemann</v>
      </c>
      <c r="C1294" s="10" t="s">
        <v>5733</v>
      </c>
      <c r="D1294" s="10" t="s">
        <v>5734</v>
      </c>
      <c r="E1294" s="9" t="str">
        <f>HYPERLINK("https://twitter.com/shelleythiemann/status/1218560606946631681","1218560606946631681")</f>
        <v>1218560606946631681</v>
      </c>
      <c r="F1294" s="11" t="s">
        <v>5735</v>
      </c>
      <c r="G1294" s="13"/>
      <c r="H1294" s="9" t="str">
        <f>HYPERLINK("https://ctrlq.org/maps/address/#51.045,-114.057","Map")</f>
        <v>Map</v>
      </c>
      <c r="I1294" s="14">
        <v>0.0</v>
      </c>
      <c r="J1294" s="14">
        <v>1.0</v>
      </c>
      <c r="K1294" s="9" t="str">
        <f>HYPERLINK("http://instagram.com","Instagram")</f>
        <v>Instagram</v>
      </c>
      <c r="L1294" s="15">
        <v>2261.0</v>
      </c>
      <c r="M1294" s="15">
        <v>2377.0</v>
      </c>
      <c r="N1294" s="15">
        <v>61.0</v>
      </c>
      <c r="O1294" s="16"/>
      <c r="P1294" s="17">
        <v>41015.32587962963</v>
      </c>
      <c r="Q1294" s="10" t="s">
        <v>5736</v>
      </c>
      <c r="R1294" s="10" t="s">
        <v>5737</v>
      </c>
      <c r="S1294" s="11" t="s">
        <v>5738</v>
      </c>
      <c r="T1294" s="13"/>
      <c r="U1294" s="18" t="str">
        <f>HYPERLINK("https://pbs.twimg.com/profile_images/1169684531483267072/IdpvuhCf.jpg","View")</f>
        <v>View</v>
      </c>
      <c r="V1294" s="13"/>
      <c r="W1294" s="13"/>
      <c r="X1294" s="13"/>
      <c r="Y1294" s="13"/>
      <c r="Z1294" s="13"/>
    </row>
    <row r="1295">
      <c r="A1295" s="8">
        <v>43848.449421296296</v>
      </c>
      <c r="B1295" s="9" t="str">
        <f>HYPERLINK("https://twitter.com/saragoldvine","@saragoldvine")</f>
        <v>@saragoldvine</v>
      </c>
      <c r="C1295" s="10" t="s">
        <v>5739</v>
      </c>
      <c r="D1295" s="10" t="s">
        <v>5740</v>
      </c>
      <c r="E1295" s="9" t="str">
        <f>HYPERLINK("https://twitter.com/saragoldvine/status/1218560469071319045","1218560469071319045")</f>
        <v>1218560469071319045</v>
      </c>
      <c r="F1295" s="11" t="s">
        <v>334</v>
      </c>
      <c r="G1295" s="13"/>
      <c r="H1295" s="13"/>
      <c r="I1295" s="14">
        <v>0.0</v>
      </c>
      <c r="J1295" s="14">
        <v>2.0</v>
      </c>
      <c r="K1295" s="9" t="str">
        <f>HYPERLINK("http://twitter.com/download/iphone","Twitter for iPhone")</f>
        <v>Twitter for iPhone</v>
      </c>
      <c r="L1295" s="15">
        <v>1441.0</v>
      </c>
      <c r="M1295" s="15">
        <v>1358.0</v>
      </c>
      <c r="N1295" s="15">
        <v>54.0</v>
      </c>
      <c r="O1295" s="16"/>
      <c r="P1295" s="17">
        <v>40155.58144675926</v>
      </c>
      <c r="Q1295" s="10" t="s">
        <v>826</v>
      </c>
      <c r="R1295" s="10" t="s">
        <v>5741</v>
      </c>
      <c r="S1295" s="13"/>
      <c r="T1295" s="13"/>
      <c r="U1295" s="18" t="str">
        <f>HYPERLINK("https://pbs.twimg.com/profile_images/1218649789425836032/TtVY7vGN.jpg","View")</f>
        <v>View</v>
      </c>
      <c r="V1295" s="13"/>
      <c r="W1295" s="13"/>
      <c r="X1295" s="13"/>
      <c r="Y1295" s="13"/>
      <c r="Z1295" s="13"/>
    </row>
    <row r="1296">
      <c r="A1296" s="8">
        <v>43848.448692129634</v>
      </c>
      <c r="B1296" s="9" t="str">
        <f>HYPERLINK("https://twitter.com/LovingSanders","@LovingSanders")</f>
        <v>@LovingSanders</v>
      </c>
      <c r="C1296" s="10" t="s">
        <v>70</v>
      </c>
      <c r="D1296" s="10" t="s">
        <v>5742</v>
      </c>
      <c r="E1296" s="9" t="str">
        <f>HYPERLINK("https://twitter.com/LovingSanders/status/1218560207971741696","1218560207971741696")</f>
        <v>1218560207971741696</v>
      </c>
      <c r="F1296" s="11" t="s">
        <v>5743</v>
      </c>
      <c r="G1296" s="13"/>
      <c r="H1296" s="13"/>
      <c r="I1296" s="14">
        <v>0.0</v>
      </c>
      <c r="J1296" s="14">
        <v>0.0</v>
      </c>
      <c r="K1296" s="9" t="str">
        <f>HYPERLINK("https://plus.google.com/102104104608814339564","ZolushkaLaura")</f>
        <v>ZolushkaLaura</v>
      </c>
      <c r="L1296" s="15">
        <v>8205.0</v>
      </c>
      <c r="M1296" s="15">
        <v>5631.0</v>
      </c>
      <c r="N1296" s="15">
        <v>555.0</v>
      </c>
      <c r="O1296" s="16"/>
      <c r="P1296" s="17">
        <v>41611.270844907405</v>
      </c>
      <c r="Q1296" s="10" t="s">
        <v>73</v>
      </c>
      <c r="R1296" s="10" t="s">
        <v>74</v>
      </c>
      <c r="S1296" s="11" t="s">
        <v>75</v>
      </c>
      <c r="T1296" s="13"/>
      <c r="U1296" s="18" t="str">
        <f>HYPERLINK("https://pbs.twimg.com/profile_images/953034378275377152/PI2tXfLU.jpg","View")</f>
        <v>View</v>
      </c>
      <c r="V1296" s="13"/>
      <c r="W1296" s="13"/>
      <c r="X1296" s="13"/>
      <c r="Y1296" s="13"/>
      <c r="Z1296" s="13"/>
    </row>
    <row r="1297">
      <c r="A1297" s="8">
        <v>43848.44868055556</v>
      </c>
      <c r="B1297" s="9" t="str">
        <f>HYPERLINK("https://twitter.com/angrycoffeeguy","@angrycoffeeguy")</f>
        <v>@angrycoffeeguy</v>
      </c>
      <c r="C1297" s="10" t="s">
        <v>5744</v>
      </c>
      <c r="D1297" s="10" t="s">
        <v>5745</v>
      </c>
      <c r="E1297" s="9" t="str">
        <f>HYPERLINK("https://twitter.com/angrycoffeeguy/status/1218560202674528258","1218560202674528258")</f>
        <v>1218560202674528258</v>
      </c>
      <c r="F1297" s="11" t="s">
        <v>5746</v>
      </c>
      <c r="G1297" s="13"/>
      <c r="H1297" s="13"/>
      <c r="I1297" s="14">
        <v>0.0</v>
      </c>
      <c r="J1297" s="14">
        <v>0.0</v>
      </c>
      <c r="K1297" s="9" t="str">
        <f>HYPERLINK("http://twitter.com/download/iphone","Twitter for iPhone")</f>
        <v>Twitter for iPhone</v>
      </c>
      <c r="L1297" s="15">
        <v>169.0</v>
      </c>
      <c r="M1297" s="15">
        <v>773.0</v>
      </c>
      <c r="N1297" s="15">
        <v>1.0</v>
      </c>
      <c r="O1297" s="16"/>
      <c r="P1297" s="17">
        <v>40561.5403125</v>
      </c>
      <c r="Q1297" s="10" t="s">
        <v>394</v>
      </c>
      <c r="R1297" s="10" t="s">
        <v>5747</v>
      </c>
      <c r="S1297" s="13"/>
      <c r="T1297" s="13"/>
      <c r="U1297" s="18" t="str">
        <f>HYPERLINK("https://pbs.twimg.com/profile_images/419657996654755840/ePT9rgb4.jpeg","View")</f>
        <v>View</v>
      </c>
      <c r="V1297" s="13"/>
      <c r="W1297" s="13"/>
      <c r="X1297" s="13"/>
      <c r="Y1297" s="13"/>
      <c r="Z1297" s="13"/>
    </row>
    <row r="1298">
      <c r="A1298" s="8">
        <v>43848.44865740741</v>
      </c>
      <c r="B1298" s="9" t="str">
        <f>HYPERLINK("https://twitter.com/DShorb","@DShorb")</f>
        <v>@DShorb</v>
      </c>
      <c r="C1298" s="10" t="s">
        <v>21</v>
      </c>
      <c r="D1298" s="10" t="s">
        <v>1134</v>
      </c>
      <c r="E1298" s="9" t="str">
        <f>HYPERLINK("https://twitter.com/DShorb/status/1218560193107320833","1218560193107320833")</f>
        <v>1218560193107320833</v>
      </c>
      <c r="F1298" s="11" t="s">
        <v>5748</v>
      </c>
      <c r="G1298" s="13"/>
      <c r="H1298" s="13"/>
      <c r="I1298" s="14">
        <v>0.0</v>
      </c>
      <c r="J1298" s="14">
        <v>0.0</v>
      </c>
      <c r="K1298" s="9" t="str">
        <f>HYPERLINK("https://www.smedian.com","Penname")</f>
        <v>Penname</v>
      </c>
      <c r="L1298" s="15">
        <v>3871.0</v>
      </c>
      <c r="M1298" s="15">
        <v>4543.0</v>
      </c>
      <c r="N1298" s="15">
        <v>185.0</v>
      </c>
      <c r="O1298" s="16"/>
      <c r="P1298" s="17">
        <v>40991.739027777774</v>
      </c>
      <c r="Q1298" s="10" t="s">
        <v>24</v>
      </c>
      <c r="R1298" s="10" t="s">
        <v>25</v>
      </c>
      <c r="S1298" s="11" t="s">
        <v>26</v>
      </c>
      <c r="T1298" s="13"/>
      <c r="U1298" s="18" t="str">
        <f>HYPERLINK("https://pbs.twimg.com/profile_images/1134459629478408192/VnPf0dlm.jpg","View")</f>
        <v>View</v>
      </c>
      <c r="V1298" s="13"/>
      <c r="W1298" s="13"/>
      <c r="X1298" s="13"/>
      <c r="Y1298" s="13"/>
      <c r="Z1298" s="13"/>
    </row>
    <row r="1299">
      <c r="A1299" s="8">
        <v>43848.44813657408</v>
      </c>
      <c r="B1299" s="9" t="str">
        <f>HYPERLINK("https://twitter.com/tlambertwrites","@tlambertwrites")</f>
        <v>@tlambertwrites</v>
      </c>
      <c r="C1299" s="10" t="s">
        <v>5749</v>
      </c>
      <c r="D1299" s="10" t="s">
        <v>5750</v>
      </c>
      <c r="E1299" s="9" t="str">
        <f>HYPERLINK("https://twitter.com/tlambertwrites/status/1218560004699172865","1218560004699172865")</f>
        <v>1218560004699172865</v>
      </c>
      <c r="F1299" s="11" t="s">
        <v>5751</v>
      </c>
      <c r="G1299" s="11" t="s">
        <v>5752</v>
      </c>
      <c r="H1299" s="13"/>
      <c r="I1299" s="14">
        <v>1.0</v>
      </c>
      <c r="J1299" s="14">
        <v>0.0</v>
      </c>
      <c r="K1299" s="9" t="str">
        <f>HYPERLINK("https://smarterqueue.com","SmarterQueue")</f>
        <v>SmarterQueue</v>
      </c>
      <c r="L1299" s="15">
        <v>10059.0</v>
      </c>
      <c r="M1299" s="15">
        <v>9234.0</v>
      </c>
      <c r="N1299" s="15">
        <v>461.0</v>
      </c>
      <c r="O1299" s="16"/>
      <c r="P1299" s="17">
        <v>42105.55208333333</v>
      </c>
      <c r="Q1299" s="10" t="s">
        <v>5753</v>
      </c>
      <c r="R1299" s="10" t="s">
        <v>5754</v>
      </c>
      <c r="S1299" s="11" t="s">
        <v>5755</v>
      </c>
      <c r="T1299" s="13"/>
      <c r="U1299" s="18" t="str">
        <f>HYPERLINK("https://pbs.twimg.com/profile_images/1125073669904973824/tk3amFWp.png","View")</f>
        <v>View</v>
      </c>
      <c r="V1299" s="13"/>
      <c r="W1299" s="13"/>
      <c r="X1299" s="13"/>
      <c r="Y1299" s="13"/>
      <c r="Z1299" s="13"/>
    </row>
    <row r="1300">
      <c r="A1300" s="8">
        <v>43848.44805555556</v>
      </c>
      <c r="B1300" s="9" t="str">
        <f>HYPERLINK("https://twitter.com/RhandallJose","@RhandallJose")</f>
        <v>@RhandallJose</v>
      </c>
      <c r="C1300" s="10" t="s">
        <v>5756</v>
      </c>
      <c r="D1300" s="10" t="s">
        <v>238</v>
      </c>
      <c r="E1300" s="9" t="str">
        <f>HYPERLINK("https://twitter.com/RhandallJose/status/1218559976714768385","1218559976714768385")</f>
        <v>1218559976714768385</v>
      </c>
      <c r="F1300" s="13"/>
      <c r="G1300" s="13"/>
      <c r="H1300" s="13"/>
      <c r="I1300" s="14">
        <v>0.0</v>
      </c>
      <c r="J1300" s="14">
        <v>0.0</v>
      </c>
      <c r="K1300" s="9" t="str">
        <f>HYPERLINK("http://twitter.com/download/android","Twitter for Android")</f>
        <v>Twitter for Android</v>
      </c>
      <c r="L1300" s="15">
        <v>332.0</v>
      </c>
      <c r="M1300" s="15">
        <v>995.0</v>
      </c>
      <c r="N1300" s="15">
        <v>0.0</v>
      </c>
      <c r="O1300" s="16"/>
      <c r="P1300" s="17">
        <v>40234.53030092592</v>
      </c>
      <c r="Q1300" s="10" t="s">
        <v>5757</v>
      </c>
      <c r="R1300" s="10" t="s">
        <v>5758</v>
      </c>
      <c r="S1300" s="13"/>
      <c r="T1300" s="13"/>
      <c r="U1300" s="18" t="str">
        <f>HYPERLINK("https://pbs.twimg.com/profile_images/1208890048978010112/Oj8lVrRe.jpg","View")</f>
        <v>View</v>
      </c>
      <c r="V1300" s="13"/>
      <c r="W1300" s="13"/>
      <c r="X1300" s="13"/>
      <c r="Y1300" s="13"/>
      <c r="Z1300" s="13"/>
    </row>
    <row r="1301">
      <c r="A1301" s="8">
        <v>43848.44804398148</v>
      </c>
      <c r="B1301" s="9" t="str">
        <f>HYPERLINK("https://twitter.com/TimelyMD","@TimelyMD")</f>
        <v>@TimelyMD</v>
      </c>
      <c r="C1301" s="10" t="s">
        <v>5759</v>
      </c>
      <c r="D1301" s="10" t="s">
        <v>5760</v>
      </c>
      <c r="E1301" s="9" t="str">
        <f>HYPERLINK("https://twitter.com/TimelyMD/status/1218559969907412992","1218559969907412992")</f>
        <v>1218559969907412992</v>
      </c>
      <c r="F1301" s="11" t="s">
        <v>5761</v>
      </c>
      <c r="G1301" s="11" t="s">
        <v>5762</v>
      </c>
      <c r="H1301" s="13"/>
      <c r="I1301" s="14">
        <v>0.0</v>
      </c>
      <c r="J1301" s="14">
        <v>0.0</v>
      </c>
      <c r="K1301" s="9" t="str">
        <f>HYPERLINK("https://www.hootsuite.com","Hootsuite Inc.")</f>
        <v>Hootsuite Inc.</v>
      </c>
      <c r="L1301" s="15">
        <v>112.0</v>
      </c>
      <c r="M1301" s="15">
        <v>99.0</v>
      </c>
      <c r="N1301" s="15">
        <v>0.0</v>
      </c>
      <c r="O1301" s="16"/>
      <c r="P1301" s="17">
        <v>43113.646689814814</v>
      </c>
      <c r="Q1301" s="10" t="s">
        <v>5763</v>
      </c>
      <c r="R1301" s="10" t="s">
        <v>5764</v>
      </c>
      <c r="S1301" s="11" t="s">
        <v>5765</v>
      </c>
      <c r="T1301" s="13"/>
      <c r="U1301" s="18" t="str">
        <f>HYPERLINK("https://pbs.twimg.com/profile_images/952698754624204800/Xy08hrzp.jpg","View")</f>
        <v>View</v>
      </c>
      <c r="V1301" s="13"/>
      <c r="W1301" s="13"/>
      <c r="X1301" s="13"/>
      <c r="Y1301" s="13"/>
      <c r="Z1301" s="13"/>
    </row>
    <row r="1302">
      <c r="A1302" s="8">
        <v>43848.447650462964</v>
      </c>
      <c r="B1302" s="9" t="str">
        <f>HYPERLINK("https://twitter.com/melanie_korach","@melanie_korach")</f>
        <v>@melanie_korach</v>
      </c>
      <c r="C1302" s="10" t="s">
        <v>5766</v>
      </c>
      <c r="D1302" s="10" t="s">
        <v>5767</v>
      </c>
      <c r="E1302" s="9" t="str">
        <f>HYPERLINK("https://twitter.com/melanie_korach/status/1218559829515567106","1218559829515567106")</f>
        <v>1218559829515567106</v>
      </c>
      <c r="F1302" s="13"/>
      <c r="G1302" s="11" t="s">
        <v>5768</v>
      </c>
      <c r="H1302" s="13"/>
      <c r="I1302" s="14">
        <v>3.0</v>
      </c>
      <c r="J1302" s="14">
        <v>38.0</v>
      </c>
      <c r="K1302" s="9" t="str">
        <f t="shared" ref="K1302:K1303" si="148">HYPERLINK("http://twitter.com/download/iphone","Twitter for iPhone")</f>
        <v>Twitter for iPhone</v>
      </c>
      <c r="L1302" s="15">
        <v>23865.0</v>
      </c>
      <c r="M1302" s="15">
        <v>21089.0</v>
      </c>
      <c r="N1302" s="15">
        <v>131.0</v>
      </c>
      <c r="O1302" s="16"/>
      <c r="P1302" s="17">
        <v>42873.50809027778</v>
      </c>
      <c r="Q1302" s="10" t="s">
        <v>5769</v>
      </c>
      <c r="R1302" s="10" t="s">
        <v>5770</v>
      </c>
      <c r="S1302" s="13"/>
      <c r="T1302" s="13"/>
      <c r="U1302" s="18" t="str">
        <f>HYPERLINK("https://pbs.twimg.com/profile_images/1138923170294063105/7VowT7GA.jpg","View")</f>
        <v>View</v>
      </c>
      <c r="V1302" s="13"/>
      <c r="W1302" s="13"/>
      <c r="X1302" s="13"/>
      <c r="Y1302" s="13"/>
      <c r="Z1302" s="13"/>
    </row>
    <row r="1303">
      <c r="A1303" s="8">
        <v>43848.44755787037</v>
      </c>
      <c r="B1303" s="9" t="str">
        <f>HYPERLINK("https://twitter.com/romeywrites","@romeywrites")</f>
        <v>@romeywrites</v>
      </c>
      <c r="C1303" s="10" t="s">
        <v>5771</v>
      </c>
      <c r="D1303" s="10" t="s">
        <v>5772</v>
      </c>
      <c r="E1303" s="9" t="str">
        <f>HYPERLINK("https://twitter.com/romeywrites/status/1218559795428581378","1218559795428581378")</f>
        <v>1218559795428581378</v>
      </c>
      <c r="F1303" s="13"/>
      <c r="G1303" s="13"/>
      <c r="H1303" s="13"/>
      <c r="I1303" s="14">
        <v>0.0</v>
      </c>
      <c r="J1303" s="14">
        <v>0.0</v>
      </c>
      <c r="K1303" s="9" t="str">
        <f t="shared" si="148"/>
        <v>Twitter for iPhone</v>
      </c>
      <c r="L1303" s="15">
        <v>143.0</v>
      </c>
      <c r="M1303" s="15">
        <v>1130.0</v>
      </c>
      <c r="N1303" s="15">
        <v>1.0</v>
      </c>
      <c r="O1303" s="16"/>
      <c r="P1303" s="17">
        <v>40898.11556712963</v>
      </c>
      <c r="Q1303" s="10" t="s">
        <v>1314</v>
      </c>
      <c r="R1303" s="10" t="s">
        <v>5773</v>
      </c>
      <c r="S1303" s="13"/>
      <c r="T1303" s="13"/>
      <c r="U1303" s="18" t="str">
        <f>HYPERLINK("https://pbs.twimg.com/profile_images/1191595072061628416/qWIWJ19s.jpg","View")</f>
        <v>View</v>
      </c>
      <c r="V1303" s="13"/>
      <c r="W1303" s="13"/>
      <c r="X1303" s="13"/>
      <c r="Y1303" s="13"/>
      <c r="Z1303" s="13"/>
    </row>
    <row r="1304">
      <c r="A1304" s="8">
        <v>43848.44752314815</v>
      </c>
      <c r="B1304" s="9" t="str">
        <f>HYPERLINK("https://twitter.com/theoneofnow","@theoneofnow")</f>
        <v>@theoneofnow</v>
      </c>
      <c r="C1304" s="10" t="s">
        <v>5774</v>
      </c>
      <c r="D1304" s="10" t="s">
        <v>5775</v>
      </c>
      <c r="E1304" s="9" t="str">
        <f>HYPERLINK("https://twitter.com/theoneofnow/status/1218559783743127559","1218559783743127559")</f>
        <v>1218559783743127559</v>
      </c>
      <c r="F1304" s="11" t="s">
        <v>5776</v>
      </c>
      <c r="G1304" s="11" t="s">
        <v>5777</v>
      </c>
      <c r="H1304" s="13"/>
      <c r="I1304" s="14">
        <v>1.0</v>
      </c>
      <c r="J1304" s="14">
        <v>1.0</v>
      </c>
      <c r="K1304" s="9" t="str">
        <f>HYPERLINK("https://mobile.twitter.com","Twitter Web App")</f>
        <v>Twitter Web App</v>
      </c>
      <c r="L1304" s="15">
        <v>36.0</v>
      </c>
      <c r="M1304" s="15">
        <v>337.0</v>
      </c>
      <c r="N1304" s="15">
        <v>1.0</v>
      </c>
      <c r="O1304" s="16"/>
      <c r="P1304" s="17">
        <v>43501.81392361112</v>
      </c>
      <c r="Q1304" s="13"/>
      <c r="R1304" s="10" t="s">
        <v>5778</v>
      </c>
      <c r="S1304" s="11" t="s">
        <v>5779</v>
      </c>
      <c r="T1304" s="13"/>
      <c r="U1304" s="18" t="str">
        <f>HYPERLINK("https://pbs.twimg.com/profile_images/1095757152050966528/rrdkEJ_f.png","View")</f>
        <v>View</v>
      </c>
      <c r="V1304" s="13"/>
      <c r="W1304" s="13"/>
      <c r="X1304" s="13"/>
      <c r="Y1304" s="13"/>
      <c r="Z1304" s="13"/>
    </row>
    <row r="1305">
      <c r="A1305" s="8">
        <v>43848.447488425925</v>
      </c>
      <c r="B1305" s="9" t="str">
        <f>HYPERLINK("https://twitter.com/ashleym95921946","@ashleym95921946")</f>
        <v>@ashleym95921946</v>
      </c>
      <c r="C1305" s="10" t="s">
        <v>5780</v>
      </c>
      <c r="D1305" s="10" t="s">
        <v>5781</v>
      </c>
      <c r="E1305" s="9" t="str">
        <f>HYPERLINK("https://twitter.com/ashleym95921946/status/1218559767750365190","1218559767750365190")</f>
        <v>1218559767750365190</v>
      </c>
      <c r="F1305" s="11" t="s">
        <v>5782</v>
      </c>
      <c r="G1305" s="13"/>
      <c r="H1305" s="13"/>
      <c r="I1305" s="14">
        <v>0.0</v>
      </c>
      <c r="J1305" s="14">
        <v>0.0</v>
      </c>
      <c r="K1305" s="9" t="str">
        <f>HYPERLINK("http://twitter.com/download/iphone","Twitter for iPhone")</f>
        <v>Twitter for iPhone</v>
      </c>
      <c r="L1305" s="15">
        <v>1.0</v>
      </c>
      <c r="M1305" s="15">
        <v>27.0</v>
      </c>
      <c r="N1305" s="15">
        <v>0.0</v>
      </c>
      <c r="O1305" s="16"/>
      <c r="P1305" s="17">
        <v>43697.62944444444</v>
      </c>
      <c r="Q1305" s="13"/>
      <c r="R1305" s="10" t="s">
        <v>5783</v>
      </c>
      <c r="S1305" s="13"/>
      <c r="T1305" s="13"/>
      <c r="U1305" s="18" t="str">
        <f>HYPERLINK("https://pbs.twimg.com/profile_images/1163890284167684096/mjU-6OzA.jpg","View")</f>
        <v>View</v>
      </c>
      <c r="V1305" s="13"/>
      <c r="W1305" s="13"/>
      <c r="X1305" s="13"/>
      <c r="Y1305" s="13"/>
      <c r="Z1305" s="13"/>
    </row>
    <row r="1306">
      <c r="A1306" s="8">
        <v>43848.447430555556</v>
      </c>
      <c r="B1306" s="9" t="str">
        <f>HYPERLINK("https://twitter.com/KFluxgold","@KFluxgold")</f>
        <v>@KFluxgold</v>
      </c>
      <c r="C1306" s="10" t="s">
        <v>5784</v>
      </c>
      <c r="D1306" s="10" t="s">
        <v>5785</v>
      </c>
      <c r="E1306" s="9" t="str">
        <f>HYPERLINK("https://twitter.com/KFluxgold/status/1218559749429637120","1218559749429637120")</f>
        <v>1218559749429637120</v>
      </c>
      <c r="F1306" s="11" t="s">
        <v>5786</v>
      </c>
      <c r="G1306" s="11" t="s">
        <v>5787</v>
      </c>
      <c r="H1306" s="13"/>
      <c r="I1306" s="14">
        <v>0.0</v>
      </c>
      <c r="J1306" s="14">
        <v>0.0</v>
      </c>
      <c r="K1306" s="9" t="str">
        <f>HYPERLINK("http://twitter.com/download/android","Twitter for Android")</f>
        <v>Twitter for Android</v>
      </c>
      <c r="L1306" s="15">
        <v>11.0</v>
      </c>
      <c r="M1306" s="15">
        <v>263.0</v>
      </c>
      <c r="N1306" s="15">
        <v>0.0</v>
      </c>
      <c r="O1306" s="16"/>
      <c r="P1306" s="17">
        <v>43105.873923611114</v>
      </c>
      <c r="Q1306" s="13"/>
      <c r="R1306" s="13"/>
      <c r="S1306" s="13"/>
      <c r="T1306" s="13"/>
      <c r="U1306" s="21" t="s">
        <v>292</v>
      </c>
      <c r="V1306" s="13"/>
      <c r="W1306" s="13"/>
      <c r="X1306" s="13"/>
      <c r="Y1306" s="13"/>
      <c r="Z1306" s="13"/>
    </row>
    <row r="1307">
      <c r="A1307" s="8">
        <v>43848.44731481481</v>
      </c>
      <c r="B1307" s="9" t="str">
        <f>HYPERLINK("https://twitter.com/CarlaPrestonBo1","@CarlaPrestonBo1")</f>
        <v>@CarlaPrestonBo1</v>
      </c>
      <c r="C1307" s="10" t="s">
        <v>5788</v>
      </c>
      <c r="D1307" s="10" t="s">
        <v>5789</v>
      </c>
      <c r="E1307" s="9" t="str">
        <f>HYPERLINK("https://twitter.com/CarlaPrestonBo1/status/1218559706161123328","1218559706161123328")</f>
        <v>1218559706161123328</v>
      </c>
      <c r="F1307" s="13"/>
      <c r="G1307" s="11" t="s">
        <v>5790</v>
      </c>
      <c r="H1307" s="13"/>
      <c r="I1307" s="14">
        <v>1.0</v>
      </c>
      <c r="J1307" s="14">
        <v>0.0</v>
      </c>
      <c r="K1307" s="9" t="str">
        <f>HYPERLINK("http://twitter.com/download/iphone","Twitter for iPhone")</f>
        <v>Twitter for iPhone</v>
      </c>
      <c r="L1307" s="15">
        <v>5.0</v>
      </c>
      <c r="M1307" s="15">
        <v>32.0</v>
      </c>
      <c r="N1307" s="15">
        <v>0.0</v>
      </c>
      <c r="O1307" s="16"/>
      <c r="P1307" s="17">
        <v>43785.324687500004</v>
      </c>
      <c r="Q1307" s="13"/>
      <c r="R1307" s="10" t="s">
        <v>5791</v>
      </c>
      <c r="S1307" s="11" t="s">
        <v>5792</v>
      </c>
      <c r="T1307" s="13"/>
      <c r="U1307" s="18" t="str">
        <f>HYPERLINK("https://pbs.twimg.com/profile_images/1195685506262155264/LYtPSfHu.jpg","View")</f>
        <v>View</v>
      </c>
      <c r="V1307" s="13"/>
      <c r="W1307" s="13"/>
      <c r="X1307" s="13"/>
      <c r="Y1307" s="13"/>
      <c r="Z1307" s="13"/>
    </row>
    <row r="1308">
      <c r="A1308" s="8">
        <v>43848.4471875</v>
      </c>
      <c r="B1308" s="9" t="str">
        <f>HYPERLINK("https://twitter.com/wunda_tweet","@wunda_tweet")</f>
        <v>@wunda_tweet</v>
      </c>
      <c r="C1308" s="10" t="s">
        <v>5793</v>
      </c>
      <c r="D1308" s="10" t="s">
        <v>5794</v>
      </c>
      <c r="E1308" s="9" t="str">
        <f>HYPERLINK("https://twitter.com/wunda_tweet/status/1218559660690673664","1218559660690673664")</f>
        <v>1218559660690673664</v>
      </c>
      <c r="F1308" s="13"/>
      <c r="G1308" s="11" t="s">
        <v>5795</v>
      </c>
      <c r="H1308" s="13"/>
      <c r="I1308" s="14">
        <v>0.0</v>
      </c>
      <c r="J1308" s="14">
        <v>0.0</v>
      </c>
      <c r="K1308" s="9" t="str">
        <f>HYPERLINK("http://twitter.com/download/android","Twitter for Android")</f>
        <v>Twitter for Android</v>
      </c>
      <c r="L1308" s="15">
        <v>129.0</v>
      </c>
      <c r="M1308" s="15">
        <v>1232.0</v>
      </c>
      <c r="N1308" s="15">
        <v>0.0</v>
      </c>
      <c r="O1308" s="16"/>
      <c r="P1308" s="17">
        <v>43730.7177662037</v>
      </c>
      <c r="Q1308" s="10" t="s">
        <v>2323</v>
      </c>
      <c r="R1308" s="10" t="s">
        <v>5796</v>
      </c>
      <c r="S1308" s="11" t="s">
        <v>5797</v>
      </c>
      <c r="T1308" s="13"/>
      <c r="U1308" s="18" t="str">
        <f>HYPERLINK("https://pbs.twimg.com/profile_images/1175887268323700736/iTRjGfrV.jpg","View")</f>
        <v>View</v>
      </c>
      <c r="V1308" s="13"/>
      <c r="W1308" s="13"/>
      <c r="X1308" s="13"/>
      <c r="Y1308" s="13"/>
      <c r="Z1308" s="13"/>
    </row>
    <row r="1309">
      <c r="A1309" s="8">
        <v>43848.44663194445</v>
      </c>
      <c r="B1309" s="9" t="str">
        <f>HYPERLINK("https://twitter.com/KaterinaHilari","@KaterinaHilari")</f>
        <v>@KaterinaHilari</v>
      </c>
      <c r="C1309" s="10" t="s">
        <v>5798</v>
      </c>
      <c r="D1309" s="10" t="s">
        <v>5799</v>
      </c>
      <c r="E1309" s="9" t="str">
        <f>HYPERLINK("https://twitter.com/KaterinaHilari/status/1218559458890125314","1218559458890125314")</f>
        <v>1218559458890125314</v>
      </c>
      <c r="F1309" s="10" t="s">
        <v>5800</v>
      </c>
      <c r="G1309" s="13"/>
      <c r="H1309" s="13"/>
      <c r="I1309" s="14">
        <v>0.0</v>
      </c>
      <c r="J1309" s="14">
        <v>0.0</v>
      </c>
      <c r="K1309" s="9" t="str">
        <f>HYPERLINK("http://twitter.com/download/iphone","Twitter for iPhone")</f>
        <v>Twitter for iPhone</v>
      </c>
      <c r="L1309" s="15">
        <v>2387.0</v>
      </c>
      <c r="M1309" s="15">
        <v>588.0</v>
      </c>
      <c r="N1309" s="15">
        <v>58.0</v>
      </c>
      <c r="O1309" s="16"/>
      <c r="P1309" s="17">
        <v>40851.22320601852</v>
      </c>
      <c r="Q1309" s="10" t="s">
        <v>2537</v>
      </c>
      <c r="R1309" s="10" t="s">
        <v>5801</v>
      </c>
      <c r="S1309" s="11" t="s">
        <v>5802</v>
      </c>
      <c r="T1309" s="13"/>
      <c r="U1309" s="18" t="str">
        <f>HYPERLINK("https://pbs.twimg.com/profile_images/1127271994955841536/246ABXf0.jpg","View")</f>
        <v>View</v>
      </c>
      <c r="V1309" s="13"/>
      <c r="W1309" s="13"/>
      <c r="X1309" s="13"/>
      <c r="Y1309" s="13"/>
      <c r="Z1309" s="13"/>
    </row>
    <row r="1310">
      <c r="A1310" s="8">
        <v>43848.446550925924</v>
      </c>
      <c r="B1310" s="9" t="str">
        <f>HYPERLINK("https://twitter.com/LikeOneAnother","@LikeOneAnother")</f>
        <v>@LikeOneAnother</v>
      </c>
      <c r="C1310" s="10" t="s">
        <v>5803</v>
      </c>
      <c r="D1310" s="10" t="s">
        <v>5804</v>
      </c>
      <c r="E1310" s="9" t="str">
        <f>HYPERLINK("https://twitter.com/LikeOneAnother/status/1218559430926782464","1218559430926782464")</f>
        <v>1218559430926782464</v>
      </c>
      <c r="F1310" s="13"/>
      <c r="G1310" s="11" t="s">
        <v>5805</v>
      </c>
      <c r="H1310" s="13"/>
      <c r="I1310" s="14">
        <v>1.0</v>
      </c>
      <c r="J1310" s="14">
        <v>1.0</v>
      </c>
      <c r="K1310" s="9" t="str">
        <f>HYPERLINK("https://sproutsocial.com","Sprout Social")</f>
        <v>Sprout Social</v>
      </c>
      <c r="L1310" s="15">
        <v>394.0</v>
      </c>
      <c r="M1310" s="15">
        <v>233.0</v>
      </c>
      <c r="N1310" s="15">
        <v>1.0</v>
      </c>
      <c r="O1310" s="16"/>
      <c r="P1310" s="17">
        <v>43174.759004629625</v>
      </c>
      <c r="Q1310" s="13"/>
      <c r="R1310" s="10" t="s">
        <v>5806</v>
      </c>
      <c r="S1310" s="11" t="s">
        <v>5807</v>
      </c>
      <c r="T1310" s="13"/>
      <c r="U1310" s="18" t="str">
        <f>HYPERLINK("https://pbs.twimg.com/profile_images/1037701028727205888/TLzjICQx.jpg","View")</f>
        <v>View</v>
      </c>
      <c r="V1310" s="13"/>
      <c r="W1310" s="13"/>
      <c r="X1310" s="13"/>
      <c r="Y1310" s="13"/>
      <c r="Z1310" s="13"/>
    </row>
    <row r="1311">
      <c r="A1311" s="8">
        <v>43848.44641203704</v>
      </c>
      <c r="B1311" s="9" t="str">
        <f>HYPERLINK("https://twitter.com/_Lynn86","@_Lynn86")</f>
        <v>@_Lynn86</v>
      </c>
      <c r="C1311" s="10" t="s">
        <v>5808</v>
      </c>
      <c r="D1311" s="10" t="s">
        <v>238</v>
      </c>
      <c r="E1311" s="9" t="str">
        <f>HYPERLINK("https://twitter.com/_Lynn86/status/1218559379580035072","1218559379580035072")</f>
        <v>1218559379580035072</v>
      </c>
      <c r="F1311" s="13"/>
      <c r="G1311" s="13"/>
      <c r="H1311" s="13"/>
      <c r="I1311" s="14">
        <v>0.0</v>
      </c>
      <c r="J1311" s="14">
        <v>0.0</v>
      </c>
      <c r="K1311" s="9" t="str">
        <f>HYPERLINK("http://twitter.com/download/android","Twitter for Android")</f>
        <v>Twitter for Android</v>
      </c>
      <c r="L1311" s="15">
        <v>1805.0</v>
      </c>
      <c r="M1311" s="15">
        <v>1066.0</v>
      </c>
      <c r="N1311" s="15">
        <v>26.0</v>
      </c>
      <c r="O1311" s="16"/>
      <c r="P1311" s="17">
        <v>40793.67857638889</v>
      </c>
      <c r="Q1311" s="10" t="s">
        <v>4019</v>
      </c>
      <c r="R1311" s="10" t="s">
        <v>5809</v>
      </c>
      <c r="S1311" s="13"/>
      <c r="T1311" s="13"/>
      <c r="U1311" s="18" t="str">
        <f>HYPERLINK("https://pbs.twimg.com/profile_images/1217547896507244544/LkBAhgq8.jpg","View")</f>
        <v>View</v>
      </c>
      <c r="V1311" s="13"/>
      <c r="W1311" s="13"/>
      <c r="X1311" s="13"/>
      <c r="Y1311" s="13"/>
      <c r="Z1311" s="13"/>
    </row>
    <row r="1312">
      <c r="A1312" s="8">
        <v>43848.446377314816</v>
      </c>
      <c r="B1312" s="9" t="str">
        <f>HYPERLINK("https://twitter.com/ashleym95921946","@ashleym95921946")</f>
        <v>@ashleym95921946</v>
      </c>
      <c r="C1312" s="10" t="s">
        <v>5780</v>
      </c>
      <c r="D1312" s="10" t="s">
        <v>5810</v>
      </c>
      <c r="E1312" s="9" t="str">
        <f>HYPERLINK("https://twitter.com/ashleym95921946/status/1218559367211114497","1218559367211114497")</f>
        <v>1218559367211114497</v>
      </c>
      <c r="F1312" s="11" t="s">
        <v>5811</v>
      </c>
      <c r="G1312" s="13"/>
      <c r="H1312" s="13"/>
      <c r="I1312" s="14">
        <v>0.0</v>
      </c>
      <c r="J1312" s="14">
        <v>0.0</v>
      </c>
      <c r="K1312" s="9" t="str">
        <f>HYPERLINK("http://twitter.com/download/iphone","Twitter for iPhone")</f>
        <v>Twitter for iPhone</v>
      </c>
      <c r="L1312" s="15">
        <v>1.0</v>
      </c>
      <c r="M1312" s="15">
        <v>27.0</v>
      </c>
      <c r="N1312" s="15">
        <v>0.0</v>
      </c>
      <c r="O1312" s="16"/>
      <c r="P1312" s="17">
        <v>43697.62944444444</v>
      </c>
      <c r="Q1312" s="13"/>
      <c r="R1312" s="10" t="s">
        <v>5783</v>
      </c>
      <c r="S1312" s="13"/>
      <c r="T1312" s="13"/>
      <c r="U1312" s="18" t="str">
        <f>HYPERLINK("https://pbs.twimg.com/profile_images/1163890284167684096/mjU-6OzA.jpg","View")</f>
        <v>View</v>
      </c>
      <c r="V1312" s="13"/>
      <c r="W1312" s="13"/>
      <c r="X1312" s="13"/>
      <c r="Y1312" s="13"/>
      <c r="Z1312" s="13"/>
    </row>
    <row r="1313">
      <c r="A1313" s="8">
        <v>43848.44561342592</v>
      </c>
      <c r="B1313" s="9" t="str">
        <f>HYPERLINK("https://twitter.com/stevetattou","@stevetattou")</f>
        <v>@stevetattou</v>
      </c>
      <c r="C1313" s="10" t="s">
        <v>5812</v>
      </c>
      <c r="D1313" s="10" t="s">
        <v>5813</v>
      </c>
      <c r="E1313" s="9" t="str">
        <f>HYPERLINK("https://twitter.com/stevetattou/status/1218559091326492672","1218559091326492672")</f>
        <v>1218559091326492672</v>
      </c>
      <c r="F1313" s="13"/>
      <c r="G1313" s="13"/>
      <c r="H1313" s="13"/>
      <c r="I1313" s="14">
        <v>0.0</v>
      </c>
      <c r="J1313" s="14">
        <v>1.0</v>
      </c>
      <c r="K1313" s="9" t="str">
        <f>HYPERLINK("http://twitter.com/download/android","Twitter for Android")</f>
        <v>Twitter for Android</v>
      </c>
      <c r="L1313" s="15">
        <v>71.0</v>
      </c>
      <c r="M1313" s="15">
        <v>389.0</v>
      </c>
      <c r="N1313" s="15">
        <v>2.0</v>
      </c>
      <c r="O1313" s="16"/>
      <c r="P1313" s="17">
        <v>41744.61814814815</v>
      </c>
      <c r="Q1313" s="10" t="s">
        <v>5814</v>
      </c>
      <c r="R1313" s="10" t="s">
        <v>5815</v>
      </c>
      <c r="S1313" s="13"/>
      <c r="T1313" s="13"/>
      <c r="U1313" s="18" t="str">
        <f>HYPERLINK("https://pbs.twimg.com/profile_images/1189264366241304576/U5O9-otN.jpg","View")</f>
        <v>View</v>
      </c>
      <c r="V1313" s="13"/>
      <c r="W1313" s="13"/>
      <c r="X1313" s="13"/>
      <c r="Y1313" s="13"/>
      <c r="Z1313" s="13"/>
    </row>
    <row r="1314">
      <c r="A1314" s="8">
        <v>43848.445231481484</v>
      </c>
      <c r="B1314" s="9" t="str">
        <f>HYPERLINK("https://twitter.com/Lighting_It_Up","@Lighting_It_Up")</f>
        <v>@Lighting_It_Up</v>
      </c>
      <c r="C1314" s="10" t="s">
        <v>5816</v>
      </c>
      <c r="D1314" s="10" t="s">
        <v>5817</v>
      </c>
      <c r="E1314" s="9" t="str">
        <f>HYPERLINK("https://twitter.com/Lighting_It_Up/status/1218558950314061824","1218558950314061824")</f>
        <v>1218558950314061824</v>
      </c>
      <c r="F1314" s="13"/>
      <c r="G1314" s="11" t="s">
        <v>5818</v>
      </c>
      <c r="H1314" s="13"/>
      <c r="I1314" s="14">
        <v>5.0</v>
      </c>
      <c r="J1314" s="14">
        <v>11.0</v>
      </c>
      <c r="K1314" s="9" t="str">
        <f t="shared" ref="K1314:K1317" si="149">HYPERLINK("http://twitter.com/download/iphone","Twitter for iPhone")</f>
        <v>Twitter for iPhone</v>
      </c>
      <c r="L1314" s="15">
        <v>1326.0</v>
      </c>
      <c r="M1314" s="15">
        <v>1306.0</v>
      </c>
      <c r="N1314" s="15">
        <v>56.0</v>
      </c>
      <c r="O1314" s="16"/>
      <c r="P1314" s="17">
        <v>42782.784155092595</v>
      </c>
      <c r="Q1314" s="10" t="s">
        <v>474</v>
      </c>
      <c r="R1314" s="10" t="s">
        <v>5819</v>
      </c>
      <c r="S1314" s="11" t="s">
        <v>5820</v>
      </c>
      <c r="T1314" s="13"/>
      <c r="U1314" s="18" t="str">
        <f>HYPERLINK("https://pbs.twimg.com/profile_images/1158821132134277120/oPhZZ_Ir.png","View")</f>
        <v>View</v>
      </c>
      <c r="V1314" s="13"/>
      <c r="W1314" s="13"/>
      <c r="X1314" s="13"/>
      <c r="Y1314" s="13"/>
      <c r="Z1314" s="13"/>
    </row>
    <row r="1315">
      <c r="A1315" s="8">
        <v>43848.44517361111</v>
      </c>
      <c r="B1315" s="9" t="str">
        <f>HYPERLINK("https://twitter.com/lynes_christine","@lynes_christine")</f>
        <v>@lynes_christine</v>
      </c>
      <c r="C1315" s="10" t="s">
        <v>5821</v>
      </c>
      <c r="D1315" s="10" t="s">
        <v>5822</v>
      </c>
      <c r="E1315" s="9" t="str">
        <f>HYPERLINK("https://twitter.com/lynes_christine/status/1218558932341469185","1218558932341469185")</f>
        <v>1218558932341469185</v>
      </c>
      <c r="F1315" s="11" t="s">
        <v>5823</v>
      </c>
      <c r="G1315" s="11" t="s">
        <v>5824</v>
      </c>
      <c r="H1315" s="13"/>
      <c r="I1315" s="14">
        <v>0.0</v>
      </c>
      <c r="J1315" s="14">
        <v>1.0</v>
      </c>
      <c r="K1315" s="9" t="str">
        <f t="shared" si="149"/>
        <v>Twitter for iPhone</v>
      </c>
      <c r="L1315" s="15">
        <v>980.0</v>
      </c>
      <c r="M1315" s="15">
        <v>2253.0</v>
      </c>
      <c r="N1315" s="15">
        <v>89.0</v>
      </c>
      <c r="O1315" s="16"/>
      <c r="P1315" s="17">
        <v>41353.94950231482</v>
      </c>
      <c r="Q1315" s="13"/>
      <c r="R1315" s="10" t="s">
        <v>5825</v>
      </c>
      <c r="S1315" s="13"/>
      <c r="T1315" s="13"/>
      <c r="U1315" s="18" t="str">
        <f>HYPERLINK("https://pbs.twimg.com/profile_images/1196895144777256965/3x2tk5Im.jpg","View")</f>
        <v>View</v>
      </c>
      <c r="V1315" s="13"/>
      <c r="W1315" s="13"/>
      <c r="X1315" s="13"/>
      <c r="Y1315" s="13"/>
      <c r="Z1315" s="13"/>
    </row>
    <row r="1316">
      <c r="A1316" s="8">
        <v>43848.44447916667</v>
      </c>
      <c r="B1316" s="9" t="str">
        <f>HYPERLINK("https://twitter.com/carlsonlisam","@carlsonlisam")</f>
        <v>@carlsonlisam</v>
      </c>
      <c r="C1316" s="10" t="s">
        <v>5826</v>
      </c>
      <c r="D1316" s="10" t="s">
        <v>5827</v>
      </c>
      <c r="E1316" s="9" t="str">
        <f>HYPERLINK("https://twitter.com/carlsonlisam/status/1218558679433318403","1218558679433318403")</f>
        <v>1218558679433318403</v>
      </c>
      <c r="F1316" s="10" t="s">
        <v>5828</v>
      </c>
      <c r="G1316" s="11" t="s">
        <v>5829</v>
      </c>
      <c r="H1316" s="13"/>
      <c r="I1316" s="14">
        <v>1.0</v>
      </c>
      <c r="J1316" s="14">
        <v>2.0</v>
      </c>
      <c r="K1316" s="9" t="str">
        <f t="shared" si="149"/>
        <v>Twitter for iPhone</v>
      </c>
      <c r="L1316" s="15">
        <v>507.0</v>
      </c>
      <c r="M1316" s="15">
        <v>269.0</v>
      </c>
      <c r="N1316" s="15">
        <v>1.0</v>
      </c>
      <c r="O1316" s="16"/>
      <c r="P1316" s="17">
        <v>41127.43243055556</v>
      </c>
      <c r="Q1316" s="10" t="s">
        <v>1649</v>
      </c>
      <c r="R1316" s="10" t="s">
        <v>5830</v>
      </c>
      <c r="S1316" s="13"/>
      <c r="T1316" s="13"/>
      <c r="U1316" s="18" t="str">
        <f>HYPERLINK("https://pbs.twimg.com/profile_images/1027568280326860800/K1UtQeOU.jpg","View")</f>
        <v>View</v>
      </c>
      <c r="V1316" s="13"/>
      <c r="W1316" s="13"/>
      <c r="X1316" s="13"/>
      <c r="Y1316" s="13"/>
      <c r="Z1316" s="13"/>
    </row>
    <row r="1317">
      <c r="A1317" s="8">
        <v>43848.4435300926</v>
      </c>
      <c r="B1317" s="9" t="str">
        <f>HYPERLINK("https://twitter.com/JusttalkP","@JusttalkP")</f>
        <v>@JusttalkP</v>
      </c>
      <c r="C1317" s="10" t="s">
        <v>5831</v>
      </c>
      <c r="D1317" s="10" t="s">
        <v>5832</v>
      </c>
      <c r="E1317" s="9" t="str">
        <f>HYPERLINK("https://twitter.com/JusttalkP/status/1218558337295552513","1218558337295552513")</f>
        <v>1218558337295552513</v>
      </c>
      <c r="F1317" s="11" t="s">
        <v>5833</v>
      </c>
      <c r="G1317" s="11" t="s">
        <v>5834</v>
      </c>
      <c r="H1317" s="13"/>
      <c r="I1317" s="14">
        <v>1.0</v>
      </c>
      <c r="J1317" s="14">
        <v>2.0</v>
      </c>
      <c r="K1317" s="9" t="str">
        <f t="shared" si="149"/>
        <v>Twitter for iPhone</v>
      </c>
      <c r="L1317" s="15">
        <v>179.0</v>
      </c>
      <c r="M1317" s="15">
        <v>490.0</v>
      </c>
      <c r="N1317" s="15">
        <v>1.0</v>
      </c>
      <c r="O1317" s="16"/>
      <c r="P1317" s="17">
        <v>43786.4840625</v>
      </c>
      <c r="Q1317" s="10" t="s">
        <v>5835</v>
      </c>
      <c r="R1317" s="10" t="s">
        <v>5836</v>
      </c>
      <c r="S1317" s="11" t="s">
        <v>5837</v>
      </c>
      <c r="T1317" s="13"/>
      <c r="U1317" s="18" t="str">
        <f>HYPERLINK("https://pbs.twimg.com/profile_images/1196105528394633216/QQPMvHR1.jpg","View")</f>
        <v>View</v>
      </c>
      <c r="V1317" s="13"/>
      <c r="W1317" s="13"/>
      <c r="X1317" s="13"/>
      <c r="Y1317" s="13"/>
      <c r="Z1317" s="13"/>
    </row>
    <row r="1318">
      <c r="A1318" s="8">
        <v>43848.44318287037</v>
      </c>
      <c r="B1318" s="9" t="str">
        <f>HYPERLINK("https://twitter.com/PeaceInPain1","@PeaceInPain1")</f>
        <v>@PeaceInPain1</v>
      </c>
      <c r="C1318" s="10" t="s">
        <v>5838</v>
      </c>
      <c r="D1318" s="10" t="s">
        <v>5839</v>
      </c>
      <c r="E1318" s="9" t="str">
        <f>HYPERLINK("https://twitter.com/PeaceInPain1/status/1218558211193741313","1218558211193741313")</f>
        <v>1218558211193741313</v>
      </c>
      <c r="F1318" s="13"/>
      <c r="G1318" s="11" t="s">
        <v>5840</v>
      </c>
      <c r="H1318" s="13"/>
      <c r="I1318" s="14">
        <v>1.0</v>
      </c>
      <c r="J1318" s="14">
        <v>1.0</v>
      </c>
      <c r="K1318" s="9" t="str">
        <f>HYPERLINK("http://twitter.com/#!/download/ipad","Twitter for iPad")</f>
        <v>Twitter for iPad</v>
      </c>
      <c r="L1318" s="15">
        <v>1327.0</v>
      </c>
      <c r="M1318" s="15">
        <v>4031.0</v>
      </c>
      <c r="N1318" s="15">
        <v>5.0</v>
      </c>
      <c r="O1318" s="16"/>
      <c r="P1318" s="17">
        <v>43531.38266203704</v>
      </c>
      <c r="Q1318" s="10" t="s">
        <v>2265</v>
      </c>
      <c r="R1318" s="10" t="s">
        <v>5841</v>
      </c>
      <c r="S1318" s="11" t="s">
        <v>5842</v>
      </c>
      <c r="T1318" s="13"/>
      <c r="U1318" s="18" t="str">
        <f>HYPERLINK("https://pbs.twimg.com/profile_images/1103659440140623872/lEvPyEbL.png","View")</f>
        <v>View</v>
      </c>
      <c r="V1318" s="13"/>
      <c r="W1318" s="13"/>
      <c r="X1318" s="13"/>
      <c r="Y1318" s="13"/>
      <c r="Z1318" s="13"/>
    </row>
    <row r="1319">
      <c r="A1319" s="8">
        <v>43848.443020833336</v>
      </c>
      <c r="B1319" s="9" t="str">
        <f>HYPERLINK("https://twitter.com/HolidayGoddess_","@HolidayGoddess_")</f>
        <v>@HolidayGoddess_</v>
      </c>
      <c r="C1319" s="10" t="s">
        <v>5843</v>
      </c>
      <c r="D1319" s="10" t="s">
        <v>5844</v>
      </c>
      <c r="E1319" s="9" t="str">
        <f>HYPERLINK("https://twitter.com/HolidayGoddess_/status/1218558148845481984","1218558148845481984")</f>
        <v>1218558148845481984</v>
      </c>
      <c r="F1319" s="13"/>
      <c r="G1319" s="13"/>
      <c r="H1319" s="13"/>
      <c r="I1319" s="14">
        <v>0.0</v>
      </c>
      <c r="J1319" s="14">
        <v>17.0</v>
      </c>
      <c r="K1319" s="9" t="str">
        <f t="shared" ref="K1319:K1320" si="150">HYPERLINK("http://twitter.com/download/iphone","Twitter for iPhone")</f>
        <v>Twitter for iPhone</v>
      </c>
      <c r="L1319" s="15">
        <v>828.0</v>
      </c>
      <c r="M1319" s="15">
        <v>1072.0</v>
      </c>
      <c r="N1319" s="15">
        <v>2.0</v>
      </c>
      <c r="O1319" s="16"/>
      <c r="P1319" s="17">
        <v>43721.47993055556</v>
      </c>
      <c r="Q1319" s="10" t="s">
        <v>745</v>
      </c>
      <c r="R1319" s="10" t="s">
        <v>5845</v>
      </c>
      <c r="S1319" s="11" t="s">
        <v>5846</v>
      </c>
      <c r="T1319" s="13"/>
      <c r="U1319" s="18" t="str">
        <f>HYPERLINK("https://pbs.twimg.com/profile_images/1212458460677312512/sooDvw3l.jpg","View")</f>
        <v>View</v>
      </c>
      <c r="V1319" s="13"/>
      <c r="W1319" s="13"/>
      <c r="X1319" s="13"/>
      <c r="Y1319" s="13"/>
      <c r="Z1319" s="13"/>
    </row>
    <row r="1320">
      <c r="A1320" s="8">
        <v>43848.4421875</v>
      </c>
      <c r="B1320" s="9" t="str">
        <f>HYPERLINK("https://twitter.com/exploringUcoun","@exploringUcoun")</f>
        <v>@exploringUcoun</v>
      </c>
      <c r="C1320" s="10" t="s">
        <v>5847</v>
      </c>
      <c r="D1320" s="10" t="s">
        <v>5832</v>
      </c>
      <c r="E1320" s="9" t="str">
        <f>HYPERLINK("https://twitter.com/exploringUcoun/status/1218557847606366208","1218557847606366208")</f>
        <v>1218557847606366208</v>
      </c>
      <c r="F1320" s="11" t="s">
        <v>5833</v>
      </c>
      <c r="G1320" s="11" t="s">
        <v>5848</v>
      </c>
      <c r="H1320" s="13"/>
      <c r="I1320" s="14">
        <v>1.0</v>
      </c>
      <c r="J1320" s="14">
        <v>0.0</v>
      </c>
      <c r="K1320" s="9" t="str">
        <f t="shared" si="150"/>
        <v>Twitter for iPhone</v>
      </c>
      <c r="L1320" s="15">
        <v>180.0</v>
      </c>
      <c r="M1320" s="15">
        <v>347.0</v>
      </c>
      <c r="N1320" s="15">
        <v>6.0</v>
      </c>
      <c r="O1320" s="16"/>
      <c r="P1320" s="17">
        <v>41370.66407407408</v>
      </c>
      <c r="Q1320" s="10" t="s">
        <v>161</v>
      </c>
      <c r="R1320" s="10" t="s">
        <v>5849</v>
      </c>
      <c r="S1320" s="11" t="s">
        <v>5850</v>
      </c>
      <c r="T1320" s="13"/>
      <c r="U1320" s="18" t="str">
        <f>HYPERLINK("https://pbs.twimg.com/profile_images/1023571747961032706/imRfmtZc.jpg","View")</f>
        <v>View</v>
      </c>
      <c r="V1320" s="13"/>
      <c r="W1320" s="13"/>
      <c r="X1320" s="13"/>
      <c r="Y1320" s="13"/>
      <c r="Z1320" s="13"/>
    </row>
    <row r="1321">
      <c r="A1321" s="8">
        <v>43848.44196759259</v>
      </c>
      <c r="B1321" s="9" t="str">
        <f>HYPERLINK("https://twitter.com/Imheret45140132","@Imheret45140132")</f>
        <v>@Imheret45140132</v>
      </c>
      <c r="C1321" s="10" t="s">
        <v>828</v>
      </c>
      <c r="D1321" s="10" t="s">
        <v>5851</v>
      </c>
      <c r="E1321" s="9" t="str">
        <f>HYPERLINK("https://twitter.com/Imheret45140132/status/1218557768396918785","1218557768396918785")</f>
        <v>1218557768396918785</v>
      </c>
      <c r="F1321" s="13"/>
      <c r="G1321" s="13"/>
      <c r="H1321" s="13"/>
      <c r="I1321" s="14">
        <v>0.0</v>
      </c>
      <c r="J1321" s="14">
        <v>0.0</v>
      </c>
      <c r="K1321" s="9" t="str">
        <f>HYPERLINK("https://cheapbotsdonequick.com","Cheap Bots, Done Quick!")</f>
        <v>Cheap Bots, Done Quick!</v>
      </c>
      <c r="L1321" s="15">
        <v>14.0</v>
      </c>
      <c r="M1321" s="15">
        <v>0.0</v>
      </c>
      <c r="N1321" s="15">
        <v>0.0</v>
      </c>
      <c r="O1321" s="16"/>
      <c r="P1321" s="17">
        <v>43686.97521990741</v>
      </c>
      <c r="Q1321" s="13"/>
      <c r="R1321" s="10" t="s">
        <v>830</v>
      </c>
      <c r="S1321" s="13"/>
      <c r="T1321" s="13"/>
      <c r="U1321" s="18" t="str">
        <f>HYPERLINK("https://pbs.twimg.com/profile_images/1160030521675722753/4elwdbfT.jpg","View")</f>
        <v>View</v>
      </c>
      <c r="V1321" s="13"/>
      <c r="W1321" s="13"/>
      <c r="X1321" s="13"/>
      <c r="Y1321" s="13"/>
      <c r="Z1321" s="13"/>
    </row>
    <row r="1322">
      <c r="A1322" s="8">
        <v>43848.44167824074</v>
      </c>
      <c r="B1322" s="9" t="str">
        <f>HYPERLINK("https://twitter.com/MHCD_Careers","@MHCD_Careers")</f>
        <v>@MHCD_Careers</v>
      </c>
      <c r="C1322" s="10" t="s">
        <v>738</v>
      </c>
      <c r="D1322" s="10" t="s">
        <v>5852</v>
      </c>
      <c r="E1322" s="9" t="str">
        <f>HYPERLINK("https://twitter.com/MHCD_Careers/status/1218557662872272896","1218557662872272896")</f>
        <v>1218557662872272896</v>
      </c>
      <c r="F1322" s="11" t="s">
        <v>5853</v>
      </c>
      <c r="G1322" s="13"/>
      <c r="H1322" s="9" t="str">
        <f>HYPERLINK("https://ctrlq.org/maps/address/#39.7380371,-105.0265195","Map")</f>
        <v>Map</v>
      </c>
      <c r="I1322" s="14">
        <v>0.0</v>
      </c>
      <c r="J1322" s="14">
        <v>0.0</v>
      </c>
      <c r="K1322" s="9" t="str">
        <f>HYPERLINK("https://www.careerarc.com","CareerArc 2.0")</f>
        <v>CareerArc 2.0</v>
      </c>
      <c r="L1322" s="15">
        <v>268.0</v>
      </c>
      <c r="M1322" s="15">
        <v>185.0</v>
      </c>
      <c r="N1322" s="15">
        <v>166.0</v>
      </c>
      <c r="O1322" s="16"/>
      <c r="P1322" s="17">
        <v>42304.41803240741</v>
      </c>
      <c r="Q1322" s="10" t="s">
        <v>211</v>
      </c>
      <c r="R1322" s="10" t="s">
        <v>741</v>
      </c>
      <c r="S1322" s="11" t="s">
        <v>742</v>
      </c>
      <c r="T1322" s="13"/>
      <c r="U1322" s="18" t="str">
        <f>HYPERLINK("https://pbs.twimg.com/profile_images/659008323367206912/M6fok2HN.jpg","View")</f>
        <v>View</v>
      </c>
      <c r="V1322" s="13"/>
      <c r="W1322" s="13"/>
      <c r="X1322" s="13"/>
      <c r="Y1322" s="13"/>
      <c r="Z1322" s="13"/>
    </row>
    <row r="1323">
      <c r="A1323" s="8">
        <v>43848.44122685185</v>
      </c>
      <c r="B1323" s="9" t="str">
        <f>HYPERLINK("https://twitter.com/paisleysmith941","@paisleysmith941")</f>
        <v>@paisleysmith941</v>
      </c>
      <c r="C1323" s="10" t="s">
        <v>5854</v>
      </c>
      <c r="D1323" s="10" t="s">
        <v>5855</v>
      </c>
      <c r="E1323" s="9" t="str">
        <f>HYPERLINK("https://twitter.com/paisleysmith941/status/1218557502515818496","1218557502515818496")</f>
        <v>1218557502515818496</v>
      </c>
      <c r="F1323" s="11" t="s">
        <v>5856</v>
      </c>
      <c r="G1323" s="13"/>
      <c r="H1323" s="13"/>
      <c r="I1323" s="14">
        <v>3.0</v>
      </c>
      <c r="J1323" s="14">
        <v>3.0</v>
      </c>
      <c r="K1323" s="9" t="str">
        <f>HYPERLINK("https://mobile.twitter.com","Twitter Web App")</f>
        <v>Twitter Web App</v>
      </c>
      <c r="L1323" s="15">
        <v>333.0</v>
      </c>
      <c r="M1323" s="15">
        <v>371.0</v>
      </c>
      <c r="N1323" s="15">
        <v>6.0</v>
      </c>
      <c r="O1323" s="16"/>
      <c r="P1323" s="17">
        <v>43199.10777777778</v>
      </c>
      <c r="Q1323" s="13"/>
      <c r="R1323" s="10" t="s">
        <v>5857</v>
      </c>
      <c r="S1323" s="13"/>
      <c r="T1323" s="13"/>
      <c r="U1323" s="18" t="str">
        <f>HYPERLINK("https://pbs.twimg.com/profile_images/1165637197472702464/BfucQCvp.jpg","View")</f>
        <v>View</v>
      </c>
      <c r="V1323" s="13"/>
      <c r="W1323" s="13"/>
      <c r="X1323" s="13"/>
      <c r="Y1323" s="13"/>
      <c r="Z1323" s="13"/>
    </row>
    <row r="1324">
      <c r="A1324" s="8">
        <v>43848.44116898148</v>
      </c>
      <c r="B1324" s="9" t="str">
        <f>HYPERLINK("https://twitter.com/keeranl","@keeranl")</f>
        <v>@keeranl</v>
      </c>
      <c r="C1324" s="10" t="s">
        <v>5858</v>
      </c>
      <c r="D1324" s="10" t="s">
        <v>5859</v>
      </c>
      <c r="E1324" s="9" t="str">
        <f>HYPERLINK("https://twitter.com/keeranl/status/1218557481644781569","1218557481644781569")</f>
        <v>1218557481644781569</v>
      </c>
      <c r="F1324" s="13"/>
      <c r="G1324" s="13"/>
      <c r="H1324" s="13"/>
      <c r="I1324" s="14">
        <v>0.0</v>
      </c>
      <c r="J1324" s="14">
        <v>1.0</v>
      </c>
      <c r="K1324" s="9" t="str">
        <f t="shared" ref="K1324:K1326" si="151">HYPERLINK("http://twitter.com/download/iphone","Twitter for iPhone")</f>
        <v>Twitter for iPhone</v>
      </c>
      <c r="L1324" s="15">
        <v>75.0</v>
      </c>
      <c r="M1324" s="15">
        <v>125.0</v>
      </c>
      <c r="N1324" s="15">
        <v>0.0</v>
      </c>
      <c r="O1324" s="16"/>
      <c r="P1324" s="17">
        <v>40773.6075</v>
      </c>
      <c r="Q1324" s="10" t="s">
        <v>24</v>
      </c>
      <c r="R1324" s="13"/>
      <c r="S1324" s="13"/>
      <c r="T1324" s="13"/>
      <c r="U1324" s="18" t="str">
        <f>HYPERLINK("https://pbs.twimg.com/profile_images/1182292933178990593/9dKw1YKH.jpg","View")</f>
        <v>View</v>
      </c>
      <c r="V1324" s="13"/>
      <c r="W1324" s="13"/>
      <c r="X1324" s="13"/>
      <c r="Y1324" s="13"/>
      <c r="Z1324" s="13"/>
    </row>
    <row r="1325">
      <c r="A1325" s="8">
        <v>43848.44074074074</v>
      </c>
      <c r="B1325" s="9" t="str">
        <f>HYPERLINK("https://twitter.com/Lighting_It_Up","@Lighting_It_Up")</f>
        <v>@Lighting_It_Up</v>
      </c>
      <c r="C1325" s="10" t="s">
        <v>5816</v>
      </c>
      <c r="D1325" s="10" t="s">
        <v>5860</v>
      </c>
      <c r="E1325" s="9" t="str">
        <f>HYPERLINK("https://twitter.com/Lighting_It_Up/status/1218557324429864961","1218557324429864961")</f>
        <v>1218557324429864961</v>
      </c>
      <c r="F1325" s="13"/>
      <c r="G1325" s="11" t="s">
        <v>5861</v>
      </c>
      <c r="H1325" s="13"/>
      <c r="I1325" s="14">
        <v>0.0</v>
      </c>
      <c r="J1325" s="14">
        <v>1.0</v>
      </c>
      <c r="K1325" s="9" t="str">
        <f t="shared" si="151"/>
        <v>Twitter for iPhone</v>
      </c>
      <c r="L1325" s="15">
        <v>1326.0</v>
      </c>
      <c r="M1325" s="15">
        <v>1306.0</v>
      </c>
      <c r="N1325" s="15">
        <v>56.0</v>
      </c>
      <c r="O1325" s="16"/>
      <c r="P1325" s="17">
        <v>42782.784155092595</v>
      </c>
      <c r="Q1325" s="10" t="s">
        <v>474</v>
      </c>
      <c r="R1325" s="10" t="s">
        <v>5819</v>
      </c>
      <c r="S1325" s="11" t="s">
        <v>5820</v>
      </c>
      <c r="T1325" s="13"/>
      <c r="U1325" s="18" t="str">
        <f>HYPERLINK("https://pbs.twimg.com/profile_images/1158821132134277120/oPhZZ_Ir.png","View")</f>
        <v>View</v>
      </c>
      <c r="V1325" s="13"/>
      <c r="W1325" s="13"/>
      <c r="X1325" s="13"/>
      <c r="Y1325" s="13"/>
      <c r="Z1325" s="13"/>
    </row>
    <row r="1326">
      <c r="A1326" s="8">
        <v>43848.440659722226</v>
      </c>
      <c r="B1326" s="9" t="str">
        <f>HYPERLINK("https://twitter.com/SocialLightTalk","@SocialLightTalk")</f>
        <v>@SocialLightTalk</v>
      </c>
      <c r="C1326" s="10" t="s">
        <v>2650</v>
      </c>
      <c r="D1326" s="10" t="s">
        <v>5862</v>
      </c>
      <c r="E1326" s="9" t="str">
        <f>HYPERLINK("https://twitter.com/SocialLightTalk/status/1218557295422005248","1218557295422005248")</f>
        <v>1218557295422005248</v>
      </c>
      <c r="F1326" s="13"/>
      <c r="G1326" s="13"/>
      <c r="H1326" s="13"/>
      <c r="I1326" s="14">
        <v>0.0</v>
      </c>
      <c r="J1326" s="14">
        <v>1.0</v>
      </c>
      <c r="K1326" s="9" t="str">
        <f t="shared" si="151"/>
        <v>Twitter for iPhone</v>
      </c>
      <c r="L1326" s="15">
        <v>24.0</v>
      </c>
      <c r="M1326" s="15">
        <v>81.0</v>
      </c>
      <c r="N1326" s="15">
        <v>0.0</v>
      </c>
      <c r="O1326" s="16"/>
      <c r="P1326" s="17">
        <v>43704.68954861111</v>
      </c>
      <c r="Q1326" s="10" t="s">
        <v>24</v>
      </c>
      <c r="R1326" s="10" t="s">
        <v>2652</v>
      </c>
      <c r="S1326" s="11" t="s">
        <v>2653</v>
      </c>
      <c r="T1326" s="13"/>
      <c r="U1326" s="18" t="str">
        <f>HYPERLINK("https://pbs.twimg.com/profile_images/1166548220241223680/PPdDG15h.jpg","View")</f>
        <v>View</v>
      </c>
      <c r="V1326" s="13"/>
      <c r="W1326" s="13"/>
      <c r="X1326" s="13"/>
      <c r="Y1326" s="13"/>
      <c r="Z1326" s="13"/>
    </row>
    <row r="1327">
      <c r="A1327" s="8">
        <v>43848.4402662037</v>
      </c>
      <c r="B1327" s="9" t="str">
        <f>HYPERLINK("https://twitter.com/Gee4able","@Gee4able")</f>
        <v>@Gee4able</v>
      </c>
      <c r="C1327" s="10" t="s">
        <v>5863</v>
      </c>
      <c r="D1327" s="10" t="s">
        <v>238</v>
      </c>
      <c r="E1327" s="9" t="str">
        <f>HYPERLINK("https://twitter.com/Gee4able/status/1218557151276359681","1218557151276359681")</f>
        <v>1218557151276359681</v>
      </c>
      <c r="F1327" s="13"/>
      <c r="G1327" s="13"/>
      <c r="H1327" s="13"/>
      <c r="I1327" s="14">
        <v>0.0</v>
      </c>
      <c r="J1327" s="14">
        <v>0.0</v>
      </c>
      <c r="K1327" s="9" t="str">
        <f>HYPERLINK("http://twitter.com/download/android","Twitter for Android")</f>
        <v>Twitter for Android</v>
      </c>
      <c r="L1327" s="15">
        <v>124.0</v>
      </c>
      <c r="M1327" s="15">
        <v>448.0</v>
      </c>
      <c r="N1327" s="15">
        <v>1.0</v>
      </c>
      <c r="O1327" s="16"/>
      <c r="P1327" s="17">
        <v>42567.78733796296</v>
      </c>
      <c r="Q1327" s="13"/>
      <c r="R1327" s="10" t="s">
        <v>5864</v>
      </c>
      <c r="S1327" s="13"/>
      <c r="T1327" s="13"/>
      <c r="U1327" s="18" t="str">
        <f>HYPERLINK("https://pbs.twimg.com/profile_images/1195586372205252608/_TaGkaXO.jpg","View")</f>
        <v>View</v>
      </c>
      <c r="V1327" s="13"/>
      <c r="W1327" s="13"/>
      <c r="X1327" s="13"/>
      <c r="Y1327" s="13"/>
      <c r="Z1327" s="13"/>
    </row>
    <row r="1328">
      <c r="A1328" s="8">
        <v>43848.43988425926</v>
      </c>
      <c r="B1328" s="9" t="str">
        <f>HYPERLINK("https://twitter.com/JustTalk2019","@JustTalk2019")</f>
        <v>@JustTalk2019</v>
      </c>
      <c r="C1328" s="10" t="s">
        <v>5865</v>
      </c>
      <c r="D1328" s="10" t="s">
        <v>5832</v>
      </c>
      <c r="E1328" s="9" t="str">
        <f>HYPERLINK("https://twitter.com/JustTalk2019/status/1218557015821365251","1218557015821365251")</f>
        <v>1218557015821365251</v>
      </c>
      <c r="F1328" s="11" t="s">
        <v>5833</v>
      </c>
      <c r="G1328" s="11" t="s">
        <v>5866</v>
      </c>
      <c r="H1328" s="13"/>
      <c r="I1328" s="14">
        <v>3.0</v>
      </c>
      <c r="J1328" s="14">
        <v>5.0</v>
      </c>
      <c r="K1328" s="9" t="str">
        <f t="shared" ref="K1328:K1329" si="152">HYPERLINK("http://twitter.com/download/iphone","Twitter for iPhone")</f>
        <v>Twitter for iPhone</v>
      </c>
      <c r="L1328" s="15">
        <v>175.0</v>
      </c>
      <c r="M1328" s="15">
        <v>329.0</v>
      </c>
      <c r="N1328" s="15">
        <v>1.0</v>
      </c>
      <c r="O1328" s="16"/>
      <c r="P1328" s="17">
        <v>43194.47002314815</v>
      </c>
      <c r="Q1328" s="10" t="s">
        <v>1324</v>
      </c>
      <c r="R1328" s="10" t="s">
        <v>5867</v>
      </c>
      <c r="S1328" s="11" t="s">
        <v>5868</v>
      </c>
      <c r="T1328" s="13"/>
      <c r="U1328" s="18" t="str">
        <f>HYPERLINK("https://pbs.twimg.com/profile_images/1126223850058977280/I3yzo8Mz.jpg","View")</f>
        <v>View</v>
      </c>
      <c r="V1328" s="13"/>
      <c r="W1328" s="13"/>
      <c r="X1328" s="13"/>
      <c r="Y1328" s="13"/>
      <c r="Z1328" s="13"/>
    </row>
    <row r="1329">
      <c r="A1329" s="8">
        <v>43848.43854166666</v>
      </c>
      <c r="B1329" s="9" t="str">
        <f>HYPERLINK("https://twitter.com/PeerHealing","@PeerHealing")</f>
        <v>@PeerHealing</v>
      </c>
      <c r="C1329" s="10" t="s">
        <v>5869</v>
      </c>
      <c r="D1329" s="10" t="s">
        <v>5870</v>
      </c>
      <c r="E1329" s="9" t="str">
        <f>HYPERLINK("https://twitter.com/PeerHealing/status/1218556526748553216","1218556526748553216")</f>
        <v>1218556526748553216</v>
      </c>
      <c r="F1329" s="13"/>
      <c r="G1329" s="11" t="s">
        <v>5871</v>
      </c>
      <c r="H1329" s="13"/>
      <c r="I1329" s="14">
        <v>0.0</v>
      </c>
      <c r="J1329" s="14">
        <v>0.0</v>
      </c>
      <c r="K1329" s="9" t="str">
        <f t="shared" si="152"/>
        <v>Twitter for iPhone</v>
      </c>
      <c r="L1329" s="15">
        <v>25.0</v>
      </c>
      <c r="M1329" s="15">
        <v>55.0</v>
      </c>
      <c r="N1329" s="15">
        <v>0.0</v>
      </c>
      <c r="O1329" s="16"/>
      <c r="P1329" s="17">
        <v>43643.91415509259</v>
      </c>
      <c r="Q1329" s="13"/>
      <c r="R1329" s="10" t="s">
        <v>5872</v>
      </c>
      <c r="S1329" s="11" t="s">
        <v>5873</v>
      </c>
      <c r="T1329" s="13"/>
      <c r="U1329" s="18" t="str">
        <f>HYPERLINK("https://pbs.twimg.com/profile_images/1146217966297591809/Kn_Hw2pk.jpg","View")</f>
        <v>View</v>
      </c>
      <c r="V1329" s="13"/>
      <c r="W1329" s="13"/>
      <c r="X1329" s="13"/>
      <c r="Y1329" s="13"/>
      <c r="Z1329" s="13"/>
    </row>
    <row r="1330">
      <c r="A1330" s="8">
        <v>43848.438125</v>
      </c>
      <c r="B1330" s="9" t="str">
        <f>HYPERLINK("https://twitter.com/drpatfarrell","@drpatfarrell")</f>
        <v>@drpatfarrell</v>
      </c>
      <c r="C1330" s="10" t="s">
        <v>5874</v>
      </c>
      <c r="D1330" s="10" t="s">
        <v>5875</v>
      </c>
      <c r="E1330" s="9" t="str">
        <f>HYPERLINK("https://twitter.com/drpatfarrell/status/1218556377523724288","1218556377523724288")</f>
        <v>1218556377523724288</v>
      </c>
      <c r="F1330" s="13"/>
      <c r="G1330" s="13"/>
      <c r="H1330" s="13"/>
      <c r="I1330" s="14">
        <v>0.0</v>
      </c>
      <c r="J1330" s="14">
        <v>0.0</v>
      </c>
      <c r="K1330" s="9" t="str">
        <f>HYPERLINK("https://mobile.twitter.com","Twitter Web App")</f>
        <v>Twitter Web App</v>
      </c>
      <c r="L1330" s="15">
        <v>10002.0</v>
      </c>
      <c r="M1330" s="15">
        <v>11070.0</v>
      </c>
      <c r="N1330" s="15">
        <v>502.0</v>
      </c>
      <c r="O1330" s="16"/>
      <c r="P1330" s="17">
        <v>39959.523981481485</v>
      </c>
      <c r="Q1330" s="10" t="s">
        <v>24</v>
      </c>
      <c r="R1330" s="10" t="s">
        <v>5876</v>
      </c>
      <c r="S1330" s="13"/>
      <c r="T1330" s="13"/>
      <c r="U1330" s="18" t="str">
        <f>HYPERLINK("https://pbs.twimg.com/profile_images/1193120866508460037/t81e5U_H.jpg","View")</f>
        <v>View</v>
      </c>
      <c r="V1330" s="13"/>
      <c r="W1330" s="13"/>
      <c r="X1330" s="13"/>
      <c r="Y1330" s="13"/>
      <c r="Z1330" s="13"/>
    </row>
    <row r="1331">
      <c r="A1331" s="8">
        <v>43848.43807870371</v>
      </c>
      <c r="B1331" s="9" t="str">
        <f>HYPERLINK("https://twitter.com/labkerala","@labkerala")</f>
        <v>@labkerala</v>
      </c>
      <c r="C1331" s="10" t="s">
        <v>5877</v>
      </c>
      <c r="D1331" s="10" t="s">
        <v>238</v>
      </c>
      <c r="E1331" s="9" t="str">
        <f>HYPERLINK("https://twitter.com/labkerala/status/1218556358519181312","1218556358519181312")</f>
        <v>1218556358519181312</v>
      </c>
      <c r="F1331" s="13"/>
      <c r="G1331" s="13"/>
      <c r="H1331" s="13"/>
      <c r="I1331" s="14">
        <v>0.0</v>
      </c>
      <c r="J1331" s="14">
        <v>0.0</v>
      </c>
      <c r="K1331" s="9" t="str">
        <f>HYPERLINK("http://twitter.com/download/android","Twitter for Android")</f>
        <v>Twitter for Android</v>
      </c>
      <c r="L1331" s="15">
        <v>18.0</v>
      </c>
      <c r="M1331" s="15">
        <v>355.0</v>
      </c>
      <c r="N1331" s="15">
        <v>0.0</v>
      </c>
      <c r="O1331" s="16"/>
      <c r="P1331" s="17">
        <v>42595.39622685185</v>
      </c>
      <c r="Q1331" s="10" t="s">
        <v>5878</v>
      </c>
      <c r="R1331" s="10" t="s">
        <v>5879</v>
      </c>
      <c r="S1331" s="13"/>
      <c r="T1331" s="13"/>
      <c r="U1331" s="18" t="str">
        <f>HYPERLINK("https://pbs.twimg.com/profile_images/767013050079666176/WMcDg14U.jpg","View")</f>
        <v>View</v>
      </c>
      <c r="V1331" s="13"/>
      <c r="W1331" s="13"/>
      <c r="X1331" s="13"/>
      <c r="Y1331" s="13"/>
      <c r="Z1331" s="13"/>
    </row>
    <row r="1332">
      <c r="A1332" s="8">
        <v>43848.43800925926</v>
      </c>
      <c r="B1332" s="9" t="str">
        <f>HYPERLINK("https://twitter.com/embwromero","@embwromero")</f>
        <v>@embwromero</v>
      </c>
      <c r="C1332" s="10" t="s">
        <v>5880</v>
      </c>
      <c r="D1332" s="10" t="s">
        <v>5881</v>
      </c>
      <c r="E1332" s="9" t="str">
        <f>HYPERLINK("https://twitter.com/embwromero/status/1218556336411234307","1218556336411234307")</f>
        <v>1218556336411234307</v>
      </c>
      <c r="F1332" s="11" t="s">
        <v>5882</v>
      </c>
      <c r="G1332" s="13"/>
      <c r="H1332" s="13"/>
      <c r="I1332" s="14">
        <v>3.0</v>
      </c>
      <c r="J1332" s="14">
        <v>4.0</v>
      </c>
      <c r="K1332" s="9" t="str">
        <f>HYPERLINK("http://twitter.com/download/iphone","Twitter for iPhone")</f>
        <v>Twitter for iPhone</v>
      </c>
      <c r="L1332" s="15">
        <v>29.0</v>
      </c>
      <c r="M1332" s="15">
        <v>98.0</v>
      </c>
      <c r="N1332" s="15">
        <v>1.0</v>
      </c>
      <c r="O1332" s="16"/>
      <c r="P1332" s="17">
        <v>43809.83987268519</v>
      </c>
      <c r="Q1332" s="10" t="s">
        <v>536</v>
      </c>
      <c r="R1332" s="10" t="s">
        <v>5883</v>
      </c>
      <c r="S1332" s="11" t="s">
        <v>5884</v>
      </c>
      <c r="T1332" s="13"/>
      <c r="U1332" s="18" t="str">
        <f>HYPERLINK("https://pbs.twimg.com/profile_images/1204576500219027456/InRbUCS6.jpg","View")</f>
        <v>View</v>
      </c>
      <c r="V1332" s="13"/>
      <c r="W1332" s="13"/>
      <c r="X1332" s="13"/>
      <c r="Y1332" s="13"/>
      <c r="Z1332" s="13"/>
    </row>
    <row r="1333">
      <c r="A1333" s="8">
        <v>43848.437939814816</v>
      </c>
      <c r="B1333" s="9" t="str">
        <f>HYPERLINK("https://twitter.com/chrisoldcorn","@chrisoldcorn")</f>
        <v>@chrisoldcorn</v>
      </c>
      <c r="C1333" s="10" t="s">
        <v>1232</v>
      </c>
      <c r="D1333" s="10" t="s">
        <v>5885</v>
      </c>
      <c r="E1333" s="9" t="str">
        <f>HYPERLINK("https://twitter.com/chrisoldcorn/status/1218556310926635015","1218556310926635015")</f>
        <v>1218556310926635015</v>
      </c>
      <c r="F1333" s="11" t="s">
        <v>5886</v>
      </c>
      <c r="G1333" s="13"/>
      <c r="H1333" s="13"/>
      <c r="I1333" s="14">
        <v>0.0</v>
      </c>
      <c r="J1333" s="14">
        <v>0.0</v>
      </c>
      <c r="K1333" s="9" t="str">
        <f>HYPERLINK("https://www.smedian.com","Penname")</f>
        <v>Penname</v>
      </c>
      <c r="L1333" s="15">
        <v>3448.0</v>
      </c>
      <c r="M1333" s="15">
        <v>4798.0</v>
      </c>
      <c r="N1333" s="15">
        <v>200.0</v>
      </c>
      <c r="O1333" s="16"/>
      <c r="P1333" s="17">
        <v>39346.584872685184</v>
      </c>
      <c r="Q1333" s="13"/>
      <c r="R1333" s="10" t="s">
        <v>1235</v>
      </c>
      <c r="S1333" s="11" t="s">
        <v>1236</v>
      </c>
      <c r="T1333" s="13"/>
      <c r="U1333" s="18" t="str">
        <f>HYPERLINK("https://pbs.twimg.com/profile_images/1158043491806732288/9JY2UFqV.jpg","View")</f>
        <v>View</v>
      </c>
      <c r="V1333" s="13"/>
      <c r="W1333" s="13"/>
      <c r="X1333" s="13"/>
      <c r="Y1333" s="13"/>
      <c r="Z1333" s="13"/>
    </row>
    <row r="1334">
      <c r="A1334" s="8">
        <v>43848.437581018516</v>
      </c>
      <c r="B1334" s="9" t="str">
        <f>HYPERLINK("https://twitter.com/wysabuddy","@wysabuddy")</f>
        <v>@wysabuddy</v>
      </c>
      <c r="C1334" s="10" t="s">
        <v>325</v>
      </c>
      <c r="D1334" s="10" t="s">
        <v>5887</v>
      </c>
      <c r="E1334" s="9" t="str">
        <f>HYPERLINK("https://twitter.com/wysabuddy/status/1218556180785782785","1218556180785782785")</f>
        <v>1218556180785782785</v>
      </c>
      <c r="F1334" s="11" t="s">
        <v>327</v>
      </c>
      <c r="G1334" s="11" t="s">
        <v>5888</v>
      </c>
      <c r="H1334" s="13"/>
      <c r="I1334" s="14">
        <v>0.0</v>
      </c>
      <c r="J1334" s="14">
        <v>2.0</v>
      </c>
      <c r="K1334" s="9" t="str">
        <f>HYPERLINK("https://sproutsocial.com","Sprout Social")</f>
        <v>Sprout Social</v>
      </c>
      <c r="L1334" s="15">
        <v>3943.0</v>
      </c>
      <c r="M1334" s="15">
        <v>981.0</v>
      </c>
      <c r="N1334" s="15">
        <v>163.0</v>
      </c>
      <c r="O1334" s="16"/>
      <c r="P1334" s="17">
        <v>41735.31763888889</v>
      </c>
      <c r="Q1334" s="10" t="s">
        <v>329</v>
      </c>
      <c r="R1334" s="10" t="s">
        <v>330</v>
      </c>
      <c r="S1334" s="11" t="s">
        <v>327</v>
      </c>
      <c r="T1334" s="13"/>
      <c r="U1334" s="18" t="str">
        <f>HYPERLINK("https://pbs.twimg.com/profile_images/986922852900159488/b-suTNS6.jpg","View")</f>
        <v>View</v>
      </c>
      <c r="V1334" s="13"/>
      <c r="W1334" s="13"/>
      <c r="X1334" s="13"/>
      <c r="Y1334" s="13"/>
      <c r="Z1334" s="13"/>
    </row>
    <row r="1335">
      <c r="A1335" s="8">
        <v>43848.43753472222</v>
      </c>
      <c r="B1335" s="9" t="str">
        <f>HYPERLINK("https://twitter.com/DrShawnPark1","@DrShawnPark1")</f>
        <v>@DrShawnPark1</v>
      </c>
      <c r="C1335" s="10" t="s">
        <v>3558</v>
      </c>
      <c r="D1335" s="10" t="s">
        <v>5889</v>
      </c>
      <c r="E1335" s="9" t="str">
        <f>HYPERLINK("https://twitter.com/DrShawnPark1/status/1218556163777630209","1218556163777630209")</f>
        <v>1218556163777630209</v>
      </c>
      <c r="F1335" s="11" t="s">
        <v>5890</v>
      </c>
      <c r="G1335" s="13"/>
      <c r="H1335" s="13"/>
      <c r="I1335" s="14">
        <v>0.0</v>
      </c>
      <c r="J1335" s="14">
        <v>1.0</v>
      </c>
      <c r="K1335" s="9" t="str">
        <f>HYPERLINK("https://apps.twitter.com","Twit4ShawnPark")</f>
        <v>Twit4ShawnPark</v>
      </c>
      <c r="L1335" s="15">
        <v>9208.0</v>
      </c>
      <c r="M1335" s="15">
        <v>3793.0</v>
      </c>
      <c r="N1335" s="15">
        <v>374.0</v>
      </c>
      <c r="O1335" s="16"/>
      <c r="P1335" s="17">
        <v>41980.460752314815</v>
      </c>
      <c r="Q1335" s="10" t="s">
        <v>266</v>
      </c>
      <c r="R1335" s="10" t="s">
        <v>3560</v>
      </c>
      <c r="S1335" s="11" t="s">
        <v>3561</v>
      </c>
      <c r="T1335" s="13"/>
      <c r="U1335" s="18" t="str">
        <f>HYPERLINK("https://pbs.twimg.com/profile_images/541624210569719809/bdEmUear.jpeg","View")</f>
        <v>View</v>
      </c>
      <c r="V1335" s="13"/>
      <c r="W1335" s="13"/>
      <c r="X1335" s="13"/>
      <c r="Y1335" s="13"/>
      <c r="Z1335" s="13"/>
    </row>
    <row r="1336">
      <c r="A1336" s="8">
        <v>43848.4375</v>
      </c>
      <c r="B1336" s="9" t="str">
        <f>HYPERLINK("https://twitter.com/MoodDisordersCa","@MoodDisordersCa")</f>
        <v>@MoodDisordersCa</v>
      </c>
      <c r="C1336" s="10" t="s">
        <v>5891</v>
      </c>
      <c r="D1336" s="10" t="s">
        <v>5892</v>
      </c>
      <c r="E1336" s="9" t="str">
        <f>HYPERLINK("https://twitter.com/MoodDisordersCa/status/1218556148988530690","1218556148988530690")</f>
        <v>1218556148988530690</v>
      </c>
      <c r="F1336" s="11" t="s">
        <v>5893</v>
      </c>
      <c r="G1336" s="13"/>
      <c r="H1336" s="13"/>
      <c r="I1336" s="14">
        <v>1.0</v>
      </c>
      <c r="J1336" s="14">
        <v>2.0</v>
      </c>
      <c r="K1336" s="9" t="str">
        <f>HYPERLINK("https://ads-api.twitter.com","Twitter for Advertisers")</f>
        <v>Twitter for Advertisers</v>
      </c>
      <c r="L1336" s="15">
        <v>20746.0</v>
      </c>
      <c r="M1336" s="15">
        <v>7291.0</v>
      </c>
      <c r="N1336" s="15">
        <v>510.0</v>
      </c>
      <c r="O1336" s="16"/>
      <c r="P1336" s="17">
        <v>40434.27810185185</v>
      </c>
      <c r="Q1336" s="10" t="s">
        <v>5894</v>
      </c>
      <c r="R1336" s="10" t="s">
        <v>5895</v>
      </c>
      <c r="S1336" s="11" t="s">
        <v>5896</v>
      </c>
      <c r="T1336" s="13"/>
      <c r="U1336" s="18" t="str">
        <f>HYPERLINK("https://pbs.twimg.com/profile_images/928788915959472128/CLboLfmJ.jpg","View")</f>
        <v>View</v>
      </c>
      <c r="V1336" s="13"/>
      <c r="W1336" s="13"/>
      <c r="X1336" s="13"/>
      <c r="Y1336" s="13"/>
      <c r="Z1336" s="13"/>
    </row>
    <row r="1337">
      <c r="A1337" s="8">
        <v>43848.43709490741</v>
      </c>
      <c r="B1337" s="9" t="str">
        <f>HYPERLINK("https://twitter.com/RDesroc","@RDesroc")</f>
        <v>@RDesroc</v>
      </c>
      <c r="C1337" s="10" t="s">
        <v>5897</v>
      </c>
      <c r="D1337" s="10" t="s">
        <v>5898</v>
      </c>
      <c r="E1337" s="9" t="str">
        <f>HYPERLINK("https://twitter.com/RDesroc/status/1218556002443976704","1218556002443976704")</f>
        <v>1218556002443976704</v>
      </c>
      <c r="F1337" s="10" t="s">
        <v>5899</v>
      </c>
      <c r="G1337" s="11" t="s">
        <v>5900</v>
      </c>
      <c r="H1337" s="13"/>
      <c r="I1337" s="14">
        <v>2.0</v>
      </c>
      <c r="J1337" s="14">
        <v>5.0</v>
      </c>
      <c r="K1337" s="9" t="str">
        <f>HYPERLINK("http://twitter.com/download/iphone","Twitter for iPhone")</f>
        <v>Twitter for iPhone</v>
      </c>
      <c r="L1337" s="15">
        <v>3261.0</v>
      </c>
      <c r="M1337" s="15">
        <v>3047.0</v>
      </c>
      <c r="N1337" s="15">
        <v>178.0</v>
      </c>
      <c r="O1337" s="16"/>
      <c r="P1337" s="17">
        <v>40940.45248842593</v>
      </c>
      <c r="Q1337" s="10" t="s">
        <v>5901</v>
      </c>
      <c r="R1337" s="10" t="s">
        <v>5902</v>
      </c>
      <c r="S1337" s="13"/>
      <c r="T1337" s="13"/>
      <c r="U1337" s="18" t="str">
        <f>HYPERLINK("https://pbs.twimg.com/profile_images/1197170428046925825/b0cqx1OM.jpg","View")</f>
        <v>View</v>
      </c>
      <c r="V1337" s="13"/>
      <c r="W1337" s="13"/>
      <c r="X1337" s="13"/>
      <c r="Y1337" s="13"/>
      <c r="Z1337" s="13"/>
    </row>
    <row r="1338">
      <c r="A1338" s="8">
        <v>43848.43681712963</v>
      </c>
      <c r="B1338" s="9" t="str">
        <f>HYPERLINK("https://twitter.com/jimallthetime","@jimallthetime")</f>
        <v>@jimallthetime</v>
      </c>
      <c r="C1338" s="10" t="s">
        <v>3690</v>
      </c>
      <c r="D1338" s="10" t="s">
        <v>5903</v>
      </c>
      <c r="E1338" s="9" t="str">
        <f>HYPERLINK("https://twitter.com/jimallthetime/status/1218555903689007105","1218555903689007105")</f>
        <v>1218555903689007105</v>
      </c>
      <c r="F1338" s="11" t="s">
        <v>5904</v>
      </c>
      <c r="G1338" s="11" t="s">
        <v>5905</v>
      </c>
      <c r="H1338" s="13"/>
      <c r="I1338" s="14">
        <v>0.0</v>
      </c>
      <c r="J1338" s="14">
        <v>2.0</v>
      </c>
      <c r="K1338" s="9" t="str">
        <f>HYPERLINK("https://buffer.com","Buffer")</f>
        <v>Buffer</v>
      </c>
      <c r="L1338" s="15">
        <v>22697.0</v>
      </c>
      <c r="M1338" s="15">
        <v>5770.0</v>
      </c>
      <c r="N1338" s="15">
        <v>658.0</v>
      </c>
      <c r="O1338" s="16"/>
      <c r="P1338" s="17">
        <v>39756.35388888889</v>
      </c>
      <c r="Q1338" s="10" t="s">
        <v>3693</v>
      </c>
      <c r="R1338" s="10" t="s">
        <v>3694</v>
      </c>
      <c r="S1338" s="11" t="s">
        <v>3695</v>
      </c>
      <c r="T1338" s="13"/>
      <c r="U1338" s="18" t="str">
        <f>HYPERLINK("https://pbs.twimg.com/profile_images/796744281797099520/poECZO92.jpg","View")</f>
        <v>View</v>
      </c>
      <c r="V1338" s="13"/>
      <c r="W1338" s="13"/>
      <c r="X1338" s="13"/>
      <c r="Y1338" s="13"/>
      <c r="Z1338" s="13"/>
    </row>
    <row r="1339">
      <c r="A1339" s="8">
        <v>43848.43645833334</v>
      </c>
      <c r="B1339" s="9" t="str">
        <f>HYPERLINK("https://twitter.com/baileybacon_","@baileybacon_")</f>
        <v>@baileybacon_</v>
      </c>
      <c r="C1339" s="10" t="s">
        <v>5906</v>
      </c>
      <c r="D1339" s="10" t="s">
        <v>5907</v>
      </c>
      <c r="E1339" s="9" t="str">
        <f>HYPERLINK("https://twitter.com/baileybacon_/status/1218555773157986305","1218555773157986305")</f>
        <v>1218555773157986305</v>
      </c>
      <c r="F1339" s="11" t="s">
        <v>5908</v>
      </c>
      <c r="G1339" s="13"/>
      <c r="H1339" s="13"/>
      <c r="I1339" s="14">
        <v>0.0</v>
      </c>
      <c r="J1339" s="14">
        <v>2.0</v>
      </c>
      <c r="K1339" s="9" t="str">
        <f>HYPERLINK("http://instagram.com","Instagram")</f>
        <v>Instagram</v>
      </c>
      <c r="L1339" s="15">
        <v>142.0</v>
      </c>
      <c r="M1339" s="15">
        <v>124.0</v>
      </c>
      <c r="N1339" s="15">
        <v>0.0</v>
      </c>
      <c r="O1339" s="16"/>
      <c r="P1339" s="17">
        <v>40840.20648148148</v>
      </c>
      <c r="Q1339" s="10" t="s">
        <v>5909</v>
      </c>
      <c r="R1339" s="13"/>
      <c r="S1339" s="13"/>
      <c r="T1339" s="13"/>
      <c r="U1339" s="18" t="str">
        <f>HYPERLINK("https://pbs.twimg.com/profile_images/1203280943202615296/OZAgfpMi.jpg","View")</f>
        <v>View</v>
      </c>
      <c r="V1339" s="13"/>
      <c r="W1339" s="13"/>
      <c r="X1339" s="13"/>
      <c r="Y1339" s="13"/>
      <c r="Z1339" s="13"/>
    </row>
    <row r="1340">
      <c r="A1340" s="8">
        <v>43848.43635416667</v>
      </c>
      <c r="B1340" s="9" t="str">
        <f>HYPERLINK("https://twitter.com/AshCurryOcd","@AshCurryOcd")</f>
        <v>@AshCurryOcd</v>
      </c>
      <c r="C1340" s="10" t="s">
        <v>5910</v>
      </c>
      <c r="D1340" s="10" t="s">
        <v>5911</v>
      </c>
      <c r="E1340" s="9" t="str">
        <f>HYPERLINK("https://twitter.com/AshCurryOcd/status/1218555735765848064","1218555735765848064")</f>
        <v>1218555735765848064</v>
      </c>
      <c r="F1340" s="13"/>
      <c r="G1340" s="13"/>
      <c r="H1340" s="13"/>
      <c r="I1340" s="14">
        <v>6.0</v>
      </c>
      <c r="J1340" s="14">
        <v>11.0</v>
      </c>
      <c r="K1340" s="9" t="str">
        <f>HYPERLINK("http://twitter.com/#!/download/ipad","Twitter for iPad")</f>
        <v>Twitter for iPad</v>
      </c>
      <c r="L1340" s="15">
        <v>5894.0</v>
      </c>
      <c r="M1340" s="15">
        <v>5283.0</v>
      </c>
      <c r="N1340" s="15">
        <v>100.0</v>
      </c>
      <c r="O1340" s="16"/>
      <c r="P1340" s="17">
        <v>41842.59841435185</v>
      </c>
      <c r="Q1340" s="10" t="s">
        <v>5912</v>
      </c>
      <c r="R1340" s="10" t="s">
        <v>5913</v>
      </c>
      <c r="S1340" s="11" t="s">
        <v>5914</v>
      </c>
      <c r="T1340" s="13"/>
      <c r="U1340" s="18" t="str">
        <f>HYPERLINK("https://pbs.twimg.com/profile_images/1216310558380740608/qvXEvRB9.jpg","View")</f>
        <v>View</v>
      </c>
      <c r="V1340" s="13"/>
      <c r="W1340" s="13"/>
      <c r="X1340" s="13"/>
      <c r="Y1340" s="13"/>
      <c r="Z1340" s="13"/>
    </row>
    <row r="1341">
      <c r="A1341" s="8">
        <v>43848.43612268519</v>
      </c>
      <c r="B1341" s="9" t="str">
        <f>HYPERLINK("https://twitter.com/BrandmanU","@BrandmanU")</f>
        <v>@BrandmanU</v>
      </c>
      <c r="C1341" s="10" t="s">
        <v>5915</v>
      </c>
      <c r="D1341" s="10" t="s">
        <v>5916</v>
      </c>
      <c r="E1341" s="9" t="str">
        <f>HYPERLINK("https://twitter.com/BrandmanU/status/1218555649157685250","1218555649157685250")</f>
        <v>1218555649157685250</v>
      </c>
      <c r="F1341" s="11" t="s">
        <v>5917</v>
      </c>
      <c r="G1341" s="13"/>
      <c r="H1341" s="13"/>
      <c r="I1341" s="14">
        <v>0.0</v>
      </c>
      <c r="J1341" s="14">
        <v>0.0</v>
      </c>
      <c r="K1341" s="9" t="str">
        <f>HYPERLINK("https://sproutsocial.com","Sprout Social")</f>
        <v>Sprout Social</v>
      </c>
      <c r="L1341" s="15">
        <v>2876.0</v>
      </c>
      <c r="M1341" s="15">
        <v>866.0</v>
      </c>
      <c r="N1341" s="15">
        <v>130.0</v>
      </c>
      <c r="O1341" s="16"/>
      <c r="P1341" s="17">
        <v>40035.881006944444</v>
      </c>
      <c r="Q1341" s="10" t="s">
        <v>5918</v>
      </c>
      <c r="R1341" s="10" t="s">
        <v>5919</v>
      </c>
      <c r="S1341" s="11" t="s">
        <v>5920</v>
      </c>
      <c r="T1341" s="13"/>
      <c r="U1341" s="18" t="str">
        <f>HYPERLINK("https://pbs.twimg.com/profile_images/879789229194133504/TXnQiGl4.jpg","View")</f>
        <v>View</v>
      </c>
      <c r="V1341" s="13"/>
      <c r="W1341" s="13"/>
      <c r="X1341" s="13"/>
      <c r="Y1341" s="13"/>
      <c r="Z1341" s="13"/>
    </row>
    <row r="1342">
      <c r="A1342" s="8">
        <v>43848.43587962963</v>
      </c>
      <c r="B1342" s="9" t="str">
        <f>HYPERLINK("https://twitter.com/KirsteenKamming","@KirsteenKamming")</f>
        <v>@KirsteenKamming</v>
      </c>
      <c r="C1342" s="10" t="s">
        <v>5921</v>
      </c>
      <c r="D1342" s="10" t="s">
        <v>5922</v>
      </c>
      <c r="E1342" s="9" t="str">
        <f>HYPERLINK("https://twitter.com/KirsteenKamming/status/1218555562025259009","1218555562025259009")</f>
        <v>1218555562025259009</v>
      </c>
      <c r="F1342" s="13"/>
      <c r="G1342" s="11" t="s">
        <v>5923</v>
      </c>
      <c r="H1342" s="13"/>
      <c r="I1342" s="14">
        <v>0.0</v>
      </c>
      <c r="J1342" s="14">
        <v>4.0</v>
      </c>
      <c r="K1342" s="9" t="str">
        <f>HYPERLINK("http://twitter.com/download/iphone","Twitter for iPhone")</f>
        <v>Twitter for iPhone</v>
      </c>
      <c r="L1342" s="15">
        <v>246.0</v>
      </c>
      <c r="M1342" s="15">
        <v>924.0</v>
      </c>
      <c r="N1342" s="15">
        <v>1.0</v>
      </c>
      <c r="O1342" s="16"/>
      <c r="P1342" s="17">
        <v>40428.406331018516</v>
      </c>
      <c r="Q1342" s="10" t="s">
        <v>2102</v>
      </c>
      <c r="R1342" s="10" t="s">
        <v>5924</v>
      </c>
      <c r="S1342" s="11" t="s">
        <v>5925</v>
      </c>
      <c r="T1342" s="13"/>
      <c r="U1342" s="18" t="str">
        <f>HYPERLINK("https://pbs.twimg.com/profile_images/539535440156438528/89pJSuGz.jpeg","View")</f>
        <v>View</v>
      </c>
      <c r="V1342" s="13"/>
      <c r="W1342" s="13"/>
      <c r="X1342" s="13"/>
      <c r="Y1342" s="13"/>
      <c r="Z1342" s="13"/>
    </row>
    <row r="1343">
      <c r="A1343" s="8">
        <v>43848.43537037037</v>
      </c>
      <c r="B1343" s="9" t="str">
        <f>HYPERLINK("https://twitter.com/Aaronspencer98","@Aaronspencer98")</f>
        <v>@Aaronspencer98</v>
      </c>
      <c r="C1343" s="10" t="s">
        <v>5926</v>
      </c>
      <c r="D1343" s="10" t="s">
        <v>5927</v>
      </c>
      <c r="E1343" s="9" t="str">
        <f>HYPERLINK("https://twitter.com/Aaronspencer98/status/1218555376364376066","1218555376364376066")</f>
        <v>1218555376364376066</v>
      </c>
      <c r="F1343" s="11" t="s">
        <v>5928</v>
      </c>
      <c r="G1343" s="11" t="s">
        <v>5929</v>
      </c>
      <c r="H1343" s="13"/>
      <c r="I1343" s="14">
        <v>0.0</v>
      </c>
      <c r="J1343" s="14">
        <v>1.0</v>
      </c>
      <c r="K1343" s="9" t="str">
        <f t="shared" ref="K1343:K1344" si="153">HYPERLINK("https://mobile.twitter.com","Twitter Web App")</f>
        <v>Twitter Web App</v>
      </c>
      <c r="L1343" s="15">
        <v>1162.0</v>
      </c>
      <c r="M1343" s="15">
        <v>908.0</v>
      </c>
      <c r="N1343" s="15">
        <v>0.0</v>
      </c>
      <c r="O1343" s="16"/>
      <c r="P1343" s="17">
        <v>43381.4712037037</v>
      </c>
      <c r="Q1343" s="10" t="s">
        <v>446</v>
      </c>
      <c r="R1343" s="10" t="s">
        <v>5930</v>
      </c>
      <c r="S1343" s="11" t="s">
        <v>5931</v>
      </c>
      <c r="T1343" s="13"/>
      <c r="U1343" s="18" t="str">
        <f>HYPERLINK("https://pbs.twimg.com/profile_images/1215667031049150471/YKA5pVNw.jpg","View")</f>
        <v>View</v>
      </c>
      <c r="V1343" s="13"/>
      <c r="W1343" s="13"/>
      <c r="X1343" s="13"/>
      <c r="Y1343" s="13"/>
      <c r="Z1343" s="13"/>
    </row>
    <row r="1344">
      <c r="A1344" s="8">
        <v>43848.43478009259</v>
      </c>
      <c r="B1344" s="9" t="str">
        <f>HYPERLINK("https://twitter.com/JMHUSTLE","@JMHUSTLE")</f>
        <v>@JMHUSTLE</v>
      </c>
      <c r="C1344" s="10" t="s">
        <v>5024</v>
      </c>
      <c r="D1344" s="10" t="s">
        <v>5932</v>
      </c>
      <c r="E1344" s="9" t="str">
        <f>HYPERLINK("https://twitter.com/JMHUSTLE/status/1218555165814312960","1218555165814312960")</f>
        <v>1218555165814312960</v>
      </c>
      <c r="F1344" s="13"/>
      <c r="G1344" s="13"/>
      <c r="H1344" s="13"/>
      <c r="I1344" s="14">
        <v>0.0</v>
      </c>
      <c r="J1344" s="14">
        <v>1.0</v>
      </c>
      <c r="K1344" s="9" t="str">
        <f t="shared" si="153"/>
        <v>Twitter Web App</v>
      </c>
      <c r="L1344" s="15">
        <v>163.0</v>
      </c>
      <c r="M1344" s="15">
        <v>0.0</v>
      </c>
      <c r="N1344" s="15">
        <v>9.0</v>
      </c>
      <c r="O1344" s="16"/>
      <c r="P1344" s="17">
        <v>40450.61199074074</v>
      </c>
      <c r="Q1344" s="10" t="s">
        <v>5026</v>
      </c>
      <c r="R1344" s="10" t="s">
        <v>5027</v>
      </c>
      <c r="S1344" s="13"/>
      <c r="T1344" s="13"/>
      <c r="U1344" s="18" t="str">
        <f>HYPERLINK("https://pbs.twimg.com/profile_images/1210190979577171969/6kTQcCfN.jpg","View")</f>
        <v>View</v>
      </c>
      <c r="V1344" s="13"/>
      <c r="W1344" s="13"/>
      <c r="X1344" s="13"/>
      <c r="Y1344" s="13"/>
      <c r="Z1344" s="13"/>
    </row>
    <row r="1345">
      <c r="A1345" s="8">
        <v>43848.434537037036</v>
      </c>
      <c r="B1345" s="9" t="str">
        <f>HYPERLINK("https://twitter.com/towhey","@towhey")</f>
        <v>@towhey</v>
      </c>
      <c r="C1345" s="10" t="s">
        <v>5933</v>
      </c>
      <c r="D1345" s="10" t="s">
        <v>5934</v>
      </c>
      <c r="E1345" s="9" t="str">
        <f>HYPERLINK("https://twitter.com/towhey/status/1218555074231881729","1218555074231881729")</f>
        <v>1218555074231881729</v>
      </c>
      <c r="F1345" s="11" t="s">
        <v>5935</v>
      </c>
      <c r="G1345" s="13"/>
      <c r="H1345" s="13"/>
      <c r="I1345" s="14">
        <v>2.0</v>
      </c>
      <c r="J1345" s="14">
        <v>6.0</v>
      </c>
      <c r="K1345" s="9" t="str">
        <f t="shared" ref="K1345:K1346" si="154">HYPERLINK("http://twitter.com/download/iphone","Twitter for iPhone")</f>
        <v>Twitter for iPhone</v>
      </c>
      <c r="L1345" s="15">
        <v>12301.0</v>
      </c>
      <c r="M1345" s="15">
        <v>2901.0</v>
      </c>
      <c r="N1345" s="15">
        <v>266.0</v>
      </c>
      <c r="O1345" s="21" t="s">
        <v>522</v>
      </c>
      <c r="P1345" s="17">
        <v>39797.64917824074</v>
      </c>
      <c r="Q1345" s="10" t="s">
        <v>5936</v>
      </c>
      <c r="R1345" s="10" t="s">
        <v>5937</v>
      </c>
      <c r="S1345" s="11" t="s">
        <v>5938</v>
      </c>
      <c r="T1345" s="13"/>
      <c r="U1345" s="18" t="str">
        <f>HYPERLINK("https://pbs.twimg.com/profile_images/1116794311344046080/upeICvrN.png","View")</f>
        <v>View</v>
      </c>
      <c r="V1345" s="13"/>
      <c r="W1345" s="13"/>
      <c r="X1345" s="13"/>
      <c r="Y1345" s="13"/>
      <c r="Z1345" s="13"/>
    </row>
    <row r="1346">
      <c r="A1346" s="8">
        <v>43848.43444444444</v>
      </c>
      <c r="B1346" s="9" t="str">
        <f>HYPERLINK("https://twitter.com/angelasaysmile","@angelasaysmile")</f>
        <v>@angelasaysmile</v>
      </c>
      <c r="C1346" s="10" t="s">
        <v>5939</v>
      </c>
      <c r="D1346" s="10" t="s">
        <v>5940</v>
      </c>
      <c r="E1346" s="9" t="str">
        <f>HYPERLINK("https://twitter.com/angelasaysmile/status/1218555044477448198","1218555044477448198")</f>
        <v>1218555044477448198</v>
      </c>
      <c r="F1346" s="10" t="s">
        <v>881</v>
      </c>
      <c r="G1346" s="13"/>
      <c r="H1346" s="13"/>
      <c r="I1346" s="14">
        <v>0.0</v>
      </c>
      <c r="J1346" s="14">
        <v>1.0</v>
      </c>
      <c r="K1346" s="9" t="str">
        <f t="shared" si="154"/>
        <v>Twitter for iPhone</v>
      </c>
      <c r="L1346" s="15">
        <v>201.0</v>
      </c>
      <c r="M1346" s="15">
        <v>277.0</v>
      </c>
      <c r="N1346" s="15">
        <v>5.0</v>
      </c>
      <c r="O1346" s="16"/>
      <c r="P1346" s="17">
        <v>40474.97554398148</v>
      </c>
      <c r="Q1346" s="10" t="s">
        <v>91</v>
      </c>
      <c r="R1346" s="10" t="s">
        <v>5941</v>
      </c>
      <c r="S1346" s="13"/>
      <c r="T1346" s="13"/>
      <c r="U1346" s="18" t="str">
        <f>HYPERLINK("https://pbs.twimg.com/profile_images/1217982727506612224/ZkE04nY-.jpg","View")</f>
        <v>View</v>
      </c>
      <c r="V1346" s="13"/>
      <c r="W1346" s="13"/>
      <c r="X1346" s="13"/>
      <c r="Y1346" s="13"/>
      <c r="Z1346" s="13"/>
    </row>
    <row r="1347">
      <c r="A1347" s="8">
        <v>43848.43409722223</v>
      </c>
      <c r="B1347" s="9" t="str">
        <f>HYPERLINK("https://twitter.com/OtterlyHopeful","@OtterlyHopeful")</f>
        <v>@OtterlyHopeful</v>
      </c>
      <c r="C1347" s="10" t="s">
        <v>469</v>
      </c>
      <c r="D1347" s="10" t="s">
        <v>5942</v>
      </c>
      <c r="E1347" s="9" t="str">
        <f>HYPERLINK("https://twitter.com/OtterlyHopeful/status/1218554916135952384","1218554916135952384")</f>
        <v>1218554916135952384</v>
      </c>
      <c r="F1347" s="13"/>
      <c r="G1347" s="11" t="s">
        <v>5943</v>
      </c>
      <c r="H1347" s="13"/>
      <c r="I1347" s="14">
        <v>8.0</v>
      </c>
      <c r="J1347" s="14">
        <v>22.0</v>
      </c>
      <c r="K1347" s="9" t="str">
        <f>HYPERLINK("https://www.hootsuite.com","Hootsuite Inc.")</f>
        <v>Hootsuite Inc.</v>
      </c>
      <c r="L1347" s="15">
        <v>1521.0</v>
      </c>
      <c r="M1347" s="15">
        <v>1421.0</v>
      </c>
      <c r="N1347" s="15">
        <v>5.0</v>
      </c>
      <c r="O1347" s="16"/>
      <c r="P1347" s="17">
        <v>43725.57329861111</v>
      </c>
      <c r="Q1347" s="13"/>
      <c r="R1347" s="10" t="s">
        <v>471</v>
      </c>
      <c r="S1347" s="13"/>
      <c r="T1347" s="13"/>
      <c r="U1347" s="18" t="str">
        <f>HYPERLINK("https://pbs.twimg.com/profile_images/1174409122982387713/9vZrWp4C.jpg","View")</f>
        <v>View</v>
      </c>
      <c r="V1347" s="13"/>
      <c r="W1347" s="13"/>
      <c r="X1347" s="13"/>
      <c r="Y1347" s="13"/>
      <c r="Z1347" s="13"/>
    </row>
    <row r="1348">
      <c r="A1348" s="8">
        <v>43848.433842592596</v>
      </c>
      <c r="B1348" s="9" t="str">
        <f>HYPERLINK("https://twitter.com/Bijan_Cyrus","@Bijan_Cyrus")</f>
        <v>@Bijan_Cyrus</v>
      </c>
      <c r="C1348" s="10" t="s">
        <v>4372</v>
      </c>
      <c r="D1348" s="10" t="s">
        <v>5944</v>
      </c>
      <c r="E1348" s="9" t="str">
        <f>HYPERLINK("https://twitter.com/Bijan_Cyrus/status/1218554823915769861","1218554823915769861")</f>
        <v>1218554823915769861</v>
      </c>
      <c r="F1348" s="11" t="s">
        <v>5945</v>
      </c>
      <c r="G1348" s="11" t="s">
        <v>3974</v>
      </c>
      <c r="H1348" s="13"/>
      <c r="I1348" s="14">
        <v>0.0</v>
      </c>
      <c r="J1348" s="14">
        <v>0.0</v>
      </c>
      <c r="K1348" s="9" t="str">
        <f>HYPERLINK("https://mobile.twitter.com","Twitter Web App")</f>
        <v>Twitter Web App</v>
      </c>
      <c r="L1348" s="15">
        <v>2301.0</v>
      </c>
      <c r="M1348" s="15">
        <v>1966.0</v>
      </c>
      <c r="N1348" s="15">
        <v>30.0</v>
      </c>
      <c r="O1348" s="16"/>
      <c r="P1348" s="17">
        <v>40907.15015046296</v>
      </c>
      <c r="Q1348" s="10" t="s">
        <v>4376</v>
      </c>
      <c r="R1348" s="10" t="s">
        <v>4377</v>
      </c>
      <c r="S1348" s="13"/>
      <c r="T1348" s="13"/>
      <c r="U1348" s="18" t="str">
        <f>HYPERLINK("https://pbs.twimg.com/profile_images/1216455708759273482/_0lDoYO4.jpg","View")</f>
        <v>View</v>
      </c>
      <c r="V1348" s="13"/>
      <c r="W1348" s="13"/>
      <c r="X1348" s="13"/>
      <c r="Y1348" s="13"/>
      <c r="Z1348" s="13"/>
    </row>
    <row r="1349">
      <c r="A1349" s="8">
        <v>43848.433483796296</v>
      </c>
      <c r="B1349" s="9" t="str">
        <f>HYPERLINK("https://twitter.com/hearthandmadeuk","@hearthandmadeuk")</f>
        <v>@hearthandmadeuk</v>
      </c>
      <c r="C1349" s="10" t="s">
        <v>5946</v>
      </c>
      <c r="D1349" s="10" t="s">
        <v>5947</v>
      </c>
      <c r="E1349" s="9" t="str">
        <f>HYPERLINK("https://twitter.com/hearthandmadeuk/status/1218554692977950721","1218554692977950721")</f>
        <v>1218554692977950721</v>
      </c>
      <c r="F1349" s="11" t="s">
        <v>5948</v>
      </c>
      <c r="G1349" s="11" t="s">
        <v>5949</v>
      </c>
      <c r="H1349" s="13"/>
      <c r="I1349" s="14">
        <v>0.0</v>
      </c>
      <c r="J1349" s="14">
        <v>0.0</v>
      </c>
      <c r="K1349" s="9" t="str">
        <f>HYPERLINK("https://missinglettr.com","Missinglettr")</f>
        <v>Missinglettr</v>
      </c>
      <c r="L1349" s="15">
        <v>5257.0</v>
      </c>
      <c r="M1349" s="15">
        <v>1163.0</v>
      </c>
      <c r="N1349" s="15">
        <v>166.0</v>
      </c>
      <c r="O1349" s="16"/>
      <c r="P1349" s="17">
        <v>40246.384247685186</v>
      </c>
      <c r="Q1349" s="10" t="s">
        <v>815</v>
      </c>
      <c r="R1349" s="10" t="s">
        <v>5950</v>
      </c>
      <c r="S1349" s="11" t="s">
        <v>5951</v>
      </c>
      <c r="T1349" s="13"/>
      <c r="U1349" s="18" t="str">
        <f>HYPERLINK("https://pbs.twimg.com/profile_images/1096057274760683521/Bog751sc.png","View")</f>
        <v>View</v>
      </c>
      <c r="V1349" s="13"/>
      <c r="W1349" s="13"/>
      <c r="X1349" s="13"/>
      <c r="Y1349" s="13"/>
      <c r="Z1349" s="13"/>
    </row>
    <row r="1350">
      <c r="A1350" s="8">
        <v>43848.433333333334</v>
      </c>
      <c r="B1350" s="9" t="str">
        <f>HYPERLINK("https://twitter.com/AndrewSimsCtr","@AndrewSimsCtr")</f>
        <v>@AndrewSimsCtr</v>
      </c>
      <c r="C1350" s="10" t="s">
        <v>5952</v>
      </c>
      <c r="D1350" s="10" t="s">
        <v>5953</v>
      </c>
      <c r="E1350" s="9" t="str">
        <f>HYPERLINK("https://twitter.com/AndrewSimsCtr/status/1218554638804357120","1218554638804357120")</f>
        <v>1218554638804357120</v>
      </c>
      <c r="F1350" s="11" t="s">
        <v>5954</v>
      </c>
      <c r="G1350" s="11" t="s">
        <v>5955</v>
      </c>
      <c r="H1350" s="13"/>
      <c r="I1350" s="14">
        <v>0.0</v>
      </c>
      <c r="J1350" s="14">
        <v>0.0</v>
      </c>
      <c r="K1350" s="9" t="str">
        <f>HYPERLINK("https://about.twitter.com/products/tweetdeck","TweetDeck")</f>
        <v>TweetDeck</v>
      </c>
      <c r="L1350" s="15">
        <v>1216.0</v>
      </c>
      <c r="M1350" s="15">
        <v>1718.0</v>
      </c>
      <c r="N1350" s="15">
        <v>31.0</v>
      </c>
      <c r="O1350" s="16"/>
      <c r="P1350" s="17">
        <v>40931.3621412037</v>
      </c>
      <c r="Q1350" s="10" t="s">
        <v>2241</v>
      </c>
      <c r="R1350" s="10" t="s">
        <v>5956</v>
      </c>
      <c r="S1350" s="11" t="s">
        <v>5957</v>
      </c>
      <c r="T1350" s="13"/>
      <c r="U1350" s="18" t="str">
        <f>HYPERLINK("https://pbs.twimg.com/profile_images/1121761607456051200/Yo7YIqsp.png","View")</f>
        <v>View</v>
      </c>
      <c r="V1350" s="13"/>
      <c r="W1350" s="13"/>
      <c r="X1350" s="13"/>
      <c r="Y1350" s="13"/>
      <c r="Z1350" s="13"/>
    </row>
    <row r="1351">
      <c r="A1351" s="8">
        <v>43848.4330787037</v>
      </c>
      <c r="B1351" s="9" t="str">
        <f>HYPERLINK("https://twitter.com/blairsarj","@blairsarj")</f>
        <v>@blairsarj</v>
      </c>
      <c r="C1351" s="10" t="s">
        <v>5958</v>
      </c>
      <c r="D1351" s="10" t="s">
        <v>5959</v>
      </c>
      <c r="E1351" s="9" t="str">
        <f>HYPERLINK("https://twitter.com/blairsarj/status/1218554546995257345","1218554546995257345")</f>
        <v>1218554546995257345</v>
      </c>
      <c r="F1351" s="13"/>
      <c r="G1351" s="11" t="s">
        <v>5960</v>
      </c>
      <c r="H1351" s="13"/>
      <c r="I1351" s="14">
        <v>0.0</v>
      </c>
      <c r="J1351" s="14">
        <v>0.0</v>
      </c>
      <c r="K1351" s="9" t="str">
        <f t="shared" ref="K1351:K1352" si="155">HYPERLINK("http://twitter.com/download/iphone","Twitter for iPhone")</f>
        <v>Twitter for iPhone</v>
      </c>
      <c r="L1351" s="15">
        <v>4.0</v>
      </c>
      <c r="M1351" s="15">
        <v>28.0</v>
      </c>
      <c r="N1351" s="15">
        <v>0.0</v>
      </c>
      <c r="O1351" s="16"/>
      <c r="P1351" s="17">
        <v>43826.562430555554</v>
      </c>
      <c r="Q1351" s="13"/>
      <c r="R1351" s="10" t="s">
        <v>5961</v>
      </c>
      <c r="S1351" s="13"/>
      <c r="T1351" s="13"/>
      <c r="U1351" s="18" t="str">
        <f>HYPERLINK("https://pbs.twimg.com/profile_images/1213128207685312513/TNgDmVIg.jpg","View")</f>
        <v>View</v>
      </c>
      <c r="V1351" s="13"/>
      <c r="W1351" s="13"/>
      <c r="X1351" s="13"/>
      <c r="Y1351" s="13"/>
      <c r="Z1351" s="13"/>
    </row>
    <row r="1352">
      <c r="A1352" s="8">
        <v>43848.432870370365</v>
      </c>
      <c r="B1352" s="9" t="str">
        <f>HYPERLINK("https://twitter.com/DylanDylan2017","@DylanDylan2017")</f>
        <v>@DylanDylan2017</v>
      </c>
      <c r="C1352" s="10" t="s">
        <v>5962</v>
      </c>
      <c r="D1352" s="10" t="s">
        <v>5963</v>
      </c>
      <c r="E1352" s="9" t="str">
        <f>HYPERLINK("https://twitter.com/DylanDylan2017/status/1218554470537150467","1218554470537150467")</f>
        <v>1218554470537150467</v>
      </c>
      <c r="F1352" s="13"/>
      <c r="G1352" s="13"/>
      <c r="H1352" s="13"/>
      <c r="I1352" s="14">
        <v>0.0</v>
      </c>
      <c r="J1352" s="14">
        <v>0.0</v>
      </c>
      <c r="K1352" s="9" t="str">
        <f t="shared" si="155"/>
        <v>Twitter for iPhone</v>
      </c>
      <c r="L1352" s="15">
        <v>72.0</v>
      </c>
      <c r="M1352" s="15">
        <v>131.0</v>
      </c>
      <c r="N1352" s="15">
        <v>0.0</v>
      </c>
      <c r="O1352" s="16"/>
      <c r="P1352" s="17">
        <v>42440.85498842593</v>
      </c>
      <c r="Q1352" s="13"/>
      <c r="R1352" s="10" t="s">
        <v>5964</v>
      </c>
      <c r="S1352" s="13"/>
      <c r="T1352" s="13"/>
      <c r="U1352" s="18" t="str">
        <f>HYPERLINK("https://pbs.twimg.com/profile_images/1117994957871009794/2nxgRHbg.jpg","View")</f>
        <v>View</v>
      </c>
      <c r="V1352" s="13"/>
      <c r="W1352" s="13"/>
      <c r="X1352" s="13"/>
      <c r="Y1352" s="13"/>
      <c r="Z1352" s="13"/>
    </row>
    <row r="1353">
      <c r="A1353" s="8">
        <v>43848.432708333334</v>
      </c>
      <c r="B1353" s="9" t="str">
        <f>HYPERLINK("https://twitter.com/otichev","@otichev")</f>
        <v>@otichev</v>
      </c>
      <c r="C1353" s="10" t="s">
        <v>5965</v>
      </c>
      <c r="D1353" s="10" t="s">
        <v>5966</v>
      </c>
      <c r="E1353" s="9" t="str">
        <f>HYPERLINK("https://twitter.com/otichev/status/1218554412416847872","1218554412416847872")</f>
        <v>1218554412416847872</v>
      </c>
      <c r="F1353" s="11" t="s">
        <v>5967</v>
      </c>
      <c r="G1353" s="11" t="s">
        <v>5968</v>
      </c>
      <c r="H1353" s="13"/>
      <c r="I1353" s="14">
        <v>0.0</v>
      </c>
      <c r="J1353" s="14">
        <v>0.0</v>
      </c>
      <c r="K1353" s="9" t="str">
        <f>HYPERLINK("https://mobile.twitter.com","Twitter Web App")</f>
        <v>Twitter Web App</v>
      </c>
      <c r="L1353" s="15">
        <v>2.0</v>
      </c>
      <c r="M1353" s="15">
        <v>9.0</v>
      </c>
      <c r="N1353" s="15">
        <v>0.0</v>
      </c>
      <c r="O1353" s="16"/>
      <c r="P1353" s="17">
        <v>43738.42648148148</v>
      </c>
      <c r="Q1353" s="13"/>
      <c r="R1353" s="10" t="s">
        <v>5969</v>
      </c>
      <c r="S1353" s="13"/>
      <c r="T1353" s="13"/>
      <c r="U1353" s="18" t="str">
        <f>HYPERLINK("https://pbs.twimg.com/profile_images/1218475906970374144/UV9H_jSd.jpg","View")</f>
        <v>View</v>
      </c>
      <c r="V1353" s="13"/>
      <c r="W1353" s="13"/>
      <c r="X1353" s="13"/>
      <c r="Y1353" s="13"/>
      <c r="Z1353" s="13"/>
    </row>
    <row r="1354">
      <c r="A1354" s="8">
        <v>43848.432696759264</v>
      </c>
      <c r="B1354" s="9" t="str">
        <f>HYPERLINK("https://twitter.com/DarenKnight2","@DarenKnight2")</f>
        <v>@DarenKnight2</v>
      </c>
      <c r="C1354" s="10" t="s">
        <v>5970</v>
      </c>
      <c r="D1354" s="10" t="s">
        <v>5971</v>
      </c>
      <c r="E1354" s="9" t="str">
        <f>HYPERLINK("https://twitter.com/DarenKnight2/status/1218554410651000832","1218554410651000832")</f>
        <v>1218554410651000832</v>
      </c>
      <c r="F1354" s="13"/>
      <c r="G1354" s="11" t="s">
        <v>5972</v>
      </c>
      <c r="H1354" s="13"/>
      <c r="I1354" s="14">
        <v>0.0</v>
      </c>
      <c r="J1354" s="14">
        <v>0.0</v>
      </c>
      <c r="K1354" s="9" t="str">
        <f t="shared" ref="K1354:K1355" si="156">HYPERLINK("http://twitter.com/download/android","Twitter for Android")</f>
        <v>Twitter for Android</v>
      </c>
      <c r="L1354" s="15">
        <v>8.0</v>
      </c>
      <c r="M1354" s="15">
        <v>44.0</v>
      </c>
      <c r="N1354" s="15">
        <v>0.0</v>
      </c>
      <c r="O1354" s="16"/>
      <c r="P1354" s="17">
        <v>43837.71844907408</v>
      </c>
      <c r="Q1354" s="10" t="s">
        <v>5973</v>
      </c>
      <c r="R1354" s="10" t="s">
        <v>5974</v>
      </c>
      <c r="S1354" s="13"/>
      <c r="T1354" s="13"/>
      <c r="U1354" s="18" t="str">
        <f>HYPERLINK("https://pbs.twimg.com/profile_images/1214672104764952579/5WHJmWJu.jpg","View")</f>
        <v>View</v>
      </c>
      <c r="V1354" s="13"/>
      <c r="W1354" s="13"/>
      <c r="X1354" s="13"/>
      <c r="Y1354" s="13"/>
      <c r="Z1354" s="13"/>
    </row>
    <row r="1355">
      <c r="A1355" s="8">
        <v>43848.432129629626</v>
      </c>
      <c r="B1355" s="9" t="str">
        <f>HYPERLINK("https://twitter.com/JarrodWronski","@JarrodWronski")</f>
        <v>@JarrodWronski</v>
      </c>
      <c r="C1355" s="10" t="s">
        <v>5975</v>
      </c>
      <c r="D1355" s="10" t="s">
        <v>5976</v>
      </c>
      <c r="E1355" s="9" t="str">
        <f>HYPERLINK("https://twitter.com/JarrodWronski/status/1218554203548934146","1218554203548934146")</f>
        <v>1218554203548934146</v>
      </c>
      <c r="F1355" s="13"/>
      <c r="G1355" s="13"/>
      <c r="H1355" s="13"/>
      <c r="I1355" s="14">
        <v>0.0</v>
      </c>
      <c r="J1355" s="14">
        <v>1.0</v>
      </c>
      <c r="K1355" s="9" t="str">
        <f t="shared" si="156"/>
        <v>Twitter for Android</v>
      </c>
      <c r="L1355" s="15">
        <v>100.0</v>
      </c>
      <c r="M1355" s="15">
        <v>204.0</v>
      </c>
      <c r="N1355" s="15">
        <v>0.0</v>
      </c>
      <c r="O1355" s="16"/>
      <c r="P1355" s="17">
        <v>41796.34453703704</v>
      </c>
      <c r="Q1355" s="10" t="s">
        <v>5977</v>
      </c>
      <c r="R1355" s="10" t="s">
        <v>5978</v>
      </c>
      <c r="S1355" s="11" t="s">
        <v>5979</v>
      </c>
      <c r="T1355" s="13"/>
      <c r="U1355" s="18" t="str">
        <f>HYPERLINK("https://pbs.twimg.com/profile_images/1187544776406683651/K2miwRuh.jpg","View")</f>
        <v>View</v>
      </c>
      <c r="V1355" s="13"/>
      <c r="W1355" s="13"/>
      <c r="X1355" s="13"/>
      <c r="Y1355" s="13"/>
      <c r="Z1355" s="13"/>
    </row>
    <row r="1356">
      <c r="A1356" s="8">
        <v>43848.431226851855</v>
      </c>
      <c r="B1356" s="9" t="str">
        <f>HYPERLINK("https://twitter.com/Da_Show_Stopper","@Da_Show_Stopper")</f>
        <v>@Da_Show_Stopper</v>
      </c>
      <c r="C1356" s="10" t="s">
        <v>5980</v>
      </c>
      <c r="D1356" s="10" t="s">
        <v>5981</v>
      </c>
      <c r="E1356" s="9" t="str">
        <f>HYPERLINK("https://twitter.com/Da_Show_Stopper/status/1218553875168284674","1218553875168284674")</f>
        <v>1218553875168284674</v>
      </c>
      <c r="F1356" s="11" t="s">
        <v>334</v>
      </c>
      <c r="G1356" s="13"/>
      <c r="H1356" s="13"/>
      <c r="I1356" s="14">
        <v>0.0</v>
      </c>
      <c r="J1356" s="14">
        <v>1.0</v>
      </c>
      <c r="K1356" s="9" t="str">
        <f>HYPERLINK("http://twitter.com","Twitter Web Client")</f>
        <v>Twitter Web Client</v>
      </c>
      <c r="L1356" s="15">
        <v>20014.0</v>
      </c>
      <c r="M1356" s="15">
        <v>19216.0</v>
      </c>
      <c r="N1356" s="15">
        <v>235.0</v>
      </c>
      <c r="O1356" s="16"/>
      <c r="P1356" s="17">
        <v>40228.19354166667</v>
      </c>
      <c r="Q1356" s="10" t="s">
        <v>5982</v>
      </c>
      <c r="R1356" s="10" t="s">
        <v>5983</v>
      </c>
      <c r="S1356" s="13"/>
      <c r="T1356" s="13"/>
      <c r="U1356" s="18" t="str">
        <f>HYPERLINK("https://pbs.twimg.com/profile_images/1241223393/michaelmyerspic.gif","View")</f>
        <v>View</v>
      </c>
      <c r="V1356" s="13"/>
      <c r="W1356" s="13"/>
      <c r="X1356" s="13"/>
      <c r="Y1356" s="13"/>
      <c r="Z1356" s="13"/>
    </row>
    <row r="1357">
      <c r="A1357" s="8">
        <v>43848.43109953703</v>
      </c>
      <c r="B1357" s="9" t="str">
        <f>HYPERLINK("https://twitter.com/javeedsukhera","@javeedsukhera")</f>
        <v>@javeedsukhera</v>
      </c>
      <c r="C1357" s="10" t="s">
        <v>5984</v>
      </c>
      <c r="D1357" s="10" t="s">
        <v>5985</v>
      </c>
      <c r="E1357" s="9" t="str">
        <f>HYPERLINK("https://twitter.com/javeedsukhera/status/1218553832357142535","1218553832357142535")</f>
        <v>1218553832357142535</v>
      </c>
      <c r="F1357" s="10" t="s">
        <v>881</v>
      </c>
      <c r="G1357" s="13"/>
      <c r="H1357" s="13"/>
      <c r="I1357" s="14">
        <v>15.0</v>
      </c>
      <c r="J1357" s="14">
        <v>28.0</v>
      </c>
      <c r="K1357" s="9" t="str">
        <f>HYPERLINK("http://twitter.com/#!/download/ipad","Twitter for iPad")</f>
        <v>Twitter for iPad</v>
      </c>
      <c r="L1357" s="15">
        <v>5416.0</v>
      </c>
      <c r="M1357" s="15">
        <v>1664.0</v>
      </c>
      <c r="N1357" s="15">
        <v>92.0</v>
      </c>
      <c r="O1357" s="16"/>
      <c r="P1357" s="17">
        <v>41155.977013888885</v>
      </c>
      <c r="Q1357" s="10" t="s">
        <v>91</v>
      </c>
      <c r="R1357" s="10" t="s">
        <v>5986</v>
      </c>
      <c r="S1357" s="11" t="s">
        <v>5987</v>
      </c>
      <c r="T1357" s="13"/>
      <c r="U1357" s="18" t="str">
        <f>HYPERLINK("https://pbs.twimg.com/profile_images/1188951318389559297/IPKh61e3.jpg","View")</f>
        <v>View</v>
      </c>
      <c r="V1357" s="13"/>
      <c r="W1357" s="13"/>
      <c r="X1357" s="13"/>
      <c r="Y1357" s="13"/>
      <c r="Z1357" s="13"/>
    </row>
    <row r="1358">
      <c r="A1358" s="8">
        <v>43848.430601851855</v>
      </c>
      <c r="B1358" s="9" t="str">
        <f>HYPERLINK("https://twitter.com/djemal_ua","@djemal_ua")</f>
        <v>@djemal_ua</v>
      </c>
      <c r="C1358" s="10" t="s">
        <v>1161</v>
      </c>
      <c r="D1358" s="10" t="s">
        <v>5988</v>
      </c>
      <c r="E1358" s="9" t="str">
        <f>HYPERLINK("https://twitter.com/djemal_ua/status/1218553651985309697","1218553651985309697")</f>
        <v>1218553651985309697</v>
      </c>
      <c r="F1358" s="11" t="s">
        <v>5989</v>
      </c>
      <c r="G1358" s="13"/>
      <c r="H1358" s="13"/>
      <c r="I1358" s="14">
        <v>0.0</v>
      </c>
      <c r="J1358" s="14">
        <v>0.0</v>
      </c>
      <c r="K1358" s="9" t="str">
        <f>HYPERLINK("https://www.hootsuite.com","Hootsuite Inc.")</f>
        <v>Hootsuite Inc.</v>
      </c>
      <c r="L1358" s="15">
        <v>5127.0</v>
      </c>
      <c r="M1358" s="15">
        <v>4724.0</v>
      </c>
      <c r="N1358" s="15">
        <v>60.0</v>
      </c>
      <c r="O1358" s="16"/>
      <c r="P1358" s="17">
        <v>43530.25729166667</v>
      </c>
      <c r="Q1358" s="10" t="s">
        <v>95</v>
      </c>
      <c r="R1358" s="10" t="s">
        <v>1164</v>
      </c>
      <c r="S1358" s="11" t="s">
        <v>1165</v>
      </c>
      <c r="T1358" s="13"/>
      <c r="U1358" s="18" t="str">
        <f>HYPERLINK("https://pbs.twimg.com/profile_images/1202978381106761728/aqUhVSTO.jpg","View")</f>
        <v>View</v>
      </c>
      <c r="V1358" s="13"/>
      <c r="W1358" s="13"/>
      <c r="X1358" s="13"/>
      <c r="Y1358" s="13"/>
      <c r="Z1358" s="13"/>
    </row>
    <row r="1359">
      <c r="A1359" s="8">
        <v>43848.42990740741</v>
      </c>
      <c r="B1359" s="9" t="str">
        <f>HYPERLINK("https://twitter.com/LostInTheMobRP","@LostInTheMobRP")</f>
        <v>@LostInTheMobRP</v>
      </c>
      <c r="C1359" s="10" t="s">
        <v>5990</v>
      </c>
      <c r="D1359" s="10" t="s">
        <v>5991</v>
      </c>
      <c r="E1359" s="9" t="str">
        <f>HYPERLINK("https://twitter.com/LostInTheMobRP/status/1218553397839876096","1218553397839876096")</f>
        <v>1218553397839876096</v>
      </c>
      <c r="F1359" s="13"/>
      <c r="G1359" s="11" t="s">
        <v>5992</v>
      </c>
      <c r="H1359" s="13"/>
      <c r="I1359" s="14">
        <v>1.0</v>
      </c>
      <c r="J1359" s="14">
        <v>2.0</v>
      </c>
      <c r="K1359" s="9" t="str">
        <f>HYPERLINK("http://twitter.com/download/android","Twitter for Android")</f>
        <v>Twitter for Android</v>
      </c>
      <c r="L1359" s="15">
        <v>995.0</v>
      </c>
      <c r="M1359" s="15">
        <v>1032.0</v>
      </c>
      <c r="N1359" s="15">
        <v>5.0</v>
      </c>
      <c r="O1359" s="16"/>
      <c r="P1359" s="17">
        <v>43442.381747685184</v>
      </c>
      <c r="Q1359" s="10" t="s">
        <v>5993</v>
      </c>
      <c r="R1359" s="10" t="s">
        <v>5994</v>
      </c>
      <c r="S1359" s="13"/>
      <c r="T1359" s="13"/>
      <c r="U1359" s="18" t="str">
        <f>HYPERLINK("https://pbs.twimg.com/profile_images/1213215797818122241/rVvwhhNC.jpg","View")</f>
        <v>View</v>
      </c>
      <c r="V1359" s="13"/>
      <c r="W1359" s="13"/>
      <c r="X1359" s="13"/>
      <c r="Y1359" s="13"/>
      <c r="Z1359" s="13"/>
    </row>
    <row r="1360">
      <c r="A1360" s="8">
        <v>43848.429560185185</v>
      </c>
      <c r="B1360" s="9" t="str">
        <f>HYPERLINK("https://twitter.com/SolidFooting","@SolidFooting")</f>
        <v>@SolidFooting</v>
      </c>
      <c r="C1360" s="10" t="s">
        <v>5995</v>
      </c>
      <c r="D1360" s="10" t="s">
        <v>5996</v>
      </c>
      <c r="E1360" s="9" t="str">
        <f>HYPERLINK("https://twitter.com/SolidFooting/status/1218553272623083521","1218553272623083521")</f>
        <v>1218553272623083521</v>
      </c>
      <c r="F1360" s="10" t="s">
        <v>5997</v>
      </c>
      <c r="G1360" s="13"/>
      <c r="H1360" s="13"/>
      <c r="I1360" s="14">
        <v>1.0</v>
      </c>
      <c r="J1360" s="14">
        <v>10.0</v>
      </c>
      <c r="K1360" s="9" t="str">
        <f>HYPERLINK("http://twitter.com/download/iphone","Twitter for iPhone")</f>
        <v>Twitter for iPhone</v>
      </c>
      <c r="L1360" s="15">
        <v>6905.0</v>
      </c>
      <c r="M1360" s="15">
        <v>1864.0</v>
      </c>
      <c r="N1360" s="15">
        <v>95.0</v>
      </c>
      <c r="O1360" s="16"/>
      <c r="P1360" s="17">
        <v>41038.42451388889</v>
      </c>
      <c r="Q1360" s="10" t="s">
        <v>5998</v>
      </c>
      <c r="R1360" s="10" t="s">
        <v>5999</v>
      </c>
      <c r="S1360" s="11" t="s">
        <v>6000</v>
      </c>
      <c r="T1360" s="13"/>
      <c r="U1360" s="18" t="str">
        <f>HYPERLINK("https://pbs.twimg.com/profile_images/908765641208934400/eKCtDXlJ.jpg","View")</f>
        <v>View</v>
      </c>
      <c r="V1360" s="13"/>
      <c r="W1360" s="13"/>
      <c r="X1360" s="13"/>
      <c r="Y1360" s="13"/>
      <c r="Z1360" s="13"/>
    </row>
    <row r="1361">
      <c r="A1361" s="8">
        <v>43848.429375</v>
      </c>
      <c r="B1361" s="9" t="str">
        <f>HYPERLINK("https://twitter.com/bdqz4","@bdqz4")</f>
        <v>@bdqz4</v>
      </c>
      <c r="C1361" s="10" t="s">
        <v>6001</v>
      </c>
      <c r="D1361" s="10" t="s">
        <v>238</v>
      </c>
      <c r="E1361" s="9" t="str">
        <f>HYPERLINK("https://twitter.com/bdqz4/status/1218553205958889473","1218553205958889473")</f>
        <v>1218553205958889473</v>
      </c>
      <c r="F1361" s="13"/>
      <c r="G1361" s="13"/>
      <c r="H1361" s="13"/>
      <c r="I1361" s="14">
        <v>0.0</v>
      </c>
      <c r="J1361" s="14">
        <v>0.0</v>
      </c>
      <c r="K1361" s="9" t="str">
        <f>HYPERLINK("https://mobile.twitter.com","Twitter Web App")</f>
        <v>Twitter Web App</v>
      </c>
      <c r="L1361" s="15">
        <v>3.0</v>
      </c>
      <c r="M1361" s="15">
        <v>56.0</v>
      </c>
      <c r="N1361" s="15">
        <v>0.0</v>
      </c>
      <c r="O1361" s="16"/>
      <c r="P1361" s="17">
        <v>41916.75494212963</v>
      </c>
      <c r="Q1361" s="13"/>
      <c r="R1361" s="13"/>
      <c r="S1361" s="13"/>
      <c r="T1361" s="13"/>
      <c r="U1361" s="21" t="s">
        <v>292</v>
      </c>
      <c r="V1361" s="13"/>
      <c r="W1361" s="13"/>
      <c r="X1361" s="13"/>
      <c r="Y1361" s="13"/>
      <c r="Z1361" s="13"/>
    </row>
    <row r="1362">
      <c r="A1362" s="8">
        <v>43848.42915509259</v>
      </c>
      <c r="B1362" s="9" t="str">
        <f>HYPERLINK("https://twitter.com/VtRecruitment","@VtRecruitment")</f>
        <v>@VtRecruitment</v>
      </c>
      <c r="C1362" s="10" t="s">
        <v>6002</v>
      </c>
      <c r="D1362" s="10" t="s">
        <v>6003</v>
      </c>
      <c r="E1362" s="9" t="str">
        <f>HYPERLINK("https://twitter.com/VtRecruitment/status/1218553124333355009","1218553124333355009")</f>
        <v>1218553124333355009</v>
      </c>
      <c r="F1362" s="11" t="s">
        <v>6004</v>
      </c>
      <c r="G1362" s="13"/>
      <c r="H1362" s="9" t="str">
        <f>HYPERLINK("https://ctrlq.org/maps/address/#44.3378343,-72.756229","Map")</f>
        <v>Map</v>
      </c>
      <c r="I1362" s="14">
        <v>0.0</v>
      </c>
      <c r="J1362" s="14">
        <v>1.0</v>
      </c>
      <c r="K1362" s="9" t="str">
        <f>HYPERLINK("https://www.careerarc.com","CareerArc 2.0")</f>
        <v>CareerArc 2.0</v>
      </c>
      <c r="L1362" s="15">
        <v>282.0</v>
      </c>
      <c r="M1362" s="15">
        <v>86.0</v>
      </c>
      <c r="N1362" s="15">
        <v>122.0</v>
      </c>
      <c r="O1362" s="16"/>
      <c r="P1362" s="17">
        <v>42027.55734953703</v>
      </c>
      <c r="Q1362" s="10" t="s">
        <v>6005</v>
      </c>
      <c r="R1362" s="10" t="s">
        <v>6006</v>
      </c>
      <c r="S1362" s="11" t="s">
        <v>6007</v>
      </c>
      <c r="T1362" s="13"/>
      <c r="U1362" s="18" t="str">
        <f>HYPERLINK("https://pbs.twimg.com/profile_images/639099577593823232/2Tr0YLtD.jpg","View")</f>
        <v>View</v>
      </c>
      <c r="V1362" s="13"/>
      <c r="W1362" s="13"/>
      <c r="X1362" s="13"/>
      <c r="Y1362" s="13"/>
      <c r="Z1362" s="13"/>
    </row>
    <row r="1363">
      <c r="A1363" s="8">
        <v>43848.42894675926</v>
      </c>
      <c r="B1363" s="9" t="str">
        <f>HYPERLINK("https://twitter.com/ketohelpline","@ketohelpline")</f>
        <v>@ketohelpline</v>
      </c>
      <c r="C1363" s="10" t="s">
        <v>6008</v>
      </c>
      <c r="D1363" s="10" t="s">
        <v>6009</v>
      </c>
      <c r="E1363" s="9" t="str">
        <f>HYPERLINK("https://twitter.com/ketohelpline/status/1218553051201466373","1218553051201466373")</f>
        <v>1218553051201466373</v>
      </c>
      <c r="F1363" s="10" t="s">
        <v>6010</v>
      </c>
      <c r="G1363" s="13"/>
      <c r="H1363" s="13"/>
      <c r="I1363" s="14">
        <v>0.0</v>
      </c>
      <c r="J1363" s="14">
        <v>0.0</v>
      </c>
      <c r="K1363" s="9" t="str">
        <f>HYPERLINK("http://twitter.com/download/android","Twitter for Android")</f>
        <v>Twitter for Android</v>
      </c>
      <c r="L1363" s="15">
        <v>18.0</v>
      </c>
      <c r="M1363" s="15">
        <v>40.0</v>
      </c>
      <c r="N1363" s="15">
        <v>0.0</v>
      </c>
      <c r="O1363" s="16"/>
      <c r="P1363" s="17">
        <v>43493.374027777776</v>
      </c>
      <c r="Q1363" s="13"/>
      <c r="R1363" s="10" t="s">
        <v>6011</v>
      </c>
      <c r="S1363" s="11" t="s">
        <v>6012</v>
      </c>
      <c r="T1363" s="13"/>
      <c r="U1363" s="18" t="str">
        <f>HYPERLINK("https://pbs.twimg.com/profile_images/1108105409213001729/sWyCRQZ6.jpg","View")</f>
        <v>View</v>
      </c>
      <c r="V1363" s="13"/>
      <c r="W1363" s="13"/>
      <c r="X1363" s="13"/>
      <c r="Y1363" s="13"/>
      <c r="Z1363" s="13"/>
    </row>
    <row r="1364">
      <c r="A1364" s="8">
        <v>43848.428495370375</v>
      </c>
      <c r="B1364" s="9" t="str">
        <f>HYPERLINK("https://twitter.com/nhsleeds","@nhsleeds")</f>
        <v>@nhsleeds</v>
      </c>
      <c r="C1364" s="10" t="s">
        <v>6013</v>
      </c>
      <c r="D1364" s="10" t="s">
        <v>6014</v>
      </c>
      <c r="E1364" s="9" t="str">
        <f>HYPERLINK("https://twitter.com/nhsleeds/status/1218552887590182912","1218552887590182912")</f>
        <v>1218552887590182912</v>
      </c>
      <c r="F1364" s="11" t="s">
        <v>6015</v>
      </c>
      <c r="G1364" s="11" t="s">
        <v>6016</v>
      </c>
      <c r="H1364" s="13"/>
      <c r="I1364" s="14">
        <v>0.0</v>
      </c>
      <c r="J1364" s="14">
        <v>2.0</v>
      </c>
      <c r="K1364" s="9" t="str">
        <f>HYPERLINK("https://sproutsocial.com","Sprout Social")</f>
        <v>Sprout Social</v>
      </c>
      <c r="L1364" s="15">
        <v>9490.0</v>
      </c>
      <c r="M1364" s="15">
        <v>1992.0</v>
      </c>
      <c r="N1364" s="15">
        <v>180.0</v>
      </c>
      <c r="O1364" s="16"/>
      <c r="P1364" s="17">
        <v>40094.47576388889</v>
      </c>
      <c r="Q1364" s="10" t="s">
        <v>6017</v>
      </c>
      <c r="R1364" s="10" t="s">
        <v>6018</v>
      </c>
      <c r="S1364" s="11" t="s">
        <v>6019</v>
      </c>
      <c r="T1364" s="13"/>
      <c r="U1364" s="18" t="str">
        <f>HYPERLINK("https://pbs.twimg.com/profile_images/983381625118560257/_7PMaHyV.jpg","View")</f>
        <v>View</v>
      </c>
      <c r="V1364" s="13"/>
      <c r="W1364" s="13"/>
      <c r="X1364" s="13"/>
      <c r="Y1364" s="13"/>
      <c r="Z1364" s="13"/>
    </row>
    <row r="1365">
      <c r="A1365" s="8">
        <v>43848.42799768518</v>
      </c>
      <c r="B1365" s="9" t="str">
        <f>HYPERLINK("https://twitter.com/RDernoga","@RDernoga")</f>
        <v>@RDernoga</v>
      </c>
      <c r="C1365" s="10" t="s">
        <v>315</v>
      </c>
      <c r="D1365" s="10" t="s">
        <v>6020</v>
      </c>
      <c r="E1365" s="9" t="str">
        <f>HYPERLINK("https://twitter.com/RDernoga/status/1218552708526833664","1218552708526833664")</f>
        <v>1218552708526833664</v>
      </c>
      <c r="F1365" s="13"/>
      <c r="G1365" s="11" t="s">
        <v>6021</v>
      </c>
      <c r="H1365" s="13"/>
      <c r="I1365" s="14">
        <v>0.0</v>
      </c>
      <c r="J1365" s="14">
        <v>0.0</v>
      </c>
      <c r="K1365" s="9" t="str">
        <f>HYPERLINK("http://twitter.com/download/android","Twitter for Android")</f>
        <v>Twitter for Android</v>
      </c>
      <c r="L1365" s="15">
        <v>27.0</v>
      </c>
      <c r="M1365" s="15">
        <v>31.0</v>
      </c>
      <c r="N1365" s="15">
        <v>0.0</v>
      </c>
      <c r="O1365" s="16"/>
      <c r="P1365" s="17">
        <v>43067.85508101852</v>
      </c>
      <c r="Q1365" s="13"/>
      <c r="R1365" s="10" t="s">
        <v>317</v>
      </c>
      <c r="S1365" s="13"/>
      <c r="T1365" s="13"/>
      <c r="U1365" s="18" t="str">
        <f>HYPERLINK("https://pbs.twimg.com/profile_images/1183954554347499520/TLTMuZVw.jpg","View")</f>
        <v>View</v>
      </c>
      <c r="V1365" s="13"/>
      <c r="W1365" s="13"/>
      <c r="X1365" s="13"/>
      <c r="Y1365" s="13"/>
      <c r="Z1365" s="13"/>
    </row>
    <row r="1366">
      <c r="A1366" s="8">
        <v>43848.42791666667</v>
      </c>
      <c r="B1366" s="9" t="str">
        <f>HYPERLINK("https://twitter.com/AngelaTange65","@AngelaTange65")</f>
        <v>@AngelaTange65</v>
      </c>
      <c r="C1366" s="10" t="s">
        <v>6022</v>
      </c>
      <c r="D1366" s="10" t="s">
        <v>238</v>
      </c>
      <c r="E1366" s="9" t="str">
        <f>HYPERLINK("https://twitter.com/AngelaTange65/status/1218552675861581825","1218552675861581825")</f>
        <v>1218552675861581825</v>
      </c>
      <c r="F1366" s="13"/>
      <c r="G1366" s="13"/>
      <c r="H1366" s="13"/>
      <c r="I1366" s="14">
        <v>0.0</v>
      </c>
      <c r="J1366" s="14">
        <v>0.0</v>
      </c>
      <c r="K1366" s="9" t="str">
        <f>HYPERLINK("http://twitter.com/download/iphone","Twitter for iPhone")</f>
        <v>Twitter for iPhone</v>
      </c>
      <c r="L1366" s="15">
        <v>2330.0</v>
      </c>
      <c r="M1366" s="15">
        <v>3983.0</v>
      </c>
      <c r="N1366" s="15">
        <v>182.0</v>
      </c>
      <c r="O1366" s="16"/>
      <c r="P1366" s="17">
        <v>41926.86491898148</v>
      </c>
      <c r="Q1366" s="13"/>
      <c r="R1366" s="13"/>
      <c r="S1366" s="13"/>
      <c r="T1366" s="13"/>
      <c r="U1366" s="18" t="str">
        <f>HYPERLINK("https://pbs.twimg.com/profile_images/962124132677664768/nkUW-8p3.jpg","View")</f>
        <v>View</v>
      </c>
      <c r="V1366" s="13"/>
      <c r="W1366" s="13"/>
      <c r="X1366" s="13"/>
      <c r="Y1366" s="13"/>
      <c r="Z1366" s="13"/>
    </row>
    <row r="1367">
      <c r="A1367" s="8">
        <v>43848.427870370375</v>
      </c>
      <c r="B1367" s="9" t="str">
        <f>HYPERLINK("https://twitter.com/g_balesh","@g_balesh")</f>
        <v>@g_balesh</v>
      </c>
      <c r="C1367" s="10" t="s">
        <v>5058</v>
      </c>
      <c r="D1367" s="10" t="s">
        <v>2354</v>
      </c>
      <c r="E1367" s="9" t="str">
        <f>HYPERLINK("https://twitter.com/g_balesh/status/1218552658480508930","1218552658480508930")</f>
        <v>1218552658480508930</v>
      </c>
      <c r="F1367" s="13"/>
      <c r="G1367" s="11" t="s">
        <v>6023</v>
      </c>
      <c r="H1367" s="13"/>
      <c r="I1367" s="14">
        <v>0.0</v>
      </c>
      <c r="J1367" s="14">
        <v>1.0</v>
      </c>
      <c r="K1367" s="9" t="str">
        <f>HYPERLINK("https://crowdfireapp.com","Crowdfire App")</f>
        <v>Crowdfire App</v>
      </c>
      <c r="L1367" s="15">
        <v>281.0</v>
      </c>
      <c r="M1367" s="15">
        <v>689.0</v>
      </c>
      <c r="N1367" s="15">
        <v>3.0</v>
      </c>
      <c r="O1367" s="16"/>
      <c r="P1367" s="17">
        <v>40831.670428240745</v>
      </c>
      <c r="Q1367" s="10" t="s">
        <v>5060</v>
      </c>
      <c r="R1367" s="13"/>
      <c r="S1367" s="11" t="s">
        <v>5061</v>
      </c>
      <c r="T1367" s="13"/>
      <c r="U1367" s="18" t="str">
        <f>HYPERLINK("https://pbs.twimg.com/profile_images/597657796008513536/X4k5BQeN.jpg","View")</f>
        <v>View</v>
      </c>
      <c r="V1367" s="13"/>
      <c r="W1367" s="13"/>
      <c r="X1367" s="13"/>
      <c r="Y1367" s="13"/>
      <c r="Z1367" s="13"/>
    </row>
    <row r="1368">
      <c r="A1368" s="8">
        <v>43848.42783564815</v>
      </c>
      <c r="B1368" s="9" t="str">
        <f>HYPERLINK("https://twitter.com/DrDimitriosMD","@DrDimitriosMD")</f>
        <v>@DrDimitriosMD</v>
      </c>
      <c r="C1368" s="10" t="s">
        <v>6024</v>
      </c>
      <c r="D1368" s="10" t="s">
        <v>6025</v>
      </c>
      <c r="E1368" s="9" t="str">
        <f>HYPERLINK("https://twitter.com/DrDimitriosMD/status/1218552647164350469","1218552647164350469")</f>
        <v>1218552647164350469</v>
      </c>
      <c r="F1368" s="11" t="s">
        <v>6026</v>
      </c>
      <c r="G1368" s="13"/>
      <c r="H1368" s="13"/>
      <c r="I1368" s="14">
        <v>0.0</v>
      </c>
      <c r="J1368" s="14">
        <v>2.0</v>
      </c>
      <c r="K1368" s="9" t="str">
        <f>HYPERLINK("https://mobile.twitter.com","Twitter Web App")</f>
        <v>Twitter Web App</v>
      </c>
      <c r="L1368" s="15">
        <v>1059.0</v>
      </c>
      <c r="M1368" s="15">
        <v>1000.0</v>
      </c>
      <c r="N1368" s="15">
        <v>6.0</v>
      </c>
      <c r="O1368" s="16"/>
      <c r="P1368" s="17">
        <v>43799.69372685185</v>
      </c>
      <c r="Q1368" s="10" t="s">
        <v>6027</v>
      </c>
      <c r="R1368" s="10" t="s">
        <v>6028</v>
      </c>
      <c r="S1368" s="13"/>
      <c r="T1368" s="13"/>
      <c r="U1368" s="18" t="str">
        <f>HYPERLINK("https://pbs.twimg.com/profile_images/1200897705935081477/EHGNsJEw.jpg","View")</f>
        <v>View</v>
      </c>
      <c r="V1368" s="13"/>
      <c r="W1368" s="13"/>
      <c r="X1368" s="13"/>
      <c r="Y1368" s="13"/>
      <c r="Z1368" s="13"/>
    </row>
    <row r="1369">
      <c r="A1369" s="8">
        <v>43848.42780092593</v>
      </c>
      <c r="B1369" s="9" t="str">
        <f>HYPERLINK("https://twitter.com/Edimprove","@Edimprove")</f>
        <v>@Edimprove</v>
      </c>
      <c r="C1369" s="10" t="s">
        <v>6029</v>
      </c>
      <c r="D1369" s="10" t="s">
        <v>6030</v>
      </c>
      <c r="E1369" s="9" t="str">
        <f>HYPERLINK("https://twitter.com/Edimprove/status/1218552634682085377","1218552634682085377")</f>
        <v>1218552634682085377</v>
      </c>
      <c r="F1369" s="11" t="s">
        <v>6031</v>
      </c>
      <c r="G1369" s="11" t="s">
        <v>6032</v>
      </c>
      <c r="H1369" s="13"/>
      <c r="I1369" s="14">
        <v>1.0</v>
      </c>
      <c r="J1369" s="14">
        <v>2.0</v>
      </c>
      <c r="K1369" s="9" t="str">
        <f t="shared" ref="K1369:K1370" si="157">HYPERLINK("https://buffer.com","Buffer")</f>
        <v>Buffer</v>
      </c>
      <c r="L1369" s="15">
        <v>247.0</v>
      </c>
      <c r="M1369" s="15">
        <v>129.0</v>
      </c>
      <c r="N1369" s="15">
        <v>4.0</v>
      </c>
      <c r="O1369" s="16"/>
      <c r="P1369" s="17">
        <v>40653.53859953704</v>
      </c>
      <c r="Q1369" s="13"/>
      <c r="R1369" s="10" t="s">
        <v>6033</v>
      </c>
      <c r="S1369" s="11" t="s">
        <v>6034</v>
      </c>
      <c r="T1369" s="13"/>
      <c r="U1369" s="18" t="str">
        <f>HYPERLINK("https://pbs.twimg.com/profile_images/1118979446160134147/wQ3l_ECb.png","View")</f>
        <v>View</v>
      </c>
      <c r="V1369" s="13"/>
      <c r="W1369" s="13"/>
      <c r="X1369" s="13"/>
      <c r="Y1369" s="13"/>
      <c r="Z1369" s="13"/>
    </row>
    <row r="1370">
      <c r="A1370" s="8">
        <v>43848.42717592593</v>
      </c>
      <c r="B1370" s="9" t="str">
        <f>HYPERLINK("https://twitter.com/Rangewriterbiz","@Rangewriterbiz")</f>
        <v>@Rangewriterbiz</v>
      </c>
      <c r="C1370" s="10" t="s">
        <v>6035</v>
      </c>
      <c r="D1370" s="10" t="s">
        <v>6036</v>
      </c>
      <c r="E1370" s="9" t="str">
        <f>HYPERLINK("https://twitter.com/Rangewriterbiz/status/1218552409464680450","1218552409464680450")</f>
        <v>1218552409464680450</v>
      </c>
      <c r="F1370" s="11" t="s">
        <v>6037</v>
      </c>
      <c r="G1370" s="11" t="s">
        <v>6038</v>
      </c>
      <c r="H1370" s="13"/>
      <c r="I1370" s="14">
        <v>1.0</v>
      </c>
      <c r="J1370" s="14">
        <v>4.0</v>
      </c>
      <c r="K1370" s="9" t="str">
        <f t="shared" si="157"/>
        <v>Buffer</v>
      </c>
      <c r="L1370" s="15">
        <v>757.0</v>
      </c>
      <c r="M1370" s="15">
        <v>366.0</v>
      </c>
      <c r="N1370" s="15">
        <v>237.0</v>
      </c>
      <c r="O1370" s="16"/>
      <c r="P1370" s="17">
        <v>40964.374085648145</v>
      </c>
      <c r="Q1370" s="10" t="s">
        <v>5753</v>
      </c>
      <c r="R1370" s="10" t="s">
        <v>6039</v>
      </c>
      <c r="S1370" s="11" t="s">
        <v>6040</v>
      </c>
      <c r="T1370" s="13"/>
      <c r="U1370" s="18" t="str">
        <f>HYPERLINK("https://pbs.twimg.com/profile_images/1196224373591404544/kwmn8iIG.jpg","View")</f>
        <v>View</v>
      </c>
      <c r="V1370" s="13"/>
      <c r="W1370" s="13"/>
      <c r="X1370" s="13"/>
      <c r="Y1370" s="13"/>
      <c r="Z1370" s="13"/>
    </row>
    <row r="1371">
      <c r="A1371" s="8">
        <v>43848.4266550926</v>
      </c>
      <c r="B1371" s="9" t="str">
        <f>HYPERLINK("https://twitter.com/TherapyatNo9","@TherapyatNo9")</f>
        <v>@TherapyatNo9</v>
      </c>
      <c r="C1371" s="10" t="s">
        <v>6041</v>
      </c>
      <c r="D1371" s="10" t="s">
        <v>6042</v>
      </c>
      <c r="E1371" s="9" t="str">
        <f>HYPERLINK("https://twitter.com/TherapyatNo9/status/1218552221270450176","1218552221270450176")</f>
        <v>1218552221270450176</v>
      </c>
      <c r="F1371" s="11" t="s">
        <v>6043</v>
      </c>
      <c r="G1371" s="11" t="s">
        <v>6044</v>
      </c>
      <c r="H1371" s="13"/>
      <c r="I1371" s="14">
        <v>1.0</v>
      </c>
      <c r="J1371" s="14">
        <v>0.0</v>
      </c>
      <c r="K1371" s="9" t="str">
        <f t="shared" ref="K1371:K1373" si="158">HYPERLINK("https://mobile.twitter.com","Twitter Web App")</f>
        <v>Twitter Web App</v>
      </c>
      <c r="L1371" s="15">
        <v>100.0</v>
      </c>
      <c r="M1371" s="15">
        <v>120.0</v>
      </c>
      <c r="N1371" s="15">
        <v>3.0</v>
      </c>
      <c r="O1371" s="16"/>
      <c r="P1371" s="17">
        <v>41736.21689814815</v>
      </c>
      <c r="Q1371" s="10" t="s">
        <v>6045</v>
      </c>
      <c r="R1371" s="10" t="s">
        <v>6046</v>
      </c>
      <c r="S1371" s="11" t="s">
        <v>6047</v>
      </c>
      <c r="T1371" s="13"/>
      <c r="U1371" s="18" t="str">
        <f>HYPERLINK("https://pbs.twimg.com/profile_images/780792208635097088/24wqUzFK.jpg","View")</f>
        <v>View</v>
      </c>
      <c r="V1371" s="13"/>
      <c r="W1371" s="13"/>
      <c r="X1371" s="13"/>
      <c r="Y1371" s="13"/>
      <c r="Z1371" s="13"/>
    </row>
    <row r="1372">
      <c r="A1372" s="8">
        <v>43848.42645833333</v>
      </c>
      <c r="B1372" s="9" t="str">
        <f>HYPERLINK("https://twitter.com/Drlucyloveday","@Drlucyloveday")</f>
        <v>@Drlucyloveday</v>
      </c>
      <c r="C1372" s="10" t="s">
        <v>6048</v>
      </c>
      <c r="D1372" s="10" t="s">
        <v>6049</v>
      </c>
      <c r="E1372" s="9" t="str">
        <f>HYPERLINK("https://twitter.com/Drlucyloveday/status/1218552148033777664","1218552148033777664")</f>
        <v>1218552148033777664</v>
      </c>
      <c r="F1372" s="13"/>
      <c r="G1372" s="11" t="s">
        <v>6050</v>
      </c>
      <c r="H1372" s="13"/>
      <c r="I1372" s="14">
        <v>3.0</v>
      </c>
      <c r="J1372" s="14">
        <v>24.0</v>
      </c>
      <c r="K1372" s="9" t="str">
        <f t="shared" si="158"/>
        <v>Twitter Web App</v>
      </c>
      <c r="L1372" s="15">
        <v>914.0</v>
      </c>
      <c r="M1372" s="15">
        <v>1544.0</v>
      </c>
      <c r="N1372" s="15">
        <v>7.0</v>
      </c>
      <c r="O1372" s="16"/>
      <c r="P1372" s="17">
        <v>43173.77021990741</v>
      </c>
      <c r="Q1372" s="13"/>
      <c r="R1372" s="10" t="s">
        <v>6051</v>
      </c>
      <c r="S1372" s="11" t="s">
        <v>6052</v>
      </c>
      <c r="T1372" s="13"/>
      <c r="U1372" s="18" t="str">
        <f>HYPERLINK("https://pbs.twimg.com/profile_images/1164847855506481153/pv3UxKld.jpg","View")</f>
        <v>View</v>
      </c>
      <c r="V1372" s="13"/>
      <c r="W1372" s="13"/>
      <c r="X1372" s="13"/>
      <c r="Y1372" s="13"/>
      <c r="Z1372" s="13"/>
    </row>
    <row r="1373">
      <c r="A1373" s="8">
        <v>43848.425671296296</v>
      </c>
      <c r="B1373" s="9" t="str">
        <f>HYPERLINK("https://twitter.com/ndpthepoetress","@ndpthepoetress")</f>
        <v>@ndpthepoetress</v>
      </c>
      <c r="C1373" s="10" t="s">
        <v>1735</v>
      </c>
      <c r="D1373" s="10" t="s">
        <v>6053</v>
      </c>
      <c r="E1373" s="9" t="str">
        <f>HYPERLINK("https://twitter.com/ndpthepoetress/status/1218551862925975554","1218551862925975554")</f>
        <v>1218551862925975554</v>
      </c>
      <c r="F1373" s="13"/>
      <c r="G1373" s="11" t="s">
        <v>6054</v>
      </c>
      <c r="H1373" s="13"/>
      <c r="I1373" s="14">
        <v>1.0</v>
      </c>
      <c r="J1373" s="14">
        <v>4.0</v>
      </c>
      <c r="K1373" s="9" t="str">
        <f t="shared" si="158"/>
        <v>Twitter Web App</v>
      </c>
      <c r="L1373" s="15">
        <v>2689.0</v>
      </c>
      <c r="M1373" s="15">
        <v>4977.0</v>
      </c>
      <c r="N1373" s="15">
        <v>59.0</v>
      </c>
      <c r="O1373" s="16"/>
      <c r="P1373" s="17">
        <v>39835.752442129626</v>
      </c>
      <c r="Q1373" s="10" t="s">
        <v>505</v>
      </c>
      <c r="R1373" s="10" t="s">
        <v>1738</v>
      </c>
      <c r="S1373" s="11" t="s">
        <v>1739</v>
      </c>
      <c r="T1373" s="13"/>
      <c r="U1373" s="18" t="str">
        <f>HYPERLINK("https://pbs.twimg.com/profile_images/1114220548739993601/m6uD4xYX.png","View")</f>
        <v>View</v>
      </c>
      <c r="V1373" s="13"/>
      <c r="W1373" s="13"/>
      <c r="X1373" s="13"/>
      <c r="Y1373" s="13"/>
      <c r="Z1373" s="13"/>
    </row>
    <row r="1374">
      <c r="A1374" s="8">
        <v>43848.42539351852</v>
      </c>
      <c r="B1374" s="9" t="str">
        <f>HYPERLINK("https://twitter.com/lgibson12397","@lgibson12397")</f>
        <v>@lgibson12397</v>
      </c>
      <c r="C1374" s="10" t="s">
        <v>3010</v>
      </c>
      <c r="D1374" s="10" t="s">
        <v>6055</v>
      </c>
      <c r="E1374" s="9" t="str">
        <f>HYPERLINK("https://twitter.com/lgibson12397/status/1218551763902615552","1218551763902615552")</f>
        <v>1218551763902615552</v>
      </c>
      <c r="F1374" s="13"/>
      <c r="G1374" s="11" t="s">
        <v>6056</v>
      </c>
      <c r="H1374" s="13"/>
      <c r="I1374" s="14">
        <v>6.0</v>
      </c>
      <c r="J1374" s="14">
        <v>32.0</v>
      </c>
      <c r="K1374" s="9" t="str">
        <f>HYPERLINK("http://twitter.com/download/android","Twitter for Android")</f>
        <v>Twitter for Android</v>
      </c>
      <c r="L1374" s="15">
        <v>8912.0</v>
      </c>
      <c r="M1374" s="15">
        <v>9794.0</v>
      </c>
      <c r="N1374" s="15">
        <v>15.0</v>
      </c>
      <c r="O1374" s="16"/>
      <c r="P1374" s="17">
        <v>42002.58578703704</v>
      </c>
      <c r="Q1374" s="13"/>
      <c r="R1374" s="10" t="s">
        <v>3012</v>
      </c>
      <c r="S1374" s="13"/>
      <c r="T1374" s="13"/>
      <c r="U1374" s="18" t="str">
        <f>HYPERLINK("https://pbs.twimg.com/profile_images/1022914492227760128/zjmy0zqU.jpg","View")</f>
        <v>View</v>
      </c>
      <c r="V1374" s="13"/>
      <c r="W1374" s="13"/>
      <c r="X1374" s="13"/>
      <c r="Y1374" s="13"/>
      <c r="Z1374" s="13"/>
    </row>
    <row r="1375">
      <c r="A1375" s="8">
        <v>43848.42524305556</v>
      </c>
      <c r="B1375" s="9" t="str">
        <f>HYPERLINK("https://twitter.com/LucyAshurst1","@LucyAshurst1")</f>
        <v>@LucyAshurst1</v>
      </c>
      <c r="C1375" s="10" t="s">
        <v>6057</v>
      </c>
      <c r="D1375" s="10" t="s">
        <v>6058</v>
      </c>
      <c r="E1375" s="9" t="str">
        <f>HYPERLINK("https://twitter.com/LucyAshurst1/status/1218551710194511878","1218551710194511878")</f>
        <v>1218551710194511878</v>
      </c>
      <c r="F1375" s="11" t="s">
        <v>6059</v>
      </c>
      <c r="G1375" s="10" t="s">
        <v>6060</v>
      </c>
      <c r="H1375" s="13"/>
      <c r="I1375" s="14">
        <v>1.0</v>
      </c>
      <c r="J1375" s="14">
        <v>33.0</v>
      </c>
      <c r="K1375" s="9" t="str">
        <f>HYPERLINK("http://twitter.com/download/iphone","Twitter for iPhone")</f>
        <v>Twitter for iPhone</v>
      </c>
      <c r="L1375" s="15">
        <v>226.0</v>
      </c>
      <c r="M1375" s="15">
        <v>312.0</v>
      </c>
      <c r="N1375" s="15">
        <v>0.0</v>
      </c>
      <c r="O1375" s="16"/>
      <c r="P1375" s="17">
        <v>40726.55274305555</v>
      </c>
      <c r="Q1375" s="10" t="s">
        <v>6061</v>
      </c>
      <c r="R1375" s="10" t="s">
        <v>6062</v>
      </c>
      <c r="S1375" s="13"/>
      <c r="T1375" s="13"/>
      <c r="U1375" s="18" t="str">
        <f>HYPERLINK("https://pbs.twimg.com/profile_images/1216499116613734405/YDIsY5EH.jpg","View")</f>
        <v>View</v>
      </c>
      <c r="V1375" s="13"/>
      <c r="W1375" s="13"/>
      <c r="X1375" s="13"/>
      <c r="Y1375" s="13"/>
      <c r="Z1375" s="13"/>
    </row>
    <row r="1376">
      <c r="A1376" s="8">
        <v>43848.424884259264</v>
      </c>
      <c r="B1376" s="9" t="str">
        <f>HYPERLINK("https://twitter.com/FinlayGames","@FinlayGames")</f>
        <v>@FinlayGames</v>
      </c>
      <c r="C1376" s="10" t="s">
        <v>6063</v>
      </c>
      <c r="D1376" s="10" t="s">
        <v>6064</v>
      </c>
      <c r="E1376" s="9" t="str">
        <f>HYPERLINK("https://twitter.com/FinlayGames/status/1218551579734953984","1218551579734953984")</f>
        <v>1218551579734953984</v>
      </c>
      <c r="F1376" s="13"/>
      <c r="G1376" s="11" t="s">
        <v>6065</v>
      </c>
      <c r="H1376" s="13"/>
      <c r="I1376" s="14">
        <v>0.0</v>
      </c>
      <c r="J1376" s="14">
        <v>7.0</v>
      </c>
      <c r="K1376" s="9" t="str">
        <f>HYPERLINK("http://twitter.com/download/android","Twitter for Android")</f>
        <v>Twitter for Android</v>
      </c>
      <c r="L1376" s="15">
        <v>3362.0</v>
      </c>
      <c r="M1376" s="15">
        <v>3405.0</v>
      </c>
      <c r="N1376" s="15">
        <v>65.0</v>
      </c>
      <c r="O1376" s="16"/>
      <c r="P1376" s="17">
        <v>39872.698472222226</v>
      </c>
      <c r="Q1376" s="10" t="s">
        <v>6066</v>
      </c>
      <c r="R1376" s="10" t="s">
        <v>6067</v>
      </c>
      <c r="S1376" s="11" t="s">
        <v>6068</v>
      </c>
      <c r="T1376" s="13"/>
      <c r="U1376" s="18" t="str">
        <f>HYPERLINK("https://pbs.twimg.com/profile_images/1205862559611572225/mb8Zll9D.jpg","View")</f>
        <v>View</v>
      </c>
      <c r="V1376" s="13"/>
      <c r="W1376" s="13"/>
      <c r="X1376" s="13"/>
      <c r="Y1376" s="13"/>
      <c r="Z1376" s="13"/>
    </row>
    <row r="1377">
      <c r="A1377" s="8">
        <v>43848.424166666664</v>
      </c>
      <c r="B1377" s="9" t="str">
        <f>HYPERLINK("https://twitter.com/theatre_podcast","@theatre_podcast")</f>
        <v>@theatre_podcast</v>
      </c>
      <c r="C1377" s="10" t="s">
        <v>6069</v>
      </c>
      <c r="D1377" s="10" t="s">
        <v>6070</v>
      </c>
      <c r="E1377" s="9" t="str">
        <f>HYPERLINK("https://twitter.com/theatre_podcast/status/1218551319096700928","1218551319096700928")</f>
        <v>1218551319096700928</v>
      </c>
      <c r="F1377" s="11" t="s">
        <v>6071</v>
      </c>
      <c r="G1377" s="11" t="s">
        <v>6072</v>
      </c>
      <c r="H1377" s="13"/>
      <c r="I1377" s="14">
        <v>1.0</v>
      </c>
      <c r="J1377" s="14">
        <v>3.0</v>
      </c>
      <c r="K1377" s="9" t="str">
        <f t="shared" ref="K1377:K1378" si="159">HYPERLINK("http://twitter.com/download/iphone","Twitter for iPhone")</f>
        <v>Twitter for iPhone</v>
      </c>
      <c r="L1377" s="15">
        <v>302.0</v>
      </c>
      <c r="M1377" s="15">
        <v>301.0</v>
      </c>
      <c r="N1377" s="15">
        <v>5.0</v>
      </c>
      <c r="O1377" s="16"/>
      <c r="P1377" s="17">
        <v>43373.960856481484</v>
      </c>
      <c r="Q1377" s="10" t="s">
        <v>266</v>
      </c>
      <c r="R1377" s="10" t="s">
        <v>6073</v>
      </c>
      <c r="S1377" s="11" t="s">
        <v>6074</v>
      </c>
      <c r="T1377" s="13"/>
      <c r="U1377" s="18" t="str">
        <f>HYPERLINK("https://pbs.twimg.com/profile_images/1179195775642939392/LJfgLzI2.jpg","View")</f>
        <v>View</v>
      </c>
      <c r="V1377" s="13"/>
      <c r="W1377" s="13"/>
      <c r="X1377" s="13"/>
      <c r="Y1377" s="13"/>
      <c r="Z1377" s="13"/>
    </row>
    <row r="1378">
      <c r="A1378" s="8">
        <v>43848.42409722222</v>
      </c>
      <c r="B1378" s="9" t="str">
        <f>HYPERLINK("https://twitter.com/orange_madbird","@orange_madbird")</f>
        <v>@orange_madbird</v>
      </c>
      <c r="C1378" s="10" t="s">
        <v>6075</v>
      </c>
      <c r="D1378" s="10" t="s">
        <v>6076</v>
      </c>
      <c r="E1378" s="9" t="str">
        <f>HYPERLINK("https://twitter.com/orange_madbird/status/1218551291900825600","1218551291900825600")</f>
        <v>1218551291900825600</v>
      </c>
      <c r="F1378" s="10" t="s">
        <v>6077</v>
      </c>
      <c r="G1378" s="13"/>
      <c r="H1378" s="13"/>
      <c r="I1378" s="14">
        <v>0.0</v>
      </c>
      <c r="J1378" s="14">
        <v>2.0</v>
      </c>
      <c r="K1378" s="9" t="str">
        <f t="shared" si="159"/>
        <v>Twitter for iPhone</v>
      </c>
      <c r="L1378" s="15">
        <v>494.0</v>
      </c>
      <c r="M1378" s="15">
        <v>577.0</v>
      </c>
      <c r="N1378" s="15">
        <v>11.0</v>
      </c>
      <c r="O1378" s="16"/>
      <c r="P1378" s="17">
        <v>40526.75194444445</v>
      </c>
      <c r="Q1378" s="13"/>
      <c r="R1378" s="10" t="s">
        <v>6078</v>
      </c>
      <c r="S1378" s="13"/>
      <c r="T1378" s="13"/>
      <c r="U1378" s="18" t="str">
        <f>HYPERLINK("https://pbs.twimg.com/profile_images/1045568475153018880/ihClLpz-.jpg","View")</f>
        <v>View</v>
      </c>
      <c r="V1378" s="13"/>
      <c r="W1378" s="13"/>
      <c r="X1378" s="13"/>
      <c r="Y1378" s="13"/>
      <c r="Z1378" s="13"/>
    </row>
    <row r="1379">
      <c r="A1379" s="8">
        <v>43848.42364583333</v>
      </c>
      <c r="B1379" s="9" t="str">
        <f>HYPERLINK("https://twitter.com/RachelETesfaye","@RachelETesfaye")</f>
        <v>@RachelETesfaye</v>
      </c>
      <c r="C1379" s="10" t="s">
        <v>6079</v>
      </c>
      <c r="D1379" s="10" t="s">
        <v>6080</v>
      </c>
      <c r="E1379" s="9" t="str">
        <f>HYPERLINK("https://twitter.com/RachelETesfaye/status/1218551128893411334","1218551128893411334")</f>
        <v>1218551128893411334</v>
      </c>
      <c r="F1379" s="13"/>
      <c r="G1379" s="11" t="s">
        <v>6081</v>
      </c>
      <c r="H1379" s="13"/>
      <c r="I1379" s="14">
        <v>3.0</v>
      </c>
      <c r="J1379" s="14">
        <v>13.0</v>
      </c>
      <c r="K1379" s="9" t="str">
        <f t="shared" ref="K1379:K1380" si="160">HYPERLINK("http://twitter.com/download/android","Twitter for Android")</f>
        <v>Twitter for Android</v>
      </c>
      <c r="L1379" s="15">
        <v>121.0</v>
      </c>
      <c r="M1379" s="15">
        <v>217.0</v>
      </c>
      <c r="N1379" s="15">
        <v>0.0</v>
      </c>
      <c r="O1379" s="16"/>
      <c r="P1379" s="17">
        <v>43718.494108796294</v>
      </c>
      <c r="Q1379" s="10" t="s">
        <v>2102</v>
      </c>
      <c r="R1379" s="10" t="s">
        <v>6082</v>
      </c>
      <c r="S1379" s="11" t="s">
        <v>6083</v>
      </c>
      <c r="T1379" s="13"/>
      <c r="U1379" s="18" t="str">
        <f>HYPERLINK("https://pbs.twimg.com/profile_images/1178978568178720768/Pb3z7Wmp.jpg","View")</f>
        <v>View</v>
      </c>
      <c r="V1379" s="13"/>
      <c r="W1379" s="13"/>
      <c r="X1379" s="13"/>
      <c r="Y1379" s="13"/>
      <c r="Z1379" s="13"/>
    </row>
    <row r="1380">
      <c r="A1380" s="8">
        <v>43848.423321759255</v>
      </c>
      <c r="B1380" s="9" t="str">
        <f>HYPERLINK("https://twitter.com/borderline_mum","@borderline_mum")</f>
        <v>@borderline_mum</v>
      </c>
      <c r="C1380" s="10" t="s">
        <v>3770</v>
      </c>
      <c r="D1380" s="10" t="s">
        <v>6084</v>
      </c>
      <c r="E1380" s="9" t="str">
        <f>HYPERLINK("https://twitter.com/borderline_mum/status/1218551012165898242","1218551012165898242")</f>
        <v>1218551012165898242</v>
      </c>
      <c r="F1380" s="13"/>
      <c r="G1380" s="11" t="s">
        <v>6085</v>
      </c>
      <c r="H1380" s="13"/>
      <c r="I1380" s="14">
        <v>0.0</v>
      </c>
      <c r="J1380" s="14">
        <v>0.0</v>
      </c>
      <c r="K1380" s="9" t="str">
        <f t="shared" si="160"/>
        <v>Twitter for Android</v>
      </c>
      <c r="L1380" s="15">
        <v>23.0</v>
      </c>
      <c r="M1380" s="15">
        <v>80.0</v>
      </c>
      <c r="N1380" s="15">
        <v>0.0</v>
      </c>
      <c r="O1380" s="16"/>
      <c r="P1380" s="17">
        <v>43847.2672337963</v>
      </c>
      <c r="Q1380" s="13"/>
      <c r="R1380" s="10" t="s">
        <v>3772</v>
      </c>
      <c r="S1380" s="13"/>
      <c r="T1380" s="13"/>
      <c r="U1380" s="18" t="str">
        <f>HYPERLINK("https://pbs.twimg.com/profile_images/1218132147401371650/5GLonH9q.jpg","View")</f>
        <v>View</v>
      </c>
      <c r="V1380" s="13"/>
      <c r="W1380" s="13"/>
      <c r="X1380" s="13"/>
      <c r="Y1380" s="13"/>
      <c r="Z1380" s="13"/>
    </row>
    <row r="1381">
      <c r="A1381" s="8">
        <v>43848.423159722224</v>
      </c>
      <c r="B1381" s="9" t="str">
        <f>HYPERLINK("https://twitter.com/drmujeeb333","@drmujeeb333")</f>
        <v>@drmujeeb333</v>
      </c>
      <c r="C1381" s="10" t="s">
        <v>6086</v>
      </c>
      <c r="D1381" s="10" t="s">
        <v>238</v>
      </c>
      <c r="E1381" s="9" t="str">
        <f>HYPERLINK("https://twitter.com/drmujeeb333/status/1218550954624258053","1218550954624258053")</f>
        <v>1218550954624258053</v>
      </c>
      <c r="F1381" s="13"/>
      <c r="G1381" s="13"/>
      <c r="H1381" s="13"/>
      <c r="I1381" s="14">
        <v>0.0</v>
      </c>
      <c r="J1381" s="14">
        <v>1.0</v>
      </c>
      <c r="K1381" s="9" t="str">
        <f>HYPERLINK("http://twitter.com/download/iphone","Twitter for iPhone")</f>
        <v>Twitter for iPhone</v>
      </c>
      <c r="L1381" s="15">
        <v>78.0</v>
      </c>
      <c r="M1381" s="15">
        <v>111.0</v>
      </c>
      <c r="N1381" s="15">
        <v>0.0</v>
      </c>
      <c r="O1381" s="16"/>
      <c r="P1381" s="17">
        <v>43333.304884259254</v>
      </c>
      <c r="Q1381" s="10" t="s">
        <v>6087</v>
      </c>
      <c r="R1381" s="10" t="s">
        <v>6088</v>
      </c>
      <c r="S1381" s="13"/>
      <c r="T1381" s="13"/>
      <c r="U1381" s="18" t="str">
        <f>HYPERLINK("https://pbs.twimg.com/profile_images/1031865088687390720/UUih2S9V.jpg","View")</f>
        <v>View</v>
      </c>
      <c r="V1381" s="13"/>
      <c r="W1381" s="13"/>
      <c r="X1381" s="13"/>
      <c r="Y1381" s="13"/>
      <c r="Z1381" s="13"/>
    </row>
    <row r="1382">
      <c r="A1382" s="8">
        <v>43848.422326388885</v>
      </c>
      <c r="B1382" s="9" t="str">
        <f>HYPERLINK("https://twitter.com/bucknuttygames","@bucknuttygames")</f>
        <v>@bucknuttygames</v>
      </c>
      <c r="C1382" s="10" t="s">
        <v>6089</v>
      </c>
      <c r="D1382" s="10" t="s">
        <v>6090</v>
      </c>
      <c r="E1382" s="9" t="str">
        <f>HYPERLINK("https://twitter.com/bucknuttygames/status/1218550651191468032","1218550651191468032")</f>
        <v>1218550651191468032</v>
      </c>
      <c r="F1382" s="11" t="s">
        <v>6091</v>
      </c>
      <c r="G1382" s="13"/>
      <c r="H1382" s="13"/>
      <c r="I1382" s="14">
        <v>5.0</v>
      </c>
      <c r="J1382" s="14">
        <v>10.0</v>
      </c>
      <c r="K1382" s="9" t="str">
        <f>HYPERLINK("https://mobile.twitter.com","Twitter Web App")</f>
        <v>Twitter Web App</v>
      </c>
      <c r="L1382" s="15">
        <v>59.0</v>
      </c>
      <c r="M1382" s="15">
        <v>176.0</v>
      </c>
      <c r="N1382" s="15">
        <v>0.0</v>
      </c>
      <c r="O1382" s="16"/>
      <c r="P1382" s="17">
        <v>43543.913819444446</v>
      </c>
      <c r="Q1382" s="10" t="s">
        <v>166</v>
      </c>
      <c r="R1382" s="10" t="s">
        <v>6092</v>
      </c>
      <c r="S1382" s="13"/>
      <c r="T1382" s="13"/>
      <c r="U1382" s="18" t="str">
        <f>HYPERLINK("https://pbs.twimg.com/profile_images/1216918934991048704/nKJ8b9qn.jpg","View")</f>
        <v>View</v>
      </c>
      <c r="V1382" s="13"/>
      <c r="W1382" s="13"/>
      <c r="X1382" s="13"/>
      <c r="Y1382" s="13"/>
      <c r="Z1382" s="13"/>
    </row>
    <row r="1383">
      <c r="A1383" s="8">
        <v>43848.42210648148</v>
      </c>
      <c r="B1383" s="9" t="str">
        <f>HYPERLINK("https://twitter.com/talk_wellbeing","@talk_wellbeing")</f>
        <v>@talk_wellbeing</v>
      </c>
      <c r="C1383" s="10" t="s">
        <v>6093</v>
      </c>
      <c r="D1383" s="10" t="s">
        <v>6094</v>
      </c>
      <c r="E1383" s="9" t="str">
        <f>HYPERLINK("https://twitter.com/talk_wellbeing/status/1218550573164830720","1218550573164830720")</f>
        <v>1218550573164830720</v>
      </c>
      <c r="F1383" s="11" t="s">
        <v>6095</v>
      </c>
      <c r="G1383" s="13"/>
      <c r="H1383" s="13"/>
      <c r="I1383" s="14">
        <v>0.0</v>
      </c>
      <c r="J1383" s="14">
        <v>1.0</v>
      </c>
      <c r="K1383" s="9" t="str">
        <f>HYPERLINK("http://instagram.com","Instagram")</f>
        <v>Instagram</v>
      </c>
      <c r="L1383" s="15">
        <v>9.0</v>
      </c>
      <c r="M1383" s="15">
        <v>39.0</v>
      </c>
      <c r="N1383" s="15">
        <v>0.0</v>
      </c>
      <c r="O1383" s="16"/>
      <c r="P1383" s="17">
        <v>43844.62431712963</v>
      </c>
      <c r="Q1383" s="13"/>
      <c r="R1383" s="10" t="s">
        <v>6096</v>
      </c>
      <c r="S1383" s="13"/>
      <c r="T1383" s="13"/>
      <c r="U1383" s="18" t="str">
        <f>HYPERLINK("https://pbs.twimg.com/profile_images/1217174592122433536/Xgb5Fjz3.jpg","View")</f>
        <v>View</v>
      </c>
      <c r="V1383" s="13"/>
      <c r="W1383" s="13"/>
      <c r="X1383" s="13"/>
      <c r="Y1383" s="13"/>
      <c r="Z1383" s="13"/>
    </row>
    <row r="1384">
      <c r="A1384" s="8">
        <v>43848.421585648146</v>
      </c>
      <c r="B1384" s="9" t="str">
        <f>HYPERLINK("https://twitter.com/newsfromrooftop","@newsfromrooftop")</f>
        <v>@newsfromrooftop</v>
      </c>
      <c r="C1384" s="10" t="s">
        <v>6097</v>
      </c>
      <c r="D1384" s="10" t="s">
        <v>6098</v>
      </c>
      <c r="E1384" s="9" t="str">
        <f>HYPERLINK("https://twitter.com/newsfromrooftop/status/1218550384509247488","1218550384509247488")</f>
        <v>1218550384509247488</v>
      </c>
      <c r="F1384" s="11" t="s">
        <v>6099</v>
      </c>
      <c r="G1384" s="13"/>
      <c r="H1384" s="13"/>
      <c r="I1384" s="14">
        <v>0.0</v>
      </c>
      <c r="J1384" s="14">
        <v>0.0</v>
      </c>
      <c r="K1384" s="9" t="str">
        <f>HYPERLINK("http://app.sendblur.com","Social Media Publisher App ")</f>
        <v>Social Media Publisher App </v>
      </c>
      <c r="L1384" s="15">
        <v>831.0</v>
      </c>
      <c r="M1384" s="15">
        <v>259.0</v>
      </c>
      <c r="N1384" s="15">
        <v>7.0</v>
      </c>
      <c r="O1384" s="16"/>
      <c r="P1384" s="17">
        <v>43327.36293981482</v>
      </c>
      <c r="Q1384" s="10" t="s">
        <v>1324</v>
      </c>
      <c r="R1384" s="10" t="s">
        <v>6100</v>
      </c>
      <c r="S1384" s="11" t="s">
        <v>6101</v>
      </c>
      <c r="T1384" s="13"/>
      <c r="U1384" s="18" t="str">
        <f>HYPERLINK("https://pbs.twimg.com/profile_images/1055057419972288512/oIN8ejLf.jpg","View")</f>
        <v>View</v>
      </c>
      <c r="V1384" s="13"/>
      <c r="W1384" s="13"/>
      <c r="X1384" s="13"/>
      <c r="Y1384" s="13"/>
      <c r="Z1384" s="13"/>
    </row>
    <row r="1385">
      <c r="A1385" s="8">
        <v>43848.42152777778</v>
      </c>
      <c r="B1385" s="9" t="str">
        <f>HYPERLINK("https://twitter.com/TheCrimiTalk","@TheCrimiTalk")</f>
        <v>@TheCrimiTalk</v>
      </c>
      <c r="C1385" s="10" t="s">
        <v>6102</v>
      </c>
      <c r="D1385" s="10" t="s">
        <v>6103</v>
      </c>
      <c r="E1385" s="9" t="str">
        <f>HYPERLINK("https://twitter.com/TheCrimiTalk/status/1218550362023636997","1218550362023636997")</f>
        <v>1218550362023636997</v>
      </c>
      <c r="F1385" s="13"/>
      <c r="G1385" s="11" t="s">
        <v>6104</v>
      </c>
      <c r="H1385" s="13"/>
      <c r="I1385" s="14">
        <v>0.0</v>
      </c>
      <c r="J1385" s="14">
        <v>0.0</v>
      </c>
      <c r="K1385" s="9" t="str">
        <f>HYPERLINK("http://twitter.com/download/android","Twitter for Android")</f>
        <v>Twitter for Android</v>
      </c>
      <c r="L1385" s="15">
        <v>1417.0</v>
      </c>
      <c r="M1385" s="15">
        <v>1930.0</v>
      </c>
      <c r="N1385" s="15">
        <v>7.0</v>
      </c>
      <c r="O1385" s="16"/>
      <c r="P1385" s="17">
        <v>42472.718298611115</v>
      </c>
      <c r="Q1385" s="10" t="s">
        <v>446</v>
      </c>
      <c r="R1385" s="10" t="s">
        <v>6105</v>
      </c>
      <c r="S1385" s="11" t="s">
        <v>6106</v>
      </c>
      <c r="T1385" s="13"/>
      <c r="U1385" s="18" t="str">
        <f>HYPERLINK("https://pbs.twimg.com/profile_images/903393698993643521/OCOhpCdD.jpg","View")</f>
        <v>View</v>
      </c>
      <c r="V1385" s="13"/>
      <c r="W1385" s="13"/>
      <c r="X1385" s="13"/>
      <c r="Y1385" s="13"/>
      <c r="Z1385" s="13"/>
    </row>
    <row r="1386">
      <c r="A1386" s="8">
        <v>43848.420798611114</v>
      </c>
      <c r="B1386" s="9" t="str">
        <f>HYPERLINK("https://twitter.com/fabislei7","@fabislei7")</f>
        <v>@fabislei7</v>
      </c>
      <c r="C1386" s="10" t="s">
        <v>6107</v>
      </c>
      <c r="D1386" s="10" t="s">
        <v>6108</v>
      </c>
      <c r="E1386" s="9" t="str">
        <f>HYPERLINK("https://twitter.com/fabislei7/status/1218550098550050817","1218550098550050817")</f>
        <v>1218550098550050817</v>
      </c>
      <c r="F1386" s="10" t="s">
        <v>6109</v>
      </c>
      <c r="G1386" s="11" t="s">
        <v>6110</v>
      </c>
      <c r="H1386" s="13"/>
      <c r="I1386" s="14">
        <v>0.0</v>
      </c>
      <c r="J1386" s="14">
        <v>0.0</v>
      </c>
      <c r="K1386" s="9" t="str">
        <f>HYPERLINK("https://mobile.twitter.com","Twitter Web App")</f>
        <v>Twitter Web App</v>
      </c>
      <c r="L1386" s="15">
        <v>706.0</v>
      </c>
      <c r="M1386" s="15">
        <v>599.0</v>
      </c>
      <c r="N1386" s="15">
        <v>2.0</v>
      </c>
      <c r="O1386" s="16"/>
      <c r="P1386" s="17">
        <v>40903.42324074074</v>
      </c>
      <c r="Q1386" s="10" t="s">
        <v>6111</v>
      </c>
      <c r="R1386" s="10" t="s">
        <v>6112</v>
      </c>
      <c r="S1386" s="11" t="s">
        <v>6113</v>
      </c>
      <c r="T1386" s="13"/>
      <c r="U1386" s="18" t="str">
        <f>HYPERLINK("https://pbs.twimg.com/profile_images/1210158019943817222/nSLFoX61.jpg","View")</f>
        <v>View</v>
      </c>
      <c r="V1386" s="13"/>
      <c r="W1386" s="13"/>
      <c r="X1386" s="13"/>
      <c r="Y1386" s="13"/>
      <c r="Z1386" s="13"/>
    </row>
    <row r="1387">
      <c r="A1387" s="8">
        <v>43848.42046296297</v>
      </c>
      <c r="B1387" s="9" t="str">
        <f>HYPERLINK("https://twitter.com/DonelaLinas","@DonelaLinas")</f>
        <v>@DonelaLinas</v>
      </c>
      <c r="C1387" s="10" t="s">
        <v>1838</v>
      </c>
      <c r="D1387" s="10" t="s">
        <v>6114</v>
      </c>
      <c r="E1387" s="9" t="str">
        <f>HYPERLINK("https://twitter.com/DonelaLinas/status/1218549977292603392","1218549977292603392")</f>
        <v>1218549977292603392</v>
      </c>
      <c r="F1387" s="13"/>
      <c r="G1387" s="13"/>
      <c r="H1387" s="13"/>
      <c r="I1387" s="14">
        <v>0.0</v>
      </c>
      <c r="J1387" s="14">
        <v>0.0</v>
      </c>
      <c r="K1387" s="9" t="str">
        <f t="shared" ref="K1387:K1388" si="161">HYPERLINK("http://twitter.com/download/android","Twitter for Android")</f>
        <v>Twitter for Android</v>
      </c>
      <c r="L1387" s="15">
        <v>34.0</v>
      </c>
      <c r="M1387" s="15">
        <v>57.0</v>
      </c>
      <c r="N1387" s="15">
        <v>0.0</v>
      </c>
      <c r="O1387" s="16"/>
      <c r="P1387" s="17">
        <v>42519.46498842593</v>
      </c>
      <c r="Q1387" s="10" t="s">
        <v>1840</v>
      </c>
      <c r="R1387" s="10" t="s">
        <v>1841</v>
      </c>
      <c r="S1387" s="13"/>
      <c r="T1387" s="13"/>
      <c r="U1387" s="18" t="str">
        <f>HYPERLINK("https://pbs.twimg.com/profile_images/737072476367269888/aenGDd9p.jpg","View")</f>
        <v>View</v>
      </c>
      <c r="V1387" s="13"/>
      <c r="W1387" s="13"/>
      <c r="X1387" s="13"/>
      <c r="Y1387" s="13"/>
      <c r="Z1387" s="13"/>
    </row>
    <row r="1388">
      <c r="A1388" s="8">
        <v>43848.42041666667</v>
      </c>
      <c r="B1388" s="9" t="str">
        <f>HYPERLINK("https://twitter.com/RiverM_Hathaway","@RiverM_Hathaway")</f>
        <v>@RiverM_Hathaway</v>
      </c>
      <c r="C1388" s="10" t="s">
        <v>6115</v>
      </c>
      <c r="D1388" s="10" t="s">
        <v>6116</v>
      </c>
      <c r="E1388" s="9" t="str">
        <f>HYPERLINK("https://twitter.com/RiverM_Hathaway/status/1218549959668178946","1218549959668178946")</f>
        <v>1218549959668178946</v>
      </c>
      <c r="F1388" s="11" t="s">
        <v>6117</v>
      </c>
      <c r="G1388" s="11" t="s">
        <v>6118</v>
      </c>
      <c r="H1388" s="13"/>
      <c r="I1388" s="14">
        <v>0.0</v>
      </c>
      <c r="J1388" s="14">
        <v>0.0</v>
      </c>
      <c r="K1388" s="9" t="str">
        <f t="shared" si="161"/>
        <v>Twitter for Android</v>
      </c>
      <c r="L1388" s="15">
        <v>1206.0</v>
      </c>
      <c r="M1388" s="15">
        <v>536.0</v>
      </c>
      <c r="N1388" s="15">
        <v>68.0</v>
      </c>
      <c r="O1388" s="16"/>
      <c r="P1388" s="17">
        <v>40579.72659722222</v>
      </c>
      <c r="Q1388" s="10" t="s">
        <v>6119</v>
      </c>
      <c r="R1388" s="10" t="s">
        <v>6120</v>
      </c>
      <c r="S1388" s="11" t="s">
        <v>6121</v>
      </c>
      <c r="T1388" s="13"/>
      <c r="U1388" s="18" t="str">
        <f>HYPERLINK("https://pbs.twimg.com/profile_images/1200509856840667137/3xBHPw1p.jpg","View")</f>
        <v>View</v>
      </c>
      <c r="V1388" s="13"/>
      <c r="W1388" s="13"/>
      <c r="X1388" s="13"/>
      <c r="Y1388" s="13"/>
      <c r="Z1388" s="13"/>
    </row>
    <row r="1389">
      <c r="A1389" s="8">
        <v>43848.42037037037</v>
      </c>
      <c r="B1389" s="9" t="str">
        <f>HYPERLINK("https://twitter.com/DrPChouinard","@DrPChouinard")</f>
        <v>@DrPChouinard</v>
      </c>
      <c r="C1389" s="10" t="s">
        <v>6122</v>
      </c>
      <c r="D1389" s="10" t="s">
        <v>6123</v>
      </c>
      <c r="E1389" s="9" t="str">
        <f>HYPERLINK("https://twitter.com/DrPChouinard/status/1218549940479320064","1218549940479320064")</f>
        <v>1218549940479320064</v>
      </c>
      <c r="F1389" s="11" t="s">
        <v>334</v>
      </c>
      <c r="G1389" s="13"/>
      <c r="H1389" s="13"/>
      <c r="I1389" s="14">
        <v>2.0</v>
      </c>
      <c r="J1389" s="14">
        <v>4.0</v>
      </c>
      <c r="K1389" s="9" t="str">
        <f t="shared" ref="K1389:K1390" si="162">HYPERLINK("http://twitter.com/download/iphone","Twitter for iPhone")</f>
        <v>Twitter for iPhone</v>
      </c>
      <c r="L1389" s="15">
        <v>3695.0</v>
      </c>
      <c r="M1389" s="15">
        <v>977.0</v>
      </c>
      <c r="N1389" s="15">
        <v>77.0</v>
      </c>
      <c r="O1389" s="16"/>
      <c r="P1389" s="17">
        <v>41301.91899305556</v>
      </c>
      <c r="Q1389" s="10" t="s">
        <v>6124</v>
      </c>
      <c r="R1389" s="10" t="s">
        <v>6125</v>
      </c>
      <c r="S1389" s="13"/>
      <c r="T1389" s="13"/>
      <c r="U1389" s="18" t="str">
        <f>HYPERLINK("https://pbs.twimg.com/profile_images/1134926424513679361/5SHMvL2u.jpg","View")</f>
        <v>View</v>
      </c>
      <c r="V1389" s="13"/>
      <c r="W1389" s="13"/>
      <c r="X1389" s="13"/>
      <c r="Y1389" s="13"/>
      <c r="Z1389" s="13"/>
    </row>
    <row r="1390">
      <c r="A1390" s="8">
        <v>43848.420335648145</v>
      </c>
      <c r="B1390" s="9" t="str">
        <f>HYPERLINK("https://twitter.com/VibrantCalgary","@VibrantCalgary")</f>
        <v>@VibrantCalgary</v>
      </c>
      <c r="C1390" s="10" t="s">
        <v>6126</v>
      </c>
      <c r="D1390" s="10" t="s">
        <v>6127</v>
      </c>
      <c r="E1390" s="9" t="str">
        <f>HYPERLINK("https://twitter.com/VibrantCalgary/status/1218549931838803974","1218549931838803974")</f>
        <v>1218549931838803974</v>
      </c>
      <c r="F1390" s="11" t="s">
        <v>334</v>
      </c>
      <c r="G1390" s="13"/>
      <c r="H1390" s="13"/>
      <c r="I1390" s="14">
        <v>3.0</v>
      </c>
      <c r="J1390" s="14">
        <v>1.0</v>
      </c>
      <c r="K1390" s="9" t="str">
        <f t="shared" si="162"/>
        <v>Twitter for iPhone</v>
      </c>
      <c r="L1390" s="15">
        <v>7877.0</v>
      </c>
      <c r="M1390" s="15">
        <v>8087.0</v>
      </c>
      <c r="N1390" s="15">
        <v>218.0</v>
      </c>
      <c r="O1390" s="16"/>
      <c r="P1390" s="17">
        <v>40184.76449074074</v>
      </c>
      <c r="Q1390" s="10" t="s">
        <v>4653</v>
      </c>
      <c r="R1390" s="10" t="s">
        <v>6128</v>
      </c>
      <c r="S1390" s="11" t="s">
        <v>6129</v>
      </c>
      <c r="T1390" s="13"/>
      <c r="U1390" s="18" t="str">
        <f>HYPERLINK("https://pbs.twimg.com/profile_images/973335347043098624/TBNFDULF.jpg","View")</f>
        <v>View</v>
      </c>
      <c r="V1390" s="13"/>
      <c r="W1390" s="13"/>
      <c r="X1390" s="13"/>
      <c r="Y1390" s="13"/>
      <c r="Z1390" s="13"/>
    </row>
    <row r="1391">
      <c r="A1391" s="8">
        <v>43848.42019675926</v>
      </c>
      <c r="B1391" s="9" t="str">
        <f>HYPERLINK("https://twitter.com/ian_hickie","@ian_hickie")</f>
        <v>@ian_hickie</v>
      </c>
      <c r="C1391" s="10" t="s">
        <v>6130</v>
      </c>
      <c r="D1391" s="10" t="s">
        <v>238</v>
      </c>
      <c r="E1391" s="9" t="str">
        <f>HYPERLINK("https://twitter.com/ian_hickie/status/1218549880194576384","1218549880194576384")</f>
        <v>1218549880194576384</v>
      </c>
      <c r="F1391" s="13"/>
      <c r="G1391" s="13"/>
      <c r="H1391" s="13"/>
      <c r="I1391" s="14">
        <v>0.0</v>
      </c>
      <c r="J1391" s="14">
        <v>1.0</v>
      </c>
      <c r="K1391" s="9" t="str">
        <f>HYPERLINK("http://twitter.com/#!/download/ipad","Twitter for iPad")</f>
        <v>Twitter for iPad</v>
      </c>
      <c r="L1391" s="15">
        <v>7862.0</v>
      </c>
      <c r="M1391" s="15">
        <v>1343.0</v>
      </c>
      <c r="N1391" s="15">
        <v>145.0</v>
      </c>
      <c r="O1391" s="16"/>
      <c r="P1391" s="17">
        <v>40770.32847222222</v>
      </c>
      <c r="Q1391" s="10" t="s">
        <v>6131</v>
      </c>
      <c r="R1391" s="10" t="s">
        <v>6132</v>
      </c>
      <c r="S1391" s="11" t="s">
        <v>6133</v>
      </c>
      <c r="T1391" s="13"/>
      <c r="U1391" s="18" t="str">
        <f>HYPERLINK("https://pbs.twimg.com/profile_images/378800000184096730/1a8b9348ebb98ea9b01b452c1e75df1a.jpeg","View")</f>
        <v>View</v>
      </c>
      <c r="V1391" s="13"/>
      <c r="W1391" s="13"/>
      <c r="X1391" s="13"/>
      <c r="Y1391" s="13"/>
      <c r="Z1391" s="13"/>
    </row>
    <row r="1392">
      <c r="A1392" s="8">
        <v>43848.42016203704</v>
      </c>
      <c r="B1392" s="9" t="str">
        <f>HYPERLINK("https://twitter.com/TMSHelps","@TMSHelps")</f>
        <v>@TMSHelps</v>
      </c>
      <c r="C1392" s="10" t="s">
        <v>6134</v>
      </c>
      <c r="D1392" s="10" t="s">
        <v>6135</v>
      </c>
      <c r="E1392" s="9" t="str">
        <f>HYPERLINK("https://twitter.com/TMSHelps/status/1218549868920299522","1218549868920299522")</f>
        <v>1218549868920299522</v>
      </c>
      <c r="F1392" s="11" t="s">
        <v>6136</v>
      </c>
      <c r="G1392" s="11" t="s">
        <v>6137</v>
      </c>
      <c r="H1392" s="13"/>
      <c r="I1392" s="14">
        <v>0.0</v>
      </c>
      <c r="J1392" s="14">
        <v>0.0</v>
      </c>
      <c r="K1392" s="9" t="str">
        <f>HYPERLINK("https://buffer.com","Buffer")</f>
        <v>Buffer</v>
      </c>
      <c r="L1392" s="15">
        <v>286.0</v>
      </c>
      <c r="M1392" s="15">
        <v>764.0</v>
      </c>
      <c r="N1392" s="15">
        <v>6.0</v>
      </c>
      <c r="O1392" s="16"/>
      <c r="P1392" s="17">
        <v>42786.47503472222</v>
      </c>
      <c r="Q1392" s="10" t="s">
        <v>6138</v>
      </c>
      <c r="R1392" s="10" t="s">
        <v>6139</v>
      </c>
      <c r="S1392" s="11" t="s">
        <v>6140</v>
      </c>
      <c r="T1392" s="13"/>
      <c r="U1392" s="18" t="str">
        <f>HYPERLINK("https://pbs.twimg.com/profile_images/1147190342426533894/UsWusePf.png","View")</f>
        <v>View</v>
      </c>
      <c r="V1392" s="13"/>
      <c r="W1392" s="13"/>
      <c r="X1392" s="13"/>
      <c r="Y1392" s="13"/>
      <c r="Z1392" s="13"/>
    </row>
    <row r="1393">
      <c r="A1393" s="8">
        <v>43848.41989583333</v>
      </c>
      <c r="B1393" s="9" t="str">
        <f>HYPERLINK("https://twitter.com/miller7","@miller7")</f>
        <v>@miller7</v>
      </c>
      <c r="C1393" s="10" t="s">
        <v>6141</v>
      </c>
      <c r="D1393" s="10" t="s">
        <v>6142</v>
      </c>
      <c r="E1393" s="9" t="str">
        <f>HYPERLINK("https://twitter.com/miller7/status/1218549769125158914","1218549769125158914")</f>
        <v>1218549769125158914</v>
      </c>
      <c r="F1393" s="11" t="s">
        <v>6143</v>
      </c>
      <c r="G1393" s="13"/>
      <c r="H1393" s="13"/>
      <c r="I1393" s="14">
        <v>7.0</v>
      </c>
      <c r="J1393" s="14">
        <v>9.0</v>
      </c>
      <c r="K1393" s="9" t="str">
        <f t="shared" ref="K1393:K1394" si="163">HYPERLINK("http://twitter.com/download/android","Twitter for Android")</f>
        <v>Twitter for Android</v>
      </c>
      <c r="L1393" s="15">
        <v>6477.0</v>
      </c>
      <c r="M1393" s="15">
        <v>2846.0</v>
      </c>
      <c r="N1393" s="15">
        <v>496.0</v>
      </c>
      <c r="O1393" s="16"/>
      <c r="P1393" s="17">
        <v>39855.970300925925</v>
      </c>
      <c r="Q1393" s="10" t="s">
        <v>6144</v>
      </c>
      <c r="R1393" s="10" t="s">
        <v>6145</v>
      </c>
      <c r="S1393" s="11" t="s">
        <v>6146</v>
      </c>
      <c r="T1393" s="13"/>
      <c r="U1393" s="18" t="str">
        <f>HYPERLINK("https://pbs.twimg.com/profile_images/1034640057389346816/1m05OqkI.jpg","View")</f>
        <v>View</v>
      </c>
      <c r="V1393" s="13"/>
      <c r="W1393" s="13"/>
      <c r="X1393" s="13"/>
      <c r="Y1393" s="13"/>
      <c r="Z1393" s="13"/>
    </row>
    <row r="1394">
      <c r="A1394" s="8">
        <v>43848.41929398148</v>
      </c>
      <c r="B1394" s="9" t="str">
        <f>HYPERLINK("https://twitter.com/JarrodWronski","@JarrodWronski")</f>
        <v>@JarrodWronski</v>
      </c>
      <c r="C1394" s="10" t="s">
        <v>5975</v>
      </c>
      <c r="D1394" s="10" t="s">
        <v>6147</v>
      </c>
      <c r="E1394" s="9" t="str">
        <f>HYPERLINK("https://twitter.com/JarrodWronski/status/1218549552237764608","1218549552237764608")</f>
        <v>1218549552237764608</v>
      </c>
      <c r="F1394" s="11" t="s">
        <v>6148</v>
      </c>
      <c r="G1394" s="13"/>
      <c r="H1394" s="13"/>
      <c r="I1394" s="14">
        <v>0.0</v>
      </c>
      <c r="J1394" s="14">
        <v>1.0</v>
      </c>
      <c r="K1394" s="9" t="str">
        <f t="shared" si="163"/>
        <v>Twitter for Android</v>
      </c>
      <c r="L1394" s="15">
        <v>100.0</v>
      </c>
      <c r="M1394" s="15">
        <v>204.0</v>
      </c>
      <c r="N1394" s="15">
        <v>0.0</v>
      </c>
      <c r="O1394" s="16"/>
      <c r="P1394" s="17">
        <v>41796.34453703704</v>
      </c>
      <c r="Q1394" s="10" t="s">
        <v>5977</v>
      </c>
      <c r="R1394" s="10" t="s">
        <v>5978</v>
      </c>
      <c r="S1394" s="11" t="s">
        <v>5979</v>
      </c>
      <c r="T1394" s="13"/>
      <c r="U1394" s="18" t="str">
        <f>HYPERLINK("https://pbs.twimg.com/profile_images/1187544776406683651/K2miwRuh.jpg","View")</f>
        <v>View</v>
      </c>
      <c r="V1394" s="13"/>
      <c r="W1394" s="13"/>
      <c r="X1394" s="13"/>
      <c r="Y1394" s="13"/>
      <c r="Z1394" s="13"/>
    </row>
    <row r="1395">
      <c r="A1395" s="8">
        <v>43848.41865740741</v>
      </c>
      <c r="B1395" s="9" t="str">
        <f>HYPERLINK("https://twitter.com/No_More_Martyrs","@No_More_Martyrs")</f>
        <v>@No_More_Martyrs</v>
      </c>
      <c r="C1395" s="10" t="s">
        <v>6149</v>
      </c>
      <c r="D1395" s="10" t="s">
        <v>6150</v>
      </c>
      <c r="E1395" s="9" t="str">
        <f>HYPERLINK("https://twitter.com/No_More_Martyrs/status/1218549322989678592","1218549322989678592")</f>
        <v>1218549322989678592</v>
      </c>
      <c r="F1395" s="13"/>
      <c r="G1395" s="11" t="s">
        <v>6151</v>
      </c>
      <c r="H1395" s="13"/>
      <c r="I1395" s="14">
        <v>0.0</v>
      </c>
      <c r="J1395" s="14">
        <v>0.0</v>
      </c>
      <c r="K1395" s="9" t="str">
        <f>HYPERLINK("http://twitter.com/download/iphone","Twitter for iPhone")</f>
        <v>Twitter for iPhone</v>
      </c>
      <c r="L1395" s="15">
        <v>1405.0</v>
      </c>
      <c r="M1395" s="15">
        <v>1303.0</v>
      </c>
      <c r="N1395" s="15">
        <v>54.0</v>
      </c>
      <c r="O1395" s="16"/>
      <c r="P1395" s="17">
        <v>41790.974745370375</v>
      </c>
      <c r="Q1395" s="13"/>
      <c r="R1395" s="10" t="s">
        <v>6152</v>
      </c>
      <c r="S1395" s="11" t="s">
        <v>6153</v>
      </c>
      <c r="T1395" s="13"/>
      <c r="U1395" s="18" t="str">
        <f>HYPERLINK("https://pbs.twimg.com/profile_images/472949045569142784/qq9vQouz.jpeg","View")</f>
        <v>View</v>
      </c>
      <c r="V1395" s="13"/>
      <c r="W1395" s="13"/>
      <c r="X1395" s="13"/>
      <c r="Y1395" s="13"/>
      <c r="Z1395" s="13"/>
    </row>
    <row r="1396">
      <c r="A1396" s="8">
        <v>43848.41841435185</v>
      </c>
      <c r="B1396" s="9" t="str">
        <f>HYPERLINK("https://twitter.com/AskDrCharmain","@AskDrCharmain")</f>
        <v>@AskDrCharmain</v>
      </c>
      <c r="C1396" s="10" t="s">
        <v>6154</v>
      </c>
      <c r="D1396" s="10" t="s">
        <v>6155</v>
      </c>
      <c r="E1396" s="9" t="str">
        <f>HYPERLINK("https://twitter.com/AskDrCharmain/status/1218549232447246337","1218549232447246337")</f>
        <v>1218549232447246337</v>
      </c>
      <c r="F1396" s="11" t="s">
        <v>6156</v>
      </c>
      <c r="G1396" s="11" t="s">
        <v>6157</v>
      </c>
      <c r="H1396" s="13"/>
      <c r="I1396" s="14">
        <v>0.0</v>
      </c>
      <c r="J1396" s="14">
        <v>0.0</v>
      </c>
      <c r="K1396" s="9" t="str">
        <f t="shared" ref="K1396:K1397" si="164">HYPERLINK("http://twitter.com/download/android","Twitter for Android")</f>
        <v>Twitter for Android</v>
      </c>
      <c r="L1396" s="15">
        <v>366.0</v>
      </c>
      <c r="M1396" s="15">
        <v>508.0</v>
      </c>
      <c r="N1396" s="15">
        <v>15.0</v>
      </c>
      <c r="O1396" s="16"/>
      <c r="P1396" s="17">
        <v>42077.28785879629</v>
      </c>
      <c r="Q1396" s="10" t="s">
        <v>251</v>
      </c>
      <c r="R1396" s="10" t="s">
        <v>6158</v>
      </c>
      <c r="S1396" s="11" t="s">
        <v>6159</v>
      </c>
      <c r="T1396" s="13"/>
      <c r="U1396" s="18" t="str">
        <f>HYPERLINK("https://pbs.twimg.com/profile_images/1187253872269639684/wE1uq_Zk.jpg","View")</f>
        <v>View</v>
      </c>
      <c r="V1396" s="13"/>
      <c r="W1396" s="13"/>
      <c r="X1396" s="13"/>
      <c r="Y1396" s="13"/>
      <c r="Z1396" s="13"/>
    </row>
    <row r="1397">
      <c r="A1397" s="8">
        <v>43848.41840277778</v>
      </c>
      <c r="B1397" s="9" t="str">
        <f>HYPERLINK("https://twitter.com/CompassionCuppa","@CompassionCuppa")</f>
        <v>@CompassionCuppa</v>
      </c>
      <c r="C1397" s="10" t="s">
        <v>6160</v>
      </c>
      <c r="D1397" s="10" t="s">
        <v>6161</v>
      </c>
      <c r="E1397" s="9" t="str">
        <f>HYPERLINK("https://twitter.com/CompassionCuppa/status/1218549228391354371","1218549228391354371")</f>
        <v>1218549228391354371</v>
      </c>
      <c r="F1397" s="13"/>
      <c r="G1397" s="11" t="s">
        <v>6162</v>
      </c>
      <c r="H1397" s="13"/>
      <c r="I1397" s="14">
        <v>1.0</v>
      </c>
      <c r="J1397" s="14">
        <v>5.0</v>
      </c>
      <c r="K1397" s="9" t="str">
        <f t="shared" si="164"/>
        <v>Twitter for Android</v>
      </c>
      <c r="L1397" s="15">
        <v>159.0</v>
      </c>
      <c r="M1397" s="15">
        <v>147.0</v>
      </c>
      <c r="N1397" s="15">
        <v>1.0</v>
      </c>
      <c r="O1397" s="16"/>
      <c r="P1397" s="17">
        <v>43675.72059027778</v>
      </c>
      <c r="Q1397" s="10" t="s">
        <v>6163</v>
      </c>
      <c r="R1397" s="10" t="s">
        <v>6164</v>
      </c>
      <c r="S1397" s="11" t="s">
        <v>6165</v>
      </c>
      <c r="T1397" s="13"/>
      <c r="U1397" s="18" t="str">
        <f>HYPERLINK("https://pbs.twimg.com/profile_images/1175421839977451520/GmtrTyeN.jpg","View")</f>
        <v>View</v>
      </c>
      <c r="V1397" s="13"/>
      <c r="W1397" s="13"/>
      <c r="X1397" s="13"/>
      <c r="Y1397" s="13"/>
      <c r="Z1397" s="13"/>
    </row>
    <row r="1398">
      <c r="A1398" s="8">
        <v>43848.41840277778</v>
      </c>
      <c r="B1398" s="9" t="str">
        <f>HYPERLINK("https://twitter.com/JVan3610","@JVan3610")</f>
        <v>@JVan3610</v>
      </c>
      <c r="C1398" s="10" t="s">
        <v>6166</v>
      </c>
      <c r="D1398" s="10" t="s">
        <v>6167</v>
      </c>
      <c r="E1398" s="9" t="str">
        <f>HYPERLINK("https://twitter.com/JVan3610/status/1218549227464294400","1218549227464294400")</f>
        <v>1218549227464294400</v>
      </c>
      <c r="F1398" s="11" t="s">
        <v>6168</v>
      </c>
      <c r="G1398" s="13"/>
      <c r="H1398" s="13"/>
      <c r="I1398" s="14">
        <v>0.0</v>
      </c>
      <c r="J1398" s="14">
        <v>3.0</v>
      </c>
      <c r="K1398" s="9" t="str">
        <f>HYPERLINK("http://twitter.com/download/iphone","Twitter for iPhone")</f>
        <v>Twitter for iPhone</v>
      </c>
      <c r="L1398" s="15">
        <v>2018.0</v>
      </c>
      <c r="M1398" s="15">
        <v>1448.0</v>
      </c>
      <c r="N1398" s="15">
        <v>16.0</v>
      </c>
      <c r="O1398" s="16"/>
      <c r="P1398" s="17">
        <v>43400.626655092594</v>
      </c>
      <c r="Q1398" s="13"/>
      <c r="R1398" s="10" t="s">
        <v>6169</v>
      </c>
      <c r="S1398" s="11" t="s">
        <v>6170</v>
      </c>
      <c r="T1398" s="13"/>
      <c r="U1398" s="18" t="str">
        <f>HYPERLINK("https://pbs.twimg.com/profile_images/1121738707084693508/NHTQkmlI.jpg","View")</f>
        <v>View</v>
      </c>
      <c r="V1398" s="13"/>
      <c r="W1398" s="13"/>
      <c r="X1398" s="13"/>
      <c r="Y1398" s="13"/>
      <c r="Z1398" s="13"/>
    </row>
    <row r="1399">
      <c r="A1399" s="8">
        <v>43848.41809027777</v>
      </c>
      <c r="B1399" s="9" t="str">
        <f>HYPERLINK("https://twitter.com/RichardDowling9","@RichardDowling9")</f>
        <v>@RichardDowling9</v>
      </c>
      <c r="C1399" s="10" t="s">
        <v>6171</v>
      </c>
      <c r="D1399" s="10" t="s">
        <v>6172</v>
      </c>
      <c r="E1399" s="9" t="str">
        <f>HYPERLINK("https://twitter.com/RichardDowling9/status/1218549114473938945","1218549114473938945")</f>
        <v>1218549114473938945</v>
      </c>
      <c r="F1399" s="13"/>
      <c r="G1399" s="11" t="s">
        <v>6173</v>
      </c>
      <c r="H1399" s="13"/>
      <c r="I1399" s="14">
        <v>0.0</v>
      </c>
      <c r="J1399" s="14">
        <v>2.0</v>
      </c>
      <c r="K1399" s="9" t="str">
        <f>HYPERLINK("https://mobile.twitter.com","Twitter Web App")</f>
        <v>Twitter Web App</v>
      </c>
      <c r="L1399" s="15">
        <v>338.0</v>
      </c>
      <c r="M1399" s="15">
        <v>430.0</v>
      </c>
      <c r="N1399" s="15">
        <v>14.0</v>
      </c>
      <c r="O1399" s="16"/>
      <c r="P1399" s="17">
        <v>40090.44930555556</v>
      </c>
      <c r="Q1399" s="10" t="s">
        <v>6174</v>
      </c>
      <c r="R1399" s="10" t="s">
        <v>6175</v>
      </c>
      <c r="S1399" s="11" t="s">
        <v>6176</v>
      </c>
      <c r="T1399" s="13"/>
      <c r="U1399" s="18" t="str">
        <f>HYPERLINK("https://pbs.twimg.com/profile_images/1217185146136408065/3cTQi5yg.jpg","View")</f>
        <v>View</v>
      </c>
      <c r="V1399" s="13"/>
      <c r="W1399" s="13"/>
      <c r="X1399" s="13"/>
      <c r="Y1399" s="13"/>
      <c r="Z1399" s="13"/>
    </row>
    <row r="1400">
      <c r="A1400" s="8">
        <v>43848.41805555555</v>
      </c>
      <c r="B1400" s="9" t="str">
        <f>HYPERLINK("https://twitter.com/talkspace","@talkspace")</f>
        <v>@talkspace</v>
      </c>
      <c r="C1400" s="10" t="s">
        <v>1166</v>
      </c>
      <c r="D1400" s="10" t="s">
        <v>6177</v>
      </c>
      <c r="E1400" s="9" t="str">
        <f>HYPERLINK("https://twitter.com/talkspace/status/1218549102700453888","1218549102700453888")</f>
        <v>1218549102700453888</v>
      </c>
      <c r="F1400" s="11" t="s">
        <v>6178</v>
      </c>
      <c r="G1400" s="13"/>
      <c r="H1400" s="13"/>
      <c r="I1400" s="14">
        <v>1.0</v>
      </c>
      <c r="J1400" s="14">
        <v>4.0</v>
      </c>
      <c r="K1400" s="9" t="str">
        <f>HYPERLINK("https://about.twitter.com/products/tweetdeck","TweetDeck")</f>
        <v>TweetDeck</v>
      </c>
      <c r="L1400" s="15">
        <v>29550.0</v>
      </c>
      <c r="M1400" s="15">
        <v>5868.0</v>
      </c>
      <c r="N1400" s="15">
        <v>451.0</v>
      </c>
      <c r="O1400" s="21" t="s">
        <v>522</v>
      </c>
      <c r="P1400" s="17">
        <v>41024.919444444444</v>
      </c>
      <c r="Q1400" s="10" t="s">
        <v>1169</v>
      </c>
      <c r="R1400" s="10" t="s">
        <v>1170</v>
      </c>
      <c r="S1400" s="11" t="s">
        <v>1171</v>
      </c>
      <c r="T1400" s="13"/>
      <c r="U1400" s="18" t="str">
        <f>HYPERLINK("https://pbs.twimg.com/profile_images/1145692730649120769/01H2MCMP.png","View")</f>
        <v>View</v>
      </c>
      <c r="V1400" s="13"/>
      <c r="W1400" s="13"/>
      <c r="X1400" s="13"/>
      <c r="Y1400" s="13"/>
      <c r="Z1400" s="13"/>
    </row>
    <row r="1401">
      <c r="A1401" s="8">
        <v>43848.41805555555</v>
      </c>
      <c r="B1401" s="9" t="str">
        <f>HYPERLINK("https://twitter.com/tandemmediausa","@tandemmediausa")</f>
        <v>@tandemmediausa</v>
      </c>
      <c r="C1401" s="10" t="s">
        <v>6179</v>
      </c>
      <c r="D1401" s="10" t="s">
        <v>6180</v>
      </c>
      <c r="E1401" s="9" t="str">
        <f>HYPERLINK("https://twitter.com/tandemmediausa/status/1218549102235045888","1218549102235045888")</f>
        <v>1218549102235045888</v>
      </c>
      <c r="F1401" s="13"/>
      <c r="G1401" s="11" t="s">
        <v>6181</v>
      </c>
      <c r="H1401" s="13"/>
      <c r="I1401" s="14">
        <v>0.0</v>
      </c>
      <c r="J1401" s="14">
        <v>0.0</v>
      </c>
      <c r="K1401" s="9" t="str">
        <f>HYPERLINK("https://www.later.com","LaterMedia")</f>
        <v>LaterMedia</v>
      </c>
      <c r="L1401" s="15">
        <v>3707.0</v>
      </c>
      <c r="M1401" s="15">
        <v>4673.0</v>
      </c>
      <c r="N1401" s="15">
        <v>24.0</v>
      </c>
      <c r="O1401" s="16"/>
      <c r="P1401" s="17">
        <v>42655.762337962966</v>
      </c>
      <c r="Q1401" s="13"/>
      <c r="R1401" s="10" t="s">
        <v>6182</v>
      </c>
      <c r="S1401" s="11" t="s">
        <v>6183</v>
      </c>
      <c r="T1401" s="13"/>
      <c r="U1401" s="18" t="str">
        <f>HYPERLINK("https://pbs.twimg.com/profile_images/1213535082117500930/ofNXpyxs.jpg","View")</f>
        <v>View</v>
      </c>
      <c r="V1401" s="13"/>
      <c r="W1401" s="13"/>
      <c r="X1401" s="13"/>
      <c r="Y1401" s="13"/>
      <c r="Z1401" s="13"/>
    </row>
    <row r="1402">
      <c r="A1402" s="8">
        <v>43848.41782407407</v>
      </c>
      <c r="B1402" s="9" t="str">
        <f>HYPERLINK("https://twitter.com/vamproy","@vamproy")</f>
        <v>@vamproy</v>
      </c>
      <c r="C1402" s="10" t="s">
        <v>6184</v>
      </c>
      <c r="D1402" s="10" t="s">
        <v>6185</v>
      </c>
      <c r="E1402" s="9" t="str">
        <f>HYPERLINK("https://twitter.com/vamproy/status/1218549021272412160","1218549021272412160")</f>
        <v>1218549021272412160</v>
      </c>
      <c r="F1402" s="11" t="s">
        <v>6186</v>
      </c>
      <c r="G1402" s="13"/>
      <c r="H1402" s="13"/>
      <c r="I1402" s="14">
        <v>0.0</v>
      </c>
      <c r="J1402" s="14">
        <v>0.0</v>
      </c>
      <c r="K1402" s="9" t="str">
        <f>HYPERLINK("http://twitter.com","Twitter Web Client")</f>
        <v>Twitter Web Client</v>
      </c>
      <c r="L1402" s="15">
        <v>54.0</v>
      </c>
      <c r="M1402" s="15">
        <v>42.0</v>
      </c>
      <c r="N1402" s="15">
        <v>1.0</v>
      </c>
      <c r="O1402" s="16"/>
      <c r="P1402" s="17">
        <v>40555.71291666667</v>
      </c>
      <c r="Q1402" s="10" t="s">
        <v>6187</v>
      </c>
      <c r="R1402" s="10" t="s">
        <v>6188</v>
      </c>
      <c r="S1402" s="11" t="s">
        <v>6189</v>
      </c>
      <c r="T1402" s="13"/>
      <c r="U1402" s="18" t="str">
        <f>HYPERLINK("https://pbs.twimg.com/profile_images/978605642666729473/XOm-mTrV.jpg","View")</f>
        <v>View</v>
      </c>
      <c r="V1402" s="13"/>
      <c r="W1402" s="13"/>
      <c r="X1402" s="13"/>
      <c r="Y1402" s="13"/>
      <c r="Z1402" s="13"/>
    </row>
    <row r="1403">
      <c r="A1403" s="8">
        <v>43848.41765046296</v>
      </c>
      <c r="B1403" s="9" t="str">
        <f>HYPERLINK("https://twitter.com/SickNotWeak","@SickNotWeak")</f>
        <v>@SickNotWeak</v>
      </c>
      <c r="C1403" s="10" t="s">
        <v>6190</v>
      </c>
      <c r="D1403" s="10" t="s">
        <v>6191</v>
      </c>
      <c r="E1403" s="9" t="str">
        <f>HYPERLINK("https://twitter.com/SickNotWeak/status/1218548958424977409","1218548958424977409")</f>
        <v>1218548958424977409</v>
      </c>
      <c r="F1403" s="13"/>
      <c r="G1403" s="13"/>
      <c r="H1403" s="13"/>
      <c r="I1403" s="14">
        <v>4.0</v>
      </c>
      <c r="J1403" s="14">
        <v>16.0</v>
      </c>
      <c r="K1403" s="9" t="str">
        <f>HYPERLINK("https://www.hootsuite.com","Hootsuite Inc.")</f>
        <v>Hootsuite Inc.</v>
      </c>
      <c r="L1403" s="15">
        <v>24596.0</v>
      </c>
      <c r="M1403" s="15">
        <v>977.0</v>
      </c>
      <c r="N1403" s="15">
        <v>204.0</v>
      </c>
      <c r="O1403" s="21" t="s">
        <v>522</v>
      </c>
      <c r="P1403" s="17">
        <v>42390.377164351856</v>
      </c>
      <c r="Q1403" s="10" t="s">
        <v>177</v>
      </c>
      <c r="R1403" s="10" t="s">
        <v>6192</v>
      </c>
      <c r="S1403" s="11" t="s">
        <v>6193</v>
      </c>
      <c r="T1403" s="13"/>
      <c r="U1403" s="18" t="str">
        <f>HYPERLINK("https://pbs.twimg.com/profile_images/930081532227723264/zaPJdAo4.jpg","View")</f>
        <v>View</v>
      </c>
      <c r="V1403" s="13"/>
      <c r="W1403" s="13"/>
      <c r="X1403" s="13"/>
      <c r="Y1403" s="13"/>
      <c r="Z1403" s="13"/>
    </row>
    <row r="1404">
      <c r="A1404" s="8">
        <v>43848.417592592596</v>
      </c>
      <c r="B1404" s="9" t="str">
        <f>HYPERLINK("https://twitter.com/TheParenting411","@TheParenting411")</f>
        <v>@TheParenting411</v>
      </c>
      <c r="C1404" s="10" t="s">
        <v>6194</v>
      </c>
      <c r="D1404" s="10" t="s">
        <v>6195</v>
      </c>
      <c r="E1404" s="9" t="str">
        <f>HYPERLINK("https://twitter.com/TheParenting411/status/1218548937428283396","1218548937428283396")</f>
        <v>1218548937428283396</v>
      </c>
      <c r="F1404" s="11" t="s">
        <v>6196</v>
      </c>
      <c r="G1404" s="13"/>
      <c r="H1404" s="13"/>
      <c r="I1404" s="14">
        <v>0.0</v>
      </c>
      <c r="J1404" s="14">
        <v>0.0</v>
      </c>
      <c r="K1404" s="9" t="str">
        <f>HYPERLINK("http://twitter.com/download/iphone","Twitter for iPhone")</f>
        <v>Twitter for iPhone</v>
      </c>
      <c r="L1404" s="15">
        <v>197.0</v>
      </c>
      <c r="M1404" s="15">
        <v>638.0</v>
      </c>
      <c r="N1404" s="15">
        <v>2.0</v>
      </c>
      <c r="O1404" s="16"/>
      <c r="P1404" s="17">
        <v>42810.49135416667</v>
      </c>
      <c r="Q1404" s="10" t="s">
        <v>905</v>
      </c>
      <c r="R1404" s="10" t="s">
        <v>6197</v>
      </c>
      <c r="S1404" s="11" t="s">
        <v>6198</v>
      </c>
      <c r="T1404" s="13"/>
      <c r="U1404" s="18" t="str">
        <f>HYPERLINK("https://pbs.twimg.com/profile_images/1168721721853194240/EubQnKww.jpg","View")</f>
        <v>View</v>
      </c>
      <c r="V1404" s="13"/>
      <c r="W1404" s="13"/>
      <c r="X1404" s="13"/>
      <c r="Y1404" s="13"/>
      <c r="Z1404" s="13"/>
    </row>
    <row r="1405">
      <c r="A1405" s="8">
        <v>43848.41756944444</v>
      </c>
      <c r="B1405" s="9" t="str">
        <f>HYPERLINK("https://twitter.com/MMKMind","@MMKMind")</f>
        <v>@MMKMind</v>
      </c>
      <c r="C1405" s="10" t="s">
        <v>6199</v>
      </c>
      <c r="D1405" s="10" t="s">
        <v>6200</v>
      </c>
      <c r="E1405" s="9" t="str">
        <f>HYPERLINK("https://twitter.com/MMKMind/status/1218548925528977409","1218548925528977409")</f>
        <v>1218548925528977409</v>
      </c>
      <c r="F1405" s="11" t="s">
        <v>6201</v>
      </c>
      <c r="G1405" s="13"/>
      <c r="H1405" s="13"/>
      <c r="I1405" s="14">
        <v>2.0</v>
      </c>
      <c r="J1405" s="14">
        <v>2.0</v>
      </c>
      <c r="K1405" s="9" t="str">
        <f>HYPERLINK("https://www.hootsuite.com","Hootsuite Inc.")</f>
        <v>Hootsuite Inc.</v>
      </c>
      <c r="L1405" s="15">
        <v>1803.0</v>
      </c>
      <c r="M1405" s="15">
        <v>1992.0</v>
      </c>
      <c r="N1405" s="15">
        <v>17.0</v>
      </c>
      <c r="O1405" s="16"/>
      <c r="P1405" s="17">
        <v>41890.33598379629</v>
      </c>
      <c r="Q1405" s="10" t="s">
        <v>6202</v>
      </c>
      <c r="R1405" s="10" t="s">
        <v>6203</v>
      </c>
      <c r="S1405" s="13"/>
      <c r="T1405" s="13"/>
      <c r="U1405" s="18" t="str">
        <f>HYPERLINK("https://pbs.twimg.com/profile_images/989802608197099520/uJFzp7e0.jpg","View")</f>
        <v>View</v>
      </c>
      <c r="V1405" s="13"/>
      <c r="W1405" s="13"/>
      <c r="X1405" s="13"/>
      <c r="Y1405" s="13"/>
      <c r="Z1405" s="13"/>
    </row>
    <row r="1406">
      <c r="A1406" s="8">
        <v>43848.41751157407</v>
      </c>
      <c r="B1406" s="9" t="str">
        <f>HYPERLINK("https://twitter.com/SNAP4ADHD","@SNAP4ADHD")</f>
        <v>@SNAP4ADHD</v>
      </c>
      <c r="C1406" s="10" t="s">
        <v>168</v>
      </c>
      <c r="D1406" s="10" t="s">
        <v>6204</v>
      </c>
      <c r="E1406" s="9" t="str">
        <f>HYPERLINK("https://twitter.com/SNAP4ADHD/status/1218548907728416769","1218548907728416769")</f>
        <v>1218548907728416769</v>
      </c>
      <c r="F1406" s="13"/>
      <c r="G1406" s="11" t="s">
        <v>6205</v>
      </c>
      <c r="H1406" s="13"/>
      <c r="I1406" s="14">
        <v>0.0</v>
      </c>
      <c r="J1406" s="14">
        <v>0.0</v>
      </c>
      <c r="K1406" s="9" t="str">
        <f>HYPERLINK("https://www.socialjukebox.com","The Social Jukebox")</f>
        <v>The Social Jukebox</v>
      </c>
      <c r="L1406" s="15">
        <v>67.0</v>
      </c>
      <c r="M1406" s="15">
        <v>245.0</v>
      </c>
      <c r="N1406" s="15">
        <v>2.0</v>
      </c>
      <c r="O1406" s="16"/>
      <c r="P1406" s="17">
        <v>42926.87278935185</v>
      </c>
      <c r="Q1406" s="10" t="s">
        <v>171</v>
      </c>
      <c r="R1406" s="10" t="s">
        <v>172</v>
      </c>
      <c r="S1406" s="11" t="s">
        <v>173</v>
      </c>
      <c r="T1406" s="13"/>
      <c r="U1406" s="18" t="str">
        <f>HYPERLINK("https://pbs.twimg.com/profile_images/1177022434311983105/_D2VVVDL.jpg","View")</f>
        <v>View</v>
      </c>
      <c r="V1406" s="13"/>
      <c r="W1406" s="13"/>
      <c r="X1406" s="13"/>
      <c r="Y1406" s="13"/>
      <c r="Z1406" s="13"/>
    </row>
    <row r="1407">
      <c r="A1407" s="8">
        <v>43848.417499999996</v>
      </c>
      <c r="B1407" s="9" t="str">
        <f>HYPERLINK("https://twitter.com/OlexKP","@OlexKP")</f>
        <v>@OlexKP</v>
      </c>
      <c r="C1407" s="10" t="s">
        <v>6206</v>
      </c>
      <c r="D1407" s="10" t="s">
        <v>238</v>
      </c>
      <c r="E1407" s="9" t="str">
        <f>HYPERLINK("https://twitter.com/OlexKP/status/1218548903617945608","1218548903617945608")</f>
        <v>1218548903617945608</v>
      </c>
      <c r="F1407" s="13"/>
      <c r="G1407" s="13"/>
      <c r="H1407" s="13"/>
      <c r="I1407" s="14">
        <v>0.0</v>
      </c>
      <c r="J1407" s="14">
        <v>0.0</v>
      </c>
      <c r="K1407" s="9" t="str">
        <f>HYPERLINK("http://twitter.com/download/iphone","Twitter for iPhone")</f>
        <v>Twitter for iPhone</v>
      </c>
      <c r="L1407" s="15">
        <v>1738.0</v>
      </c>
      <c r="M1407" s="15">
        <v>2352.0</v>
      </c>
      <c r="N1407" s="15">
        <v>14.0</v>
      </c>
      <c r="O1407" s="16"/>
      <c r="P1407" s="17">
        <v>43335.27722222223</v>
      </c>
      <c r="Q1407" s="10" t="s">
        <v>161</v>
      </c>
      <c r="R1407" s="10" t="s">
        <v>6207</v>
      </c>
      <c r="S1407" s="13"/>
      <c r="T1407" s="13"/>
      <c r="U1407" s="18" t="str">
        <f>HYPERLINK("https://pbs.twimg.com/profile_images/1215829072997167104/OHP7Afzz.jpg","View")</f>
        <v>View</v>
      </c>
      <c r="V1407" s="13"/>
      <c r="W1407" s="13"/>
      <c r="X1407" s="13"/>
      <c r="Y1407" s="13"/>
      <c r="Z1407" s="13"/>
    </row>
    <row r="1408">
      <c r="A1408" s="8">
        <v>43848.4174537037</v>
      </c>
      <c r="B1408" s="9" t="str">
        <f>HYPERLINK("https://twitter.com/OntShoresFdn","@OntShoresFdn")</f>
        <v>@OntShoresFdn</v>
      </c>
      <c r="C1408" s="10" t="s">
        <v>6208</v>
      </c>
      <c r="D1408" s="10" t="s">
        <v>6209</v>
      </c>
      <c r="E1408" s="9" t="str">
        <f>HYPERLINK("https://twitter.com/OntShoresFdn/status/1218548884558970881","1218548884558970881")</f>
        <v>1218548884558970881</v>
      </c>
      <c r="F1408" s="13"/>
      <c r="G1408" s="11" t="s">
        <v>6210</v>
      </c>
      <c r="H1408" s="13"/>
      <c r="I1408" s="14">
        <v>1.0</v>
      </c>
      <c r="J1408" s="14">
        <v>3.0</v>
      </c>
      <c r="K1408" s="9" t="str">
        <f t="shared" ref="K1408:K1409" si="165">HYPERLINK("https://www.hootsuite.com","Hootsuite Inc.")</f>
        <v>Hootsuite Inc.</v>
      </c>
      <c r="L1408" s="15">
        <v>1049.0</v>
      </c>
      <c r="M1408" s="15">
        <v>565.0</v>
      </c>
      <c r="N1408" s="15">
        <v>21.0</v>
      </c>
      <c r="O1408" s="16"/>
      <c r="P1408" s="17">
        <v>40968.35655092593</v>
      </c>
      <c r="Q1408" s="10" t="s">
        <v>6211</v>
      </c>
      <c r="R1408" s="10" t="s">
        <v>6212</v>
      </c>
      <c r="S1408" s="11" t="s">
        <v>6213</v>
      </c>
      <c r="T1408" s="13"/>
      <c r="U1408" s="18" t="str">
        <f>HYPERLINK("https://pbs.twimg.com/profile_images/1002206434858168326/hMTqNqLJ.jpg","View")</f>
        <v>View</v>
      </c>
      <c r="V1408" s="13"/>
      <c r="W1408" s="13"/>
      <c r="X1408" s="13"/>
      <c r="Y1408" s="13"/>
      <c r="Z1408" s="13"/>
    </row>
    <row r="1409">
      <c r="A1409" s="8">
        <v>43848.417337962965</v>
      </c>
      <c r="B1409" s="9" t="str">
        <f>HYPERLINK("https://twitter.com/KTL_LTD","@KTL_LTD")</f>
        <v>@KTL_LTD</v>
      </c>
      <c r="C1409" s="10" t="s">
        <v>3623</v>
      </c>
      <c r="D1409" s="10" t="s">
        <v>6214</v>
      </c>
      <c r="E1409" s="9" t="str">
        <f>HYPERLINK("https://twitter.com/KTL_LTD/status/1218548841470971913","1218548841470971913")</f>
        <v>1218548841470971913</v>
      </c>
      <c r="F1409" s="11" t="s">
        <v>3625</v>
      </c>
      <c r="G1409" s="11" t="s">
        <v>6215</v>
      </c>
      <c r="H1409" s="13"/>
      <c r="I1409" s="14">
        <v>0.0</v>
      </c>
      <c r="J1409" s="14">
        <v>0.0</v>
      </c>
      <c r="K1409" s="9" t="str">
        <f t="shared" si="165"/>
        <v>Hootsuite Inc.</v>
      </c>
      <c r="L1409" s="15">
        <v>592.0</v>
      </c>
      <c r="M1409" s="15">
        <v>677.0</v>
      </c>
      <c r="N1409" s="15">
        <v>23.0</v>
      </c>
      <c r="O1409" s="16"/>
      <c r="P1409" s="17">
        <v>40758.15944444444</v>
      </c>
      <c r="Q1409" s="10" t="s">
        <v>3627</v>
      </c>
      <c r="R1409" s="10" t="s">
        <v>3628</v>
      </c>
      <c r="S1409" s="11" t="s">
        <v>3629</v>
      </c>
      <c r="T1409" s="13"/>
      <c r="U1409" s="18" t="str">
        <f>HYPERLINK("https://pbs.twimg.com/profile_images/1140974524709691392/R0mkJK3f.png","View")</f>
        <v>View</v>
      </c>
      <c r="V1409" s="13"/>
      <c r="W1409" s="13"/>
      <c r="X1409" s="13"/>
      <c r="Y1409" s="13"/>
      <c r="Z1409" s="13"/>
    </row>
    <row r="1410">
      <c r="A1410" s="8">
        <v>43848.417245370365</v>
      </c>
      <c r="B1410" s="9" t="str">
        <f>HYPERLINK("https://twitter.com/GoldenTreeCIC","@GoldenTreeCIC")</f>
        <v>@GoldenTreeCIC</v>
      </c>
      <c r="C1410" s="10" t="s">
        <v>6216</v>
      </c>
      <c r="D1410" s="10" t="s">
        <v>6217</v>
      </c>
      <c r="E1410" s="9" t="str">
        <f>HYPERLINK("https://twitter.com/GoldenTreeCIC/status/1218548811146186753","1218548811146186753")</f>
        <v>1218548811146186753</v>
      </c>
      <c r="F1410" s="13"/>
      <c r="G1410" s="11" t="s">
        <v>6218</v>
      </c>
      <c r="H1410" s="13"/>
      <c r="I1410" s="14">
        <v>0.0</v>
      </c>
      <c r="J1410" s="14">
        <v>0.0</v>
      </c>
      <c r="K1410" s="9" t="str">
        <f>HYPERLINK("https://buffer.com","Buffer")</f>
        <v>Buffer</v>
      </c>
      <c r="L1410" s="15">
        <v>873.0</v>
      </c>
      <c r="M1410" s="15">
        <v>551.0</v>
      </c>
      <c r="N1410" s="15">
        <v>78.0</v>
      </c>
      <c r="O1410" s="16"/>
      <c r="P1410" s="17">
        <v>40936.51513888889</v>
      </c>
      <c r="Q1410" s="10" t="s">
        <v>6219</v>
      </c>
      <c r="R1410" s="10" t="s">
        <v>6220</v>
      </c>
      <c r="S1410" s="11" t="s">
        <v>6221</v>
      </c>
      <c r="T1410" s="13"/>
      <c r="U1410" s="18" t="str">
        <f>HYPERLINK("https://pbs.twimg.com/profile_images/506744706189901824/p-6ivXNG.jpeg","View")</f>
        <v>View</v>
      </c>
      <c r="V1410" s="13"/>
      <c r="W1410" s="13"/>
      <c r="X1410" s="13"/>
      <c r="Y1410" s="13"/>
      <c r="Z1410" s="13"/>
    </row>
    <row r="1411">
      <c r="A1411" s="8">
        <v>43848.4170949074</v>
      </c>
      <c r="B1411" s="9" t="str">
        <f>HYPERLINK("https://twitter.com/oxfordcounselor","@oxfordcounselor")</f>
        <v>@oxfordcounselor</v>
      </c>
      <c r="C1411" s="10" t="s">
        <v>6222</v>
      </c>
      <c r="D1411" s="10" t="s">
        <v>6223</v>
      </c>
      <c r="E1411" s="9" t="str">
        <f>HYPERLINK("https://twitter.com/oxfordcounselor/status/1218548755005419522","1218548755005419522")</f>
        <v>1218548755005419522</v>
      </c>
      <c r="F1411" s="11" t="s">
        <v>6224</v>
      </c>
      <c r="G1411" s="13"/>
      <c r="H1411" s="13"/>
      <c r="I1411" s="14">
        <v>0.0</v>
      </c>
      <c r="J1411" s="14">
        <v>0.0</v>
      </c>
      <c r="K1411" s="9" t="str">
        <f>HYPERLINK("http://counsellor.directory","counsellor.directory")</f>
        <v>counsellor.directory</v>
      </c>
      <c r="L1411" s="15">
        <v>816.0</v>
      </c>
      <c r="M1411" s="15">
        <v>36.0</v>
      </c>
      <c r="N1411" s="15">
        <v>25.0</v>
      </c>
      <c r="O1411" s="16"/>
      <c r="P1411" s="17">
        <v>41520.635</v>
      </c>
      <c r="Q1411" s="10" t="s">
        <v>6061</v>
      </c>
      <c r="R1411" s="10" t="s">
        <v>6225</v>
      </c>
      <c r="S1411" s="11" t="s">
        <v>6226</v>
      </c>
      <c r="T1411" s="13"/>
      <c r="U1411" s="18" t="str">
        <f>HYPERLINK("https://pbs.twimg.com/profile_images/1144687984110919680/_rNkOpOE.png","View")</f>
        <v>View</v>
      </c>
      <c r="V1411" s="13"/>
      <c r="W1411" s="13"/>
      <c r="X1411" s="13"/>
      <c r="Y1411" s="13"/>
      <c r="Z1411" s="13"/>
    </row>
    <row r="1412">
      <c r="A1412" s="8">
        <v>43848.41701388889</v>
      </c>
      <c r="B1412" s="9" t="str">
        <f>HYPERLINK("https://twitter.com/FountainHouse47","@FountainHouse47")</f>
        <v>@FountainHouse47</v>
      </c>
      <c r="C1412" s="10" t="s">
        <v>6227</v>
      </c>
      <c r="D1412" s="10" t="s">
        <v>6228</v>
      </c>
      <c r="E1412" s="9" t="str">
        <f>HYPERLINK("https://twitter.com/FountainHouse47/status/1218548724865097728","1218548724865097728")</f>
        <v>1218548724865097728</v>
      </c>
      <c r="F1412" s="11" t="s">
        <v>6229</v>
      </c>
      <c r="G1412" s="13"/>
      <c r="H1412" s="13"/>
      <c r="I1412" s="14">
        <v>1.0</v>
      </c>
      <c r="J1412" s="14">
        <v>0.0</v>
      </c>
      <c r="K1412" s="9" t="str">
        <f>HYPERLINK("https://www.hootsuite.com","Hootsuite Inc.")</f>
        <v>Hootsuite Inc.</v>
      </c>
      <c r="L1412" s="15">
        <v>1715.0</v>
      </c>
      <c r="M1412" s="15">
        <v>1532.0</v>
      </c>
      <c r="N1412" s="15">
        <v>33.0</v>
      </c>
      <c r="O1412" s="16"/>
      <c r="P1412" s="17">
        <v>41891.51789351852</v>
      </c>
      <c r="Q1412" s="10" t="s">
        <v>3998</v>
      </c>
      <c r="R1412" s="10" t="s">
        <v>6230</v>
      </c>
      <c r="S1412" s="11" t="s">
        <v>6231</v>
      </c>
      <c r="T1412" s="13"/>
      <c r="U1412" s="18" t="str">
        <f>HYPERLINK("https://pbs.twimg.com/profile_images/908690634902507521/zDDProEB.jpg","View")</f>
        <v>View</v>
      </c>
      <c r="V1412" s="13"/>
      <c r="W1412" s="13"/>
      <c r="X1412" s="13"/>
      <c r="Y1412" s="13"/>
      <c r="Z1412" s="13"/>
    </row>
    <row r="1413">
      <c r="A1413" s="8">
        <v>43848.41690972222</v>
      </c>
      <c r="B1413" s="9" t="str">
        <f>HYPERLINK("https://twitter.com/HealthyPlace","@HealthyPlace")</f>
        <v>@HealthyPlace</v>
      </c>
      <c r="C1413" s="10" t="s">
        <v>1457</v>
      </c>
      <c r="D1413" s="10" t="s">
        <v>6232</v>
      </c>
      <c r="E1413" s="9" t="str">
        <f>HYPERLINK("https://twitter.com/HealthyPlace/status/1218548689913991168","1218548689913991168")</f>
        <v>1218548689913991168</v>
      </c>
      <c r="F1413" s="13"/>
      <c r="G1413" s="11" t="s">
        <v>6233</v>
      </c>
      <c r="H1413" s="13"/>
      <c r="I1413" s="14">
        <v>5.0</v>
      </c>
      <c r="J1413" s="14">
        <v>4.0</v>
      </c>
      <c r="K1413" s="9" t="str">
        <f>HYPERLINK("https://sproutsocial.com","Sprout Social")</f>
        <v>Sprout Social</v>
      </c>
      <c r="L1413" s="15">
        <v>64943.0</v>
      </c>
      <c r="M1413" s="15">
        <v>25049.0</v>
      </c>
      <c r="N1413" s="15">
        <v>1710.0</v>
      </c>
      <c r="O1413" s="16"/>
      <c r="P1413" s="17">
        <v>39681.03928240741</v>
      </c>
      <c r="Q1413" s="10" t="s">
        <v>1460</v>
      </c>
      <c r="R1413" s="10" t="s">
        <v>1461</v>
      </c>
      <c r="S1413" s="11" t="s">
        <v>1462</v>
      </c>
      <c r="T1413" s="13"/>
      <c r="U1413" s="18" t="str">
        <f>HYPERLINK("https://pbs.twimg.com/profile_images/753613454083252225/i5pr2xny.jpg","View")</f>
        <v>View</v>
      </c>
      <c r="V1413" s="13"/>
      <c r="W1413" s="13"/>
      <c r="X1413" s="13"/>
      <c r="Y1413" s="13"/>
      <c r="Z1413" s="13"/>
    </row>
    <row r="1414">
      <c r="A1414" s="8">
        <v>43848.41688657408</v>
      </c>
      <c r="B1414" s="9" t="str">
        <f>HYPERLINK("https://twitter.com/DrRomie","@DrRomie")</f>
        <v>@DrRomie</v>
      </c>
      <c r="C1414" s="10" t="s">
        <v>6234</v>
      </c>
      <c r="D1414" s="10" t="s">
        <v>6235</v>
      </c>
      <c r="E1414" s="9" t="str">
        <f>HYPERLINK("https://twitter.com/DrRomie/status/1218548679273013248","1218548679273013248")</f>
        <v>1218548679273013248</v>
      </c>
      <c r="F1414" s="13"/>
      <c r="G1414" s="11" t="s">
        <v>6236</v>
      </c>
      <c r="H1414" s="13"/>
      <c r="I1414" s="14">
        <v>1.0</v>
      </c>
      <c r="J1414" s="14">
        <v>0.0</v>
      </c>
      <c r="K1414" s="9" t="str">
        <f>HYPERLINK("https://app.agorapulse.com","AgoraPulse Manager")</f>
        <v>AgoraPulse Manager</v>
      </c>
      <c r="L1414" s="15">
        <v>37857.0</v>
      </c>
      <c r="M1414" s="15">
        <v>30832.0</v>
      </c>
      <c r="N1414" s="15">
        <v>1243.0</v>
      </c>
      <c r="O1414" s="16"/>
      <c r="P1414" s="17">
        <v>40332.75790509259</v>
      </c>
      <c r="Q1414" s="10" t="s">
        <v>3129</v>
      </c>
      <c r="R1414" s="10" t="s">
        <v>6237</v>
      </c>
      <c r="S1414" s="11" t="s">
        <v>6238</v>
      </c>
      <c r="T1414" s="13"/>
      <c r="U1414" s="18" t="str">
        <f>HYPERLINK("https://pbs.twimg.com/profile_images/1191504710030651393/JD3hQ-NR.jpg","View")</f>
        <v>View</v>
      </c>
      <c r="V1414" s="13"/>
      <c r="W1414" s="13"/>
      <c r="X1414" s="13"/>
      <c r="Y1414" s="13"/>
      <c r="Z1414" s="13"/>
    </row>
    <row r="1415">
      <c r="A1415" s="8">
        <v>43848.41680555556</v>
      </c>
      <c r="B1415" s="9" t="str">
        <f>HYPERLINK("https://twitter.com/4_HumanRights_","@4_HumanRights_")</f>
        <v>@4_HumanRights_</v>
      </c>
      <c r="C1415" s="10" t="s">
        <v>6239</v>
      </c>
      <c r="D1415" s="10" t="s">
        <v>6240</v>
      </c>
      <c r="E1415" s="9" t="str">
        <f>HYPERLINK("https://twitter.com/4_HumanRights_/status/1218548651645075457","1218548651645075457")</f>
        <v>1218548651645075457</v>
      </c>
      <c r="F1415" s="13"/>
      <c r="G1415" s="11" t="s">
        <v>6241</v>
      </c>
      <c r="H1415" s="13"/>
      <c r="I1415" s="14">
        <v>1.0</v>
      </c>
      <c r="J1415" s="14">
        <v>1.0</v>
      </c>
      <c r="K1415" s="9" t="str">
        <f>HYPERLINK("http://twitter.com/download/iphone","Twitter for iPhone")</f>
        <v>Twitter for iPhone</v>
      </c>
      <c r="L1415" s="15">
        <v>3834.0</v>
      </c>
      <c r="M1415" s="15">
        <v>2941.0</v>
      </c>
      <c r="N1415" s="15">
        <v>206.0</v>
      </c>
      <c r="O1415" s="16"/>
      <c r="P1415" s="17">
        <v>40700.56104166667</v>
      </c>
      <c r="Q1415" s="10" t="s">
        <v>6242</v>
      </c>
      <c r="R1415" s="10" t="s">
        <v>6243</v>
      </c>
      <c r="S1415" s="11" t="s">
        <v>6244</v>
      </c>
      <c r="T1415" s="13"/>
      <c r="U1415" s="18" t="str">
        <f>HYPERLINK("https://pbs.twimg.com/profile_images/807712019826823169/Ncrlm85V.jpg","View")</f>
        <v>View</v>
      </c>
      <c r="V1415" s="13"/>
      <c r="W1415" s="13"/>
      <c r="X1415" s="13"/>
      <c r="Y1415" s="13"/>
      <c r="Z1415" s="13"/>
    </row>
    <row r="1416">
      <c r="A1416" s="8">
        <v>43848.41680555556</v>
      </c>
      <c r="B1416" s="9" t="str">
        <f>HYPERLINK("https://twitter.com/IBX","@IBX")</f>
        <v>@IBX</v>
      </c>
      <c r="C1416" s="10" t="s">
        <v>6245</v>
      </c>
      <c r="D1416" s="10" t="s">
        <v>6246</v>
      </c>
      <c r="E1416" s="9" t="str">
        <f>HYPERLINK("https://twitter.com/IBX/status/1218548650219098113","1218548650219098113")</f>
        <v>1218548650219098113</v>
      </c>
      <c r="F1416" s="11" t="s">
        <v>6247</v>
      </c>
      <c r="G1416" s="13"/>
      <c r="H1416" s="13"/>
      <c r="I1416" s="14">
        <v>0.0</v>
      </c>
      <c r="J1416" s="14">
        <v>0.0</v>
      </c>
      <c r="K1416" s="9" t="str">
        <f>HYPERLINK("https://www.spredfast.com/","Spredfast app")</f>
        <v>Spredfast app</v>
      </c>
      <c r="L1416" s="15">
        <v>8125.0</v>
      </c>
      <c r="M1416" s="15">
        <v>2351.0</v>
      </c>
      <c r="N1416" s="15">
        <v>241.0</v>
      </c>
      <c r="O1416" s="21" t="s">
        <v>522</v>
      </c>
      <c r="P1416" s="17">
        <v>39925.64771990741</v>
      </c>
      <c r="Q1416" s="10" t="s">
        <v>2967</v>
      </c>
      <c r="R1416" s="10" t="s">
        <v>6248</v>
      </c>
      <c r="S1416" s="11" t="s">
        <v>6249</v>
      </c>
      <c r="T1416" s="13"/>
      <c r="U1416" s="18" t="str">
        <f>HYPERLINK("https://pbs.twimg.com/profile_images/510427098377244673/CQQJ3GfQ.jpeg","View")</f>
        <v>View</v>
      </c>
      <c r="V1416" s="13"/>
      <c r="W1416" s="13"/>
      <c r="X1416" s="13"/>
      <c r="Y1416" s="13"/>
      <c r="Z1416" s="13"/>
    </row>
    <row r="1417">
      <c r="A1417" s="8">
        <v>43848.416400462964</v>
      </c>
      <c r="B1417" s="9" t="str">
        <f>HYPERLINK("https://twitter.com/esacconcia","@esacconcia")</f>
        <v>@esacconcia</v>
      </c>
      <c r="C1417" s="10" t="s">
        <v>6250</v>
      </c>
      <c r="D1417" s="10" t="s">
        <v>6251</v>
      </c>
      <c r="E1417" s="9" t="str">
        <f>HYPERLINK("https://twitter.com/esacconcia/status/1218548502235697153","1218548502235697153")</f>
        <v>1218548502235697153</v>
      </c>
      <c r="F1417" s="10" t="s">
        <v>6252</v>
      </c>
      <c r="G1417" s="13"/>
      <c r="H1417" s="13"/>
      <c r="I1417" s="14">
        <v>0.0</v>
      </c>
      <c r="J1417" s="14">
        <v>2.0</v>
      </c>
      <c r="K1417" s="9" t="str">
        <f>HYPERLINK("http://twitter.com/download/iphone","Twitter for iPhone")</f>
        <v>Twitter for iPhone</v>
      </c>
      <c r="L1417" s="15">
        <v>552.0</v>
      </c>
      <c r="M1417" s="15">
        <v>1586.0</v>
      </c>
      <c r="N1417" s="15">
        <v>34.0</v>
      </c>
      <c r="O1417" s="16"/>
      <c r="P1417" s="17">
        <v>40402.4500925926</v>
      </c>
      <c r="Q1417" s="10" t="s">
        <v>6253</v>
      </c>
      <c r="R1417" s="10" t="s">
        <v>6254</v>
      </c>
      <c r="S1417" s="11" t="s">
        <v>6255</v>
      </c>
      <c r="T1417" s="13"/>
      <c r="U1417" s="18" t="str">
        <f>HYPERLINK("https://pbs.twimg.com/profile_images/837311154875674625/p3MfT2Ne.jpg","View")</f>
        <v>View</v>
      </c>
      <c r="V1417" s="13"/>
      <c r="W1417" s="13"/>
      <c r="X1417" s="13"/>
      <c r="Y1417" s="13"/>
      <c r="Z1417" s="13"/>
    </row>
    <row r="1418">
      <c r="A1418" s="8">
        <v>43848.41578703704</v>
      </c>
      <c r="B1418" s="9" t="str">
        <f>HYPERLINK("https://twitter.com/ERGearing","@ERGearing")</f>
        <v>@ERGearing</v>
      </c>
      <c r="C1418" s="10" t="s">
        <v>1349</v>
      </c>
      <c r="D1418" s="10" t="s">
        <v>6256</v>
      </c>
      <c r="E1418" s="9" t="str">
        <f>HYPERLINK("https://twitter.com/ERGearing/status/1218548280524709888","1218548280524709888")</f>
        <v>1218548280524709888</v>
      </c>
      <c r="F1418" s="13"/>
      <c r="G1418" s="11" t="s">
        <v>6257</v>
      </c>
      <c r="H1418" s="13"/>
      <c r="I1418" s="14">
        <v>0.0</v>
      </c>
      <c r="J1418" s="14">
        <v>4.0</v>
      </c>
      <c r="K1418" s="9" t="str">
        <f>HYPERLINK("https://mobile.twitter.com","Twitter Web App")</f>
        <v>Twitter Web App</v>
      </c>
      <c r="L1418" s="15">
        <v>544.0</v>
      </c>
      <c r="M1418" s="15">
        <v>1727.0</v>
      </c>
      <c r="N1418" s="15">
        <v>12.0</v>
      </c>
      <c r="O1418" s="16"/>
      <c r="P1418" s="17">
        <v>41394.352384259255</v>
      </c>
      <c r="Q1418" s="10" t="s">
        <v>161</v>
      </c>
      <c r="R1418" s="10" t="s">
        <v>1352</v>
      </c>
      <c r="S1418" s="11" t="s">
        <v>1353</v>
      </c>
      <c r="T1418" s="13"/>
      <c r="U1418" s="18" t="str">
        <f>HYPERLINK("https://pbs.twimg.com/profile_images/1083751872207429632/6rD0n_z8.jpg","View")</f>
        <v>View</v>
      </c>
      <c r="V1418" s="13"/>
      <c r="W1418" s="13"/>
      <c r="X1418" s="13"/>
      <c r="Y1418" s="13"/>
      <c r="Z1418" s="13"/>
    </row>
    <row r="1419">
      <c r="A1419" s="8">
        <v>43848.41502314815</v>
      </c>
      <c r="B1419" s="9" t="str">
        <f>HYPERLINK("https://twitter.com/BrewDaily","@BrewDaily")</f>
        <v>@BrewDaily</v>
      </c>
      <c r="C1419" s="10" t="s">
        <v>6258</v>
      </c>
      <c r="D1419" s="10" t="s">
        <v>6259</v>
      </c>
      <c r="E1419" s="9" t="str">
        <f>HYPERLINK("https://twitter.com/BrewDaily/status/1218548002924695553","1218548002924695553")</f>
        <v>1218548002924695553</v>
      </c>
      <c r="F1419" s="13"/>
      <c r="G1419" s="11" t="s">
        <v>6260</v>
      </c>
      <c r="H1419" s="13"/>
      <c r="I1419" s="14">
        <v>2.0</v>
      </c>
      <c r="J1419" s="14">
        <v>3.0</v>
      </c>
      <c r="K1419" s="9" t="str">
        <f>HYPERLINK("http://twitter.com/download/iphone","Twitter for iPhone")</f>
        <v>Twitter for iPhone</v>
      </c>
      <c r="L1419" s="15">
        <v>1418.0</v>
      </c>
      <c r="M1419" s="15">
        <v>4992.0</v>
      </c>
      <c r="N1419" s="15">
        <v>7.0</v>
      </c>
      <c r="O1419" s="16"/>
      <c r="P1419" s="17">
        <v>43306.47670138889</v>
      </c>
      <c r="Q1419" s="10" t="s">
        <v>6261</v>
      </c>
      <c r="R1419" s="10" t="s">
        <v>6262</v>
      </c>
      <c r="S1419" s="11" t="s">
        <v>6263</v>
      </c>
      <c r="T1419" s="13"/>
      <c r="U1419" s="18" t="str">
        <f>HYPERLINK("https://pbs.twimg.com/profile_images/1022142618946420737/BviEpVg6.jpg","View")</f>
        <v>View</v>
      </c>
      <c r="V1419" s="13"/>
      <c r="W1419" s="13"/>
      <c r="X1419" s="13"/>
      <c r="Y1419" s="13"/>
      <c r="Z1419" s="13"/>
    </row>
    <row r="1420">
      <c r="A1420" s="8">
        <v>43848.414861111116</v>
      </c>
      <c r="B1420" s="9" t="str">
        <f>HYPERLINK("https://twitter.com/thornhillmom","@thornhillmom")</f>
        <v>@thornhillmom</v>
      </c>
      <c r="C1420" s="10" t="s">
        <v>2702</v>
      </c>
      <c r="D1420" s="10" t="s">
        <v>6264</v>
      </c>
      <c r="E1420" s="9" t="str">
        <f>HYPERLINK("https://twitter.com/thornhillmom/status/1218547944959299584","1218547944959299584")</f>
        <v>1218547944959299584</v>
      </c>
      <c r="F1420" s="11" t="s">
        <v>6265</v>
      </c>
      <c r="G1420" s="13"/>
      <c r="H1420" s="13"/>
      <c r="I1420" s="14">
        <v>0.0</v>
      </c>
      <c r="J1420" s="14">
        <v>0.0</v>
      </c>
      <c r="K1420" s="9" t="str">
        <f>HYPERLINK("http://www.twitter.com","Marietweet")</f>
        <v>Marietweet</v>
      </c>
      <c r="L1420" s="15">
        <v>10918.0</v>
      </c>
      <c r="M1420" s="15">
        <v>3968.0</v>
      </c>
      <c r="N1420" s="15">
        <v>510.0</v>
      </c>
      <c r="O1420" s="16"/>
      <c r="P1420" s="17">
        <v>41233.47824074074</v>
      </c>
      <c r="Q1420" s="10" t="s">
        <v>2705</v>
      </c>
      <c r="R1420" s="10" t="s">
        <v>2706</v>
      </c>
      <c r="S1420" s="11" t="s">
        <v>2707</v>
      </c>
      <c r="T1420" s="13"/>
      <c r="U1420" s="18" t="str">
        <f>HYPERLINK("https://pbs.twimg.com/profile_images/528657627157233664/mAw3lKf_.jpeg","View")</f>
        <v>View</v>
      </c>
      <c r="V1420" s="13"/>
      <c r="W1420" s="13"/>
      <c r="X1420" s="13"/>
      <c r="Y1420" s="13"/>
      <c r="Z1420" s="13"/>
    </row>
    <row r="1421">
      <c r="A1421" s="8">
        <v>43848.41469907407</v>
      </c>
      <c r="B1421" s="9" t="str">
        <f>HYPERLINK("https://twitter.com/lohcounseling","@lohcounseling")</f>
        <v>@lohcounseling</v>
      </c>
      <c r="C1421" s="10" t="s">
        <v>1256</v>
      </c>
      <c r="D1421" s="10" t="s">
        <v>6266</v>
      </c>
      <c r="E1421" s="9" t="str">
        <f>HYPERLINK("https://twitter.com/lohcounseling/status/1218547889166868485","1218547889166868485")</f>
        <v>1218547889166868485</v>
      </c>
      <c r="F1421" s="11" t="s">
        <v>6267</v>
      </c>
      <c r="G1421" s="13"/>
      <c r="H1421" s="13"/>
      <c r="I1421" s="14">
        <v>0.0</v>
      </c>
      <c r="J1421" s="14">
        <v>1.0</v>
      </c>
      <c r="K1421" s="9" t="str">
        <f t="shared" ref="K1421:K1424" si="166">HYPERLINK("http://twitter.com/download/iphone","Twitter for iPhone")</f>
        <v>Twitter for iPhone</v>
      </c>
      <c r="L1421" s="15">
        <v>1.0</v>
      </c>
      <c r="M1421" s="15">
        <v>35.0</v>
      </c>
      <c r="N1421" s="15">
        <v>0.0</v>
      </c>
      <c r="O1421" s="16"/>
      <c r="P1421" s="17">
        <v>43141.38171296296</v>
      </c>
      <c r="Q1421" s="10" t="s">
        <v>1260</v>
      </c>
      <c r="R1421" s="10" t="s">
        <v>1261</v>
      </c>
      <c r="S1421" s="11" t="s">
        <v>1262</v>
      </c>
      <c r="T1421" s="13"/>
      <c r="U1421" s="18" t="str">
        <f>HYPERLINK("https://pbs.twimg.com/profile_images/1218167961363656704/AXmkR2kR.jpg","View")</f>
        <v>View</v>
      </c>
      <c r="V1421" s="13"/>
      <c r="W1421" s="13"/>
      <c r="X1421" s="13"/>
      <c r="Y1421" s="13"/>
      <c r="Z1421" s="13"/>
    </row>
    <row r="1422">
      <c r="A1422" s="8">
        <v>43848.41407407407</v>
      </c>
      <c r="B1422" s="9" t="str">
        <f>HYPERLINK("https://twitter.com/UCLASemelFriend","@UCLASemelFriend")</f>
        <v>@UCLASemelFriend</v>
      </c>
      <c r="C1422" s="10" t="s">
        <v>550</v>
      </c>
      <c r="D1422" s="10" t="s">
        <v>6268</v>
      </c>
      <c r="E1422" s="9" t="str">
        <f>HYPERLINK("https://twitter.com/UCLASemelFriend/status/1218547659905961985","1218547659905961985")</f>
        <v>1218547659905961985</v>
      </c>
      <c r="F1422" s="11" t="s">
        <v>1766</v>
      </c>
      <c r="G1422" s="13"/>
      <c r="H1422" s="13"/>
      <c r="I1422" s="14">
        <v>1.0</v>
      </c>
      <c r="J1422" s="14">
        <v>8.0</v>
      </c>
      <c r="K1422" s="9" t="str">
        <f t="shared" si="166"/>
        <v>Twitter for iPhone</v>
      </c>
      <c r="L1422" s="15">
        <v>55643.0</v>
      </c>
      <c r="M1422" s="15">
        <v>47361.0</v>
      </c>
      <c r="N1422" s="15">
        <v>1191.0</v>
      </c>
      <c r="O1422" s="16"/>
      <c r="P1422" s="17">
        <v>40794.60476851852</v>
      </c>
      <c r="Q1422" s="10" t="s">
        <v>553</v>
      </c>
      <c r="R1422" s="10" t="s">
        <v>554</v>
      </c>
      <c r="S1422" s="11" t="s">
        <v>555</v>
      </c>
      <c r="T1422" s="13"/>
      <c r="U1422" s="18" t="str">
        <f>HYPERLINK("https://pbs.twimg.com/profile_images/475512003461525504/h8ja3DXH.jpeg","View")</f>
        <v>View</v>
      </c>
      <c r="V1422" s="13"/>
      <c r="W1422" s="13"/>
      <c r="X1422" s="13"/>
      <c r="Y1422" s="13"/>
      <c r="Z1422" s="13"/>
    </row>
    <row r="1423">
      <c r="A1423" s="8">
        <v>43848.4137962963</v>
      </c>
      <c r="B1423" s="9" t="str">
        <f>HYPERLINK("https://twitter.com/ForeveRAllisonL","@ForeveRAllisonL")</f>
        <v>@ForeveRAllisonL</v>
      </c>
      <c r="C1423" s="10" t="s">
        <v>6269</v>
      </c>
      <c r="D1423" s="10" t="s">
        <v>6270</v>
      </c>
      <c r="E1423" s="9" t="str">
        <f>HYPERLINK("https://twitter.com/ForeveRAllisonL/status/1218547559465132036","1218547559465132036")</f>
        <v>1218547559465132036</v>
      </c>
      <c r="F1423" s="13"/>
      <c r="G1423" s="13"/>
      <c r="H1423" s="13"/>
      <c r="I1423" s="14">
        <v>0.0</v>
      </c>
      <c r="J1423" s="14">
        <v>0.0</v>
      </c>
      <c r="K1423" s="9" t="str">
        <f t="shared" si="166"/>
        <v>Twitter for iPhone</v>
      </c>
      <c r="L1423" s="15">
        <v>350.0</v>
      </c>
      <c r="M1423" s="15">
        <v>4786.0</v>
      </c>
      <c r="N1423" s="15">
        <v>1.0</v>
      </c>
      <c r="O1423" s="16"/>
      <c r="P1423" s="17">
        <v>43478.91179398148</v>
      </c>
      <c r="Q1423" s="10" t="s">
        <v>2050</v>
      </c>
      <c r="R1423" s="10" t="s">
        <v>6271</v>
      </c>
      <c r="S1423" s="13"/>
      <c r="T1423" s="13"/>
      <c r="U1423" s="18" t="str">
        <f>HYPERLINK("https://pbs.twimg.com/profile_images/1147704085455527936/wzzdK7qC.jpg","View")</f>
        <v>View</v>
      </c>
      <c r="V1423" s="13"/>
      <c r="W1423" s="13"/>
      <c r="X1423" s="13"/>
      <c r="Y1423" s="13"/>
      <c r="Z1423" s="13"/>
    </row>
    <row r="1424">
      <c r="A1424" s="8">
        <v>43848.41373842592</v>
      </c>
      <c r="B1424" s="9" t="str">
        <f>HYPERLINK("https://twitter.com/issaraya4","@issaraya4")</f>
        <v>@issaraya4</v>
      </c>
      <c r="C1424" s="10" t="s">
        <v>6272</v>
      </c>
      <c r="D1424" s="10" t="s">
        <v>6273</v>
      </c>
      <c r="E1424" s="9" t="str">
        <f>HYPERLINK("https://twitter.com/issaraya4/status/1218547539433017344","1218547539433017344")</f>
        <v>1218547539433017344</v>
      </c>
      <c r="F1424" s="13"/>
      <c r="G1424" s="13"/>
      <c r="H1424" s="13"/>
      <c r="I1424" s="14">
        <v>0.0</v>
      </c>
      <c r="J1424" s="14">
        <v>0.0</v>
      </c>
      <c r="K1424" s="9" t="str">
        <f t="shared" si="166"/>
        <v>Twitter for iPhone</v>
      </c>
      <c r="L1424" s="15">
        <v>1.0</v>
      </c>
      <c r="M1424" s="15">
        <v>8.0</v>
      </c>
      <c r="N1424" s="15">
        <v>0.0</v>
      </c>
      <c r="O1424" s="16"/>
      <c r="P1424" s="17">
        <v>43848.36856481481</v>
      </c>
      <c r="Q1424" s="13"/>
      <c r="R1424" s="10" t="s">
        <v>6274</v>
      </c>
      <c r="S1424" s="13"/>
      <c r="T1424" s="13"/>
      <c r="U1424" s="18" t="str">
        <f>HYPERLINK("https://pbs.twimg.com/profile_images/1218531253374160896/F6JooRf6.jpg","View")</f>
        <v>View</v>
      </c>
      <c r="V1424" s="13"/>
      <c r="W1424" s="13"/>
      <c r="X1424" s="13"/>
      <c r="Y1424" s="13"/>
      <c r="Z1424" s="13"/>
    </row>
    <row r="1425">
      <c r="A1425" s="8">
        <v>43848.413518518515</v>
      </c>
      <c r="B1425" s="9" t="str">
        <f>HYPERLINK("https://twitter.com/DiabeticCyborgg","@DiabeticCyborgg")</f>
        <v>@DiabeticCyborgg</v>
      </c>
      <c r="C1425" s="10" t="s">
        <v>4763</v>
      </c>
      <c r="D1425" s="10" t="s">
        <v>6275</v>
      </c>
      <c r="E1425" s="9" t="str">
        <f>HYPERLINK("https://twitter.com/DiabeticCyborgg/status/1218547460123037696","1218547460123037696")</f>
        <v>1218547460123037696</v>
      </c>
      <c r="F1425" s="11" t="s">
        <v>6276</v>
      </c>
      <c r="G1425" s="13"/>
      <c r="H1425" s="13"/>
      <c r="I1425" s="14">
        <v>0.0</v>
      </c>
      <c r="J1425" s="14">
        <v>0.0</v>
      </c>
      <c r="K1425" s="9" t="str">
        <f>HYPERLINK("http://twitter.com","Twitter Web Client")</f>
        <v>Twitter Web Client</v>
      </c>
      <c r="L1425" s="15">
        <v>6286.0</v>
      </c>
      <c r="M1425" s="15">
        <v>4734.0</v>
      </c>
      <c r="N1425" s="15">
        <v>2055.0</v>
      </c>
      <c r="O1425" s="16"/>
      <c r="P1425" s="17">
        <v>39533.70361111111</v>
      </c>
      <c r="Q1425" s="10" t="s">
        <v>4766</v>
      </c>
      <c r="R1425" s="10" t="s">
        <v>4767</v>
      </c>
      <c r="S1425" s="11" t="s">
        <v>4768</v>
      </c>
      <c r="T1425" s="13"/>
      <c r="U1425" s="18" t="str">
        <f>HYPERLINK("https://pbs.twimg.com/profile_images/801142830525579265/UFmfigEW.jpg","View")</f>
        <v>View</v>
      </c>
      <c r="V1425" s="13"/>
      <c r="W1425" s="13"/>
      <c r="X1425" s="13"/>
      <c r="Y1425" s="13"/>
      <c r="Z1425" s="13"/>
    </row>
    <row r="1426">
      <c r="A1426" s="8">
        <v>43848.413263888884</v>
      </c>
      <c r="B1426" s="9" t="str">
        <f>HYPERLINK("https://twitter.com/ParentsVoiceWor","@ParentsVoiceWor")</f>
        <v>@ParentsVoiceWor</v>
      </c>
      <c r="C1426" s="10" t="s">
        <v>1573</v>
      </c>
      <c r="D1426" s="10" t="s">
        <v>6277</v>
      </c>
      <c r="E1426" s="9" t="str">
        <f>HYPERLINK("https://twitter.com/ParentsVoiceWor/status/1218547367680651265","1218547367680651265")</f>
        <v>1218547367680651265</v>
      </c>
      <c r="F1426" s="11" t="s">
        <v>6278</v>
      </c>
      <c r="G1426" s="11" t="s">
        <v>6279</v>
      </c>
      <c r="H1426" s="13"/>
      <c r="I1426" s="14">
        <v>0.0</v>
      </c>
      <c r="J1426" s="14">
        <v>0.0</v>
      </c>
      <c r="K1426" s="9" t="str">
        <f>HYPERLINK("https://www.hootsuite.com","Hootsuite Inc.")</f>
        <v>Hootsuite Inc.</v>
      </c>
      <c r="L1426" s="15">
        <v>6822.0</v>
      </c>
      <c r="M1426" s="15">
        <v>7009.0</v>
      </c>
      <c r="N1426" s="15">
        <v>0.0</v>
      </c>
      <c r="O1426" s="16"/>
      <c r="P1426" s="17">
        <v>40221.271006944444</v>
      </c>
      <c r="Q1426" s="10" t="s">
        <v>1576</v>
      </c>
      <c r="R1426" s="10" t="s">
        <v>1577</v>
      </c>
      <c r="S1426" s="11" t="s">
        <v>1578</v>
      </c>
      <c r="T1426" s="13"/>
      <c r="U1426" s="18" t="str">
        <f>HYPERLINK("https://pbs.twimg.com/profile_images/768356754/parents__voice_logo_small.jpg","View")</f>
        <v>View</v>
      </c>
      <c r="V1426" s="13"/>
      <c r="W1426" s="13"/>
      <c r="X1426" s="13"/>
      <c r="Y1426" s="13"/>
      <c r="Z1426" s="13"/>
    </row>
    <row r="1427">
      <c r="A1427" s="8">
        <v>43848.41290509259</v>
      </c>
      <c r="B1427" s="9" t="str">
        <f>HYPERLINK("https://twitter.com/HeartspringCA","@HeartspringCA")</f>
        <v>@HeartspringCA</v>
      </c>
      <c r="C1427" s="10" t="s">
        <v>6280</v>
      </c>
      <c r="D1427" s="10" t="s">
        <v>6281</v>
      </c>
      <c r="E1427" s="9" t="str">
        <f>HYPERLINK("https://twitter.com/HeartspringCA/status/1218547238860922882","1218547238860922882")</f>
        <v>1218547238860922882</v>
      </c>
      <c r="F1427" s="11" t="s">
        <v>6282</v>
      </c>
      <c r="G1427" s="13"/>
      <c r="H1427" s="13"/>
      <c r="I1427" s="14">
        <v>0.0</v>
      </c>
      <c r="J1427" s="14">
        <v>0.0</v>
      </c>
      <c r="K1427" s="9" t="str">
        <f>HYPERLINK("http://twitter.com/download/iphone","Twitter for iPhone")</f>
        <v>Twitter for iPhone</v>
      </c>
      <c r="L1427" s="15">
        <v>31.0</v>
      </c>
      <c r="M1427" s="15">
        <v>60.0</v>
      </c>
      <c r="N1427" s="15">
        <v>0.0</v>
      </c>
      <c r="O1427" s="16"/>
      <c r="P1427" s="17">
        <v>43421.4828587963</v>
      </c>
      <c r="Q1427" s="10" t="s">
        <v>474</v>
      </c>
      <c r="R1427" s="10" t="s">
        <v>6283</v>
      </c>
      <c r="S1427" s="11" t="s">
        <v>6284</v>
      </c>
      <c r="T1427" s="13"/>
      <c r="U1427" s="18" t="str">
        <f>HYPERLINK("https://pbs.twimg.com/profile_images/1183434317181149185/xpKzbpsu.jpg","View")</f>
        <v>View</v>
      </c>
      <c r="V1427" s="13"/>
      <c r="W1427" s="13"/>
      <c r="X1427" s="13"/>
      <c r="Y1427" s="13"/>
      <c r="Z1427" s="13"/>
    </row>
    <row r="1428">
      <c r="A1428" s="8">
        <v>43848.412777777776</v>
      </c>
      <c r="B1428" s="9" t="str">
        <f>HYPERLINK("https://twitter.com/MHA0582","@MHA0582")</f>
        <v>@MHA0582</v>
      </c>
      <c r="C1428" s="10" t="s">
        <v>2262</v>
      </c>
      <c r="D1428" s="10" t="s">
        <v>6285</v>
      </c>
      <c r="E1428" s="9" t="str">
        <f>HYPERLINK("https://twitter.com/MHA0582/status/1218547189607206913","1218547189607206913")</f>
        <v>1218547189607206913</v>
      </c>
      <c r="F1428" s="13"/>
      <c r="G1428" s="13"/>
      <c r="H1428" s="13"/>
      <c r="I1428" s="14">
        <v>5.0</v>
      </c>
      <c r="J1428" s="14">
        <v>21.0</v>
      </c>
      <c r="K1428" s="9" t="str">
        <f t="shared" ref="K1428:K1429" si="167">HYPERLINK("http://twitter.com/download/android","Twitter for Android")</f>
        <v>Twitter for Android</v>
      </c>
      <c r="L1428" s="15">
        <v>5099.0</v>
      </c>
      <c r="M1428" s="15">
        <v>5079.0</v>
      </c>
      <c r="N1428" s="15">
        <v>24.0</v>
      </c>
      <c r="O1428" s="16"/>
      <c r="P1428" s="17">
        <v>42776.421053240745</v>
      </c>
      <c r="Q1428" s="10" t="s">
        <v>2265</v>
      </c>
      <c r="R1428" s="10" t="s">
        <v>2266</v>
      </c>
      <c r="S1428" s="11" t="s">
        <v>2267</v>
      </c>
      <c r="T1428" s="13"/>
      <c r="U1428" s="18" t="str">
        <f>HYPERLINK("https://pbs.twimg.com/profile_images/1194240134117515270/1egRUMHv.jpg","View")</f>
        <v>View</v>
      </c>
      <c r="V1428" s="13"/>
      <c r="W1428" s="13"/>
      <c r="X1428" s="13"/>
      <c r="Y1428" s="13"/>
      <c r="Z1428" s="13"/>
    </row>
    <row r="1429">
      <c r="A1429" s="8">
        <v>43848.41255787037</v>
      </c>
      <c r="B1429" s="9" t="str">
        <f>HYPERLINK("https://twitter.com/elmarie96","@elmarie96")</f>
        <v>@elmarie96</v>
      </c>
      <c r="C1429" s="10" t="s">
        <v>6286</v>
      </c>
      <c r="D1429" s="10" t="s">
        <v>6287</v>
      </c>
      <c r="E1429" s="9" t="str">
        <f>HYPERLINK("https://twitter.com/elmarie96/status/1218547111895150592","1218547111895150592")</f>
        <v>1218547111895150592</v>
      </c>
      <c r="F1429" s="13"/>
      <c r="G1429" s="11" t="s">
        <v>6288</v>
      </c>
      <c r="H1429" s="13"/>
      <c r="I1429" s="14">
        <v>0.0</v>
      </c>
      <c r="J1429" s="14">
        <v>0.0</v>
      </c>
      <c r="K1429" s="9" t="str">
        <f t="shared" si="167"/>
        <v>Twitter for Android</v>
      </c>
      <c r="L1429" s="15">
        <v>1204.0</v>
      </c>
      <c r="M1429" s="15">
        <v>1332.0</v>
      </c>
      <c r="N1429" s="15">
        <v>7.0</v>
      </c>
      <c r="O1429" s="16"/>
      <c r="P1429" s="17">
        <v>39876.52688657407</v>
      </c>
      <c r="Q1429" s="10" t="s">
        <v>6289</v>
      </c>
      <c r="R1429" s="10" t="s">
        <v>6290</v>
      </c>
      <c r="S1429" s="11" t="s">
        <v>6291</v>
      </c>
      <c r="T1429" s="13"/>
      <c r="U1429" s="18" t="str">
        <f>HYPERLINK("https://pbs.twimg.com/profile_images/1181261486850789376/13Kwf-hO.jpg","View")</f>
        <v>View</v>
      </c>
      <c r="V1429" s="13"/>
      <c r="W1429" s="13"/>
      <c r="X1429" s="13"/>
      <c r="Y1429" s="13"/>
      <c r="Z1429" s="13"/>
    </row>
    <row r="1430">
      <c r="A1430" s="8">
        <v>43848.41138888889</v>
      </c>
      <c r="B1430" s="9" t="str">
        <f>HYPERLINK("https://twitter.com/JamiePlusJames","@JamiePlusJames")</f>
        <v>@JamiePlusJames</v>
      </c>
      <c r="C1430" s="10" t="s">
        <v>6292</v>
      </c>
      <c r="D1430" s="10" t="s">
        <v>6293</v>
      </c>
      <c r="E1430" s="9" t="str">
        <f>HYPERLINK("https://twitter.com/JamiePlusJames/status/1218546688085938176","1218546688085938176")</f>
        <v>1218546688085938176</v>
      </c>
      <c r="F1430" s="13"/>
      <c r="G1430" s="11" t="s">
        <v>6294</v>
      </c>
      <c r="H1430" s="13"/>
      <c r="I1430" s="14">
        <v>0.0</v>
      </c>
      <c r="J1430" s="14">
        <v>3.0</v>
      </c>
      <c r="K1430" s="9" t="str">
        <f>HYPERLINK("http://twitter.com/download/iphone","Twitter for iPhone")</f>
        <v>Twitter for iPhone</v>
      </c>
      <c r="L1430" s="15">
        <v>2617.0</v>
      </c>
      <c r="M1430" s="15">
        <v>4040.0</v>
      </c>
      <c r="N1430" s="15">
        <v>1.0</v>
      </c>
      <c r="O1430" s="16"/>
      <c r="P1430" s="17">
        <v>43499.78429398148</v>
      </c>
      <c r="Q1430" s="10" t="s">
        <v>6295</v>
      </c>
      <c r="R1430" s="10" t="s">
        <v>6296</v>
      </c>
      <c r="S1430" s="11" t="s">
        <v>6297</v>
      </c>
      <c r="T1430" s="13"/>
      <c r="U1430" s="18" t="str">
        <f>HYPERLINK("https://pbs.twimg.com/profile_images/1216615205683310594/1L-q0-SK.jpg","View")</f>
        <v>View</v>
      </c>
      <c r="V1430" s="13"/>
      <c r="W1430" s="13"/>
      <c r="X1430" s="13"/>
      <c r="Y1430" s="13"/>
      <c r="Z1430" s="13"/>
    </row>
    <row r="1431">
      <c r="A1431" s="8">
        <v>43848.41136574074</v>
      </c>
      <c r="B1431" s="9" t="str">
        <f>HYPERLINK("https://twitter.com/EricDownStylist","@EricDownStylist")</f>
        <v>@EricDownStylist</v>
      </c>
      <c r="C1431" s="10" t="s">
        <v>6298</v>
      </c>
      <c r="D1431" s="10" t="s">
        <v>6299</v>
      </c>
      <c r="E1431" s="9" t="str">
        <f>HYPERLINK("https://twitter.com/EricDownStylist/status/1218546680380973056","1218546680380973056")</f>
        <v>1218546680380973056</v>
      </c>
      <c r="F1431" s="11" t="s">
        <v>6300</v>
      </c>
      <c r="G1431" s="13"/>
      <c r="H1431" s="13"/>
      <c r="I1431" s="14">
        <v>0.0</v>
      </c>
      <c r="J1431" s="14">
        <v>0.0</v>
      </c>
      <c r="K1431" s="9" t="str">
        <f>HYPERLINK("http://instagram.com","Instagram")</f>
        <v>Instagram</v>
      </c>
      <c r="L1431" s="15">
        <v>2451.0</v>
      </c>
      <c r="M1431" s="15">
        <v>405.0</v>
      </c>
      <c r="N1431" s="15">
        <v>63.0</v>
      </c>
      <c r="O1431" s="16"/>
      <c r="P1431" s="17">
        <v>40353.56369212963</v>
      </c>
      <c r="Q1431" s="10" t="s">
        <v>6301</v>
      </c>
      <c r="R1431" s="10" t="s">
        <v>6302</v>
      </c>
      <c r="S1431" s="11" t="s">
        <v>6303</v>
      </c>
      <c r="T1431" s="13"/>
      <c r="U1431" s="18" t="str">
        <f>HYPERLINK("https://pbs.twimg.com/profile_images/1158354227841945600/bsjO4j2C.jpg","View")</f>
        <v>View</v>
      </c>
      <c r="V1431" s="13"/>
      <c r="W1431" s="13"/>
      <c r="X1431" s="13"/>
      <c r="Y1431" s="13"/>
      <c r="Z1431" s="13"/>
    </row>
    <row r="1432">
      <c r="A1432" s="8">
        <v>43848.41097222222</v>
      </c>
      <c r="B1432" s="9" t="str">
        <f>HYPERLINK("https://twitter.com/grouptherapy33","@grouptherapy33")</f>
        <v>@grouptherapy33</v>
      </c>
      <c r="C1432" s="10" t="s">
        <v>831</v>
      </c>
      <c r="D1432" s="10" t="s">
        <v>6304</v>
      </c>
      <c r="E1432" s="9" t="str">
        <f>HYPERLINK("https://twitter.com/grouptherapy33/status/1218546538420559874","1218546538420559874")</f>
        <v>1218546538420559874</v>
      </c>
      <c r="F1432" s="13"/>
      <c r="G1432" s="13"/>
      <c r="H1432" s="13"/>
      <c r="I1432" s="14">
        <v>0.0</v>
      </c>
      <c r="J1432" s="14">
        <v>0.0</v>
      </c>
      <c r="K1432" s="9" t="str">
        <f>HYPERLINK("http://www.DynamicTweets.com","Dynamic Tweets")</f>
        <v>Dynamic Tweets</v>
      </c>
      <c r="L1432" s="15">
        <v>4053.0</v>
      </c>
      <c r="M1432" s="15">
        <v>3517.0</v>
      </c>
      <c r="N1432" s="15">
        <v>74.0</v>
      </c>
      <c r="O1432" s="16"/>
      <c r="P1432" s="17">
        <v>42375.45542824074</v>
      </c>
      <c r="Q1432" s="13"/>
      <c r="R1432" s="13"/>
      <c r="S1432" s="11" t="s">
        <v>833</v>
      </c>
      <c r="T1432" s="13"/>
      <c r="U1432" s="18" t="str">
        <f>HYPERLINK("https://pbs.twimg.com/profile_images/773354507157671941/wE10yy8j.jpg","View")</f>
        <v>View</v>
      </c>
      <c r="V1432" s="13"/>
      <c r="W1432" s="13"/>
      <c r="X1432" s="13"/>
      <c r="Y1432" s="13"/>
      <c r="Z1432" s="13"/>
    </row>
    <row r="1433">
      <c r="A1433" s="8">
        <v>43848.41086805555</v>
      </c>
      <c r="B1433" s="9" t="str">
        <f>HYPERLINK("https://twitter.com/IceKitty12","@IceKitty12")</f>
        <v>@IceKitty12</v>
      </c>
      <c r="C1433" s="10" t="s">
        <v>6305</v>
      </c>
      <c r="D1433" s="10" t="s">
        <v>6306</v>
      </c>
      <c r="E1433" s="9" t="str">
        <f>HYPERLINK("https://twitter.com/IceKitty12/status/1218546498809581568","1218546498809581568")</f>
        <v>1218546498809581568</v>
      </c>
      <c r="F1433" s="13"/>
      <c r="G1433" s="11" t="s">
        <v>6307</v>
      </c>
      <c r="H1433" s="13"/>
      <c r="I1433" s="14">
        <v>3.0</v>
      </c>
      <c r="J1433" s="14">
        <v>7.0</v>
      </c>
      <c r="K1433" s="9" t="str">
        <f t="shared" ref="K1433:K1434" si="168">HYPERLINK("http://twitter.com/download/android","Twitter for Android")</f>
        <v>Twitter for Android</v>
      </c>
      <c r="L1433" s="15">
        <v>8.0</v>
      </c>
      <c r="M1433" s="15">
        <v>43.0</v>
      </c>
      <c r="N1433" s="15">
        <v>0.0</v>
      </c>
      <c r="O1433" s="16"/>
      <c r="P1433" s="17">
        <v>39994.86293981482</v>
      </c>
      <c r="Q1433" s="13"/>
      <c r="R1433" s="10" t="s">
        <v>6308</v>
      </c>
      <c r="S1433" s="11" t="s">
        <v>6309</v>
      </c>
      <c r="T1433" s="13"/>
      <c r="U1433" s="18" t="str">
        <f>HYPERLINK("https://pbs.twimg.com/profile_images/1163477909916594185/V9gP5Kwn.jpg","View")</f>
        <v>View</v>
      </c>
      <c r="V1433" s="13"/>
      <c r="W1433" s="13"/>
      <c r="X1433" s="13"/>
      <c r="Y1433" s="13"/>
      <c r="Z1433" s="13"/>
    </row>
    <row r="1434">
      <c r="A1434" s="8">
        <v>43848.41059027778</v>
      </c>
      <c r="B1434" s="9" t="str">
        <f>HYPERLINK("https://twitter.com/Russell_Lehmann","@Russell_Lehmann")</f>
        <v>@Russell_Lehmann</v>
      </c>
      <c r="C1434" s="10" t="s">
        <v>6310</v>
      </c>
      <c r="D1434" s="10" t="s">
        <v>6311</v>
      </c>
      <c r="E1434" s="9" t="str">
        <f>HYPERLINK("https://twitter.com/Russell_Lehmann/status/1218546399433895937","1218546399433895937")</f>
        <v>1218546399433895937</v>
      </c>
      <c r="F1434" s="13"/>
      <c r="G1434" s="13"/>
      <c r="H1434" s="13"/>
      <c r="I1434" s="14">
        <v>0.0</v>
      </c>
      <c r="J1434" s="14">
        <v>1.0</v>
      </c>
      <c r="K1434" s="9" t="str">
        <f t="shared" si="168"/>
        <v>Twitter for Android</v>
      </c>
      <c r="L1434" s="15">
        <v>2406.0</v>
      </c>
      <c r="M1434" s="15">
        <v>83.0</v>
      </c>
      <c r="N1434" s="15">
        <v>124.0</v>
      </c>
      <c r="O1434" s="16"/>
      <c r="P1434" s="17">
        <v>40564.95715277777</v>
      </c>
      <c r="Q1434" s="10" t="s">
        <v>3002</v>
      </c>
      <c r="R1434" s="10" t="s">
        <v>6312</v>
      </c>
      <c r="S1434" s="11" t="s">
        <v>6313</v>
      </c>
      <c r="T1434" s="13"/>
      <c r="U1434" s="18" t="str">
        <f>HYPERLINK("https://pbs.twimg.com/profile_images/874095824170500096/q7XyBywx.jpg","View")</f>
        <v>View</v>
      </c>
      <c r="V1434" s="13"/>
      <c r="W1434" s="13"/>
      <c r="X1434" s="13"/>
      <c r="Y1434" s="13"/>
      <c r="Z1434" s="13"/>
    </row>
    <row r="1435">
      <c r="A1435" s="8">
        <v>43848.40991898148</v>
      </c>
      <c r="B1435" s="9" t="str">
        <f>HYPERLINK("https://twitter.com/DrLeeKeyes","@DrLeeKeyes")</f>
        <v>@DrLeeKeyes</v>
      </c>
      <c r="C1435" s="10" t="s">
        <v>6314</v>
      </c>
      <c r="D1435" s="10" t="s">
        <v>6315</v>
      </c>
      <c r="E1435" s="9" t="str">
        <f>HYPERLINK("https://twitter.com/DrLeeKeyes/status/1218546155925184512","1218546155925184512")</f>
        <v>1218546155925184512</v>
      </c>
      <c r="F1435" s="11" t="s">
        <v>6316</v>
      </c>
      <c r="G1435" s="13"/>
      <c r="H1435" s="13"/>
      <c r="I1435" s="14">
        <v>1.0</v>
      </c>
      <c r="J1435" s="14">
        <v>0.0</v>
      </c>
      <c r="K1435" s="9" t="str">
        <f>HYPERLINK("https://mobile.twitter.com","Twitter Web App")</f>
        <v>Twitter Web App</v>
      </c>
      <c r="L1435" s="15">
        <v>15786.0</v>
      </c>
      <c r="M1435" s="15">
        <v>4624.0</v>
      </c>
      <c r="N1435" s="15">
        <v>534.0</v>
      </c>
      <c r="O1435" s="16"/>
      <c r="P1435" s="17">
        <v>40608.37118055556</v>
      </c>
      <c r="Q1435" s="10" t="s">
        <v>3116</v>
      </c>
      <c r="R1435" s="10" t="s">
        <v>6317</v>
      </c>
      <c r="S1435" s="11" t="s">
        <v>6316</v>
      </c>
      <c r="T1435" s="13"/>
      <c r="U1435" s="18" t="str">
        <f>HYPERLINK("https://pbs.twimg.com/profile_images/1043464810958970885/CQ-AlVhh.jpg","View")</f>
        <v>View</v>
      </c>
      <c r="V1435" s="13"/>
      <c r="W1435" s="13"/>
      <c r="X1435" s="13"/>
      <c r="Y1435" s="13"/>
      <c r="Z1435" s="13"/>
    </row>
    <row r="1436">
      <c r="A1436" s="8">
        <v>43848.40976851852</v>
      </c>
      <c r="B1436" s="9" t="str">
        <f>HYPERLINK("https://twitter.com/BethSmyls","@BethSmyls")</f>
        <v>@BethSmyls</v>
      </c>
      <c r="C1436" s="10" t="s">
        <v>6318</v>
      </c>
      <c r="D1436" s="10" t="s">
        <v>6319</v>
      </c>
      <c r="E1436" s="9" t="str">
        <f>HYPERLINK("https://twitter.com/BethSmyls/status/1218546101080526853","1218546101080526853")</f>
        <v>1218546101080526853</v>
      </c>
      <c r="F1436" s="11" t="s">
        <v>6320</v>
      </c>
      <c r="G1436" s="13"/>
      <c r="H1436" s="13"/>
      <c r="I1436" s="14">
        <v>1.0</v>
      </c>
      <c r="J1436" s="14">
        <v>1.0</v>
      </c>
      <c r="K1436" s="9" t="str">
        <f>HYPERLINK("https://www.hootsuite.com","Hootsuite Inc.")</f>
        <v>Hootsuite Inc.</v>
      </c>
      <c r="L1436" s="15">
        <v>3079.0</v>
      </c>
      <c r="M1436" s="15">
        <v>1651.0</v>
      </c>
      <c r="N1436" s="15">
        <v>110.0</v>
      </c>
      <c r="O1436" s="16"/>
      <c r="P1436" s="17">
        <v>40773.5291087963</v>
      </c>
      <c r="Q1436" s="10" t="s">
        <v>2805</v>
      </c>
      <c r="R1436" s="10" t="s">
        <v>6321</v>
      </c>
      <c r="S1436" s="11" t="s">
        <v>6322</v>
      </c>
      <c r="T1436" s="13"/>
      <c r="U1436" s="18" t="str">
        <f>HYPERLINK("https://pbs.twimg.com/profile_images/464317387215364096/libJTJLH.jpeg","View")</f>
        <v>View</v>
      </c>
      <c r="V1436" s="13"/>
      <c r="W1436" s="13"/>
      <c r="X1436" s="13"/>
      <c r="Y1436" s="13"/>
      <c r="Z1436" s="13"/>
    </row>
    <row r="1437">
      <c r="A1437" s="8">
        <v>43848.40974537037</v>
      </c>
      <c r="B1437" s="9" t="str">
        <f>HYPERLINK("https://twitter.com/AliahPR","@AliahPR")</f>
        <v>@AliahPR</v>
      </c>
      <c r="C1437" s="10" t="s">
        <v>6323</v>
      </c>
      <c r="D1437" s="10" t="s">
        <v>6324</v>
      </c>
      <c r="E1437" s="9" t="str">
        <f>HYPERLINK("https://twitter.com/AliahPR/status/1218546091911720960","1218546091911720960")</f>
        <v>1218546091911720960</v>
      </c>
      <c r="F1437" s="11" t="s">
        <v>6325</v>
      </c>
      <c r="G1437" s="11" t="s">
        <v>6326</v>
      </c>
      <c r="H1437" s="13"/>
      <c r="I1437" s="14">
        <v>0.0</v>
      </c>
      <c r="J1437" s="14">
        <v>0.0</v>
      </c>
      <c r="K1437" s="9" t="str">
        <f>HYPERLINK("https://buffer.com","Buffer")</f>
        <v>Buffer</v>
      </c>
      <c r="L1437" s="15">
        <v>6835.0</v>
      </c>
      <c r="M1437" s="15">
        <v>4672.0</v>
      </c>
      <c r="N1437" s="15">
        <v>488.0</v>
      </c>
      <c r="O1437" s="16"/>
      <c r="P1437" s="17">
        <v>40226.63061342593</v>
      </c>
      <c r="Q1437" s="10" t="s">
        <v>411</v>
      </c>
      <c r="R1437" s="10" t="s">
        <v>6327</v>
      </c>
      <c r="S1437" s="11" t="s">
        <v>6328</v>
      </c>
      <c r="T1437" s="13"/>
      <c r="U1437" s="18" t="str">
        <f>HYPERLINK("https://pbs.twimg.com/profile_images/1175107774734319616/HaTgZnOF.jpg","View")</f>
        <v>View</v>
      </c>
      <c r="V1437" s="13"/>
      <c r="W1437" s="13"/>
      <c r="X1437" s="13"/>
      <c r="Y1437" s="13"/>
      <c r="Z1437" s="13"/>
    </row>
    <row r="1438">
      <c r="A1438" s="8">
        <v>43848.409733796296</v>
      </c>
      <c r="B1438" s="9" t="str">
        <f>HYPERLINK("https://twitter.com/Shineonlineirel","@Shineonlineirel")</f>
        <v>@Shineonlineirel</v>
      </c>
      <c r="C1438" s="10" t="s">
        <v>6329</v>
      </c>
      <c r="D1438" s="10" t="s">
        <v>6330</v>
      </c>
      <c r="E1438" s="9" t="str">
        <f>HYPERLINK("https://twitter.com/Shineonlineirel/status/1218546087218372608","1218546087218372608")</f>
        <v>1218546087218372608</v>
      </c>
      <c r="F1438" s="11" t="s">
        <v>6331</v>
      </c>
      <c r="G1438" s="11" t="s">
        <v>6332</v>
      </c>
      <c r="H1438" s="13"/>
      <c r="I1438" s="14">
        <v>1.0</v>
      </c>
      <c r="J1438" s="14">
        <v>2.0</v>
      </c>
      <c r="K1438" s="9" t="str">
        <f>HYPERLINK("http://twitter.com/download/iphone","Twitter for iPhone")</f>
        <v>Twitter for iPhone</v>
      </c>
      <c r="L1438" s="15">
        <v>2906.0</v>
      </c>
      <c r="M1438" s="15">
        <v>952.0</v>
      </c>
      <c r="N1438" s="15">
        <v>45.0</v>
      </c>
      <c r="O1438" s="16"/>
      <c r="P1438" s="17">
        <v>40043.58913194444</v>
      </c>
      <c r="Q1438" s="10" t="s">
        <v>6333</v>
      </c>
      <c r="R1438" s="10" t="s">
        <v>6334</v>
      </c>
      <c r="S1438" s="11" t="s">
        <v>6335</v>
      </c>
      <c r="T1438" s="13"/>
      <c r="U1438" s="18" t="str">
        <f>HYPERLINK("https://pbs.twimg.com/profile_images/1095708107458658305/quqp8N-M.png","View")</f>
        <v>View</v>
      </c>
      <c r="V1438" s="13"/>
      <c r="W1438" s="13"/>
      <c r="X1438" s="13"/>
      <c r="Y1438" s="13"/>
      <c r="Z1438" s="13"/>
    </row>
    <row r="1439">
      <c r="A1439" s="8">
        <v>43848.40972222222</v>
      </c>
      <c r="B1439" s="9" t="str">
        <f>HYPERLINK("https://twitter.com/PHLBlackGiving","@PHLBlackGiving")</f>
        <v>@PHLBlackGiving</v>
      </c>
      <c r="C1439" s="10" t="s">
        <v>6336</v>
      </c>
      <c r="D1439" s="10" t="s">
        <v>6337</v>
      </c>
      <c r="E1439" s="9" t="str">
        <f>HYPERLINK("https://twitter.com/PHLBlackGiving/status/1218546082654781440","1218546082654781440")</f>
        <v>1218546082654781440</v>
      </c>
      <c r="F1439" s="11" t="s">
        <v>6338</v>
      </c>
      <c r="G1439" s="13"/>
      <c r="H1439" s="13"/>
      <c r="I1439" s="14">
        <v>0.0</v>
      </c>
      <c r="J1439" s="14">
        <v>0.0</v>
      </c>
      <c r="K1439" s="9" t="str">
        <f>HYPERLINK("https://about.twitter.com/products/tweetdeck","TweetDeck")</f>
        <v>TweetDeck</v>
      </c>
      <c r="L1439" s="15">
        <v>219.0</v>
      </c>
      <c r="M1439" s="15">
        <v>386.0</v>
      </c>
      <c r="N1439" s="15">
        <v>3.0</v>
      </c>
      <c r="O1439" s="16"/>
      <c r="P1439" s="17">
        <v>43291.54221064815</v>
      </c>
      <c r="Q1439" s="10" t="s">
        <v>2967</v>
      </c>
      <c r="R1439" s="10" t="s">
        <v>6339</v>
      </c>
      <c r="S1439" s="11" t="s">
        <v>6340</v>
      </c>
      <c r="T1439" s="13"/>
      <c r="U1439" s="18" t="str">
        <f>HYPERLINK("https://pbs.twimg.com/profile_images/1029424687242256384/CfW7_EtH.jpg","View")</f>
        <v>View</v>
      </c>
      <c r="V1439" s="13"/>
      <c r="W1439" s="13"/>
      <c r="X1439" s="13"/>
      <c r="Y1439" s="13"/>
      <c r="Z1439" s="13"/>
    </row>
    <row r="1440">
      <c r="A1440" s="8">
        <v>43848.409155092595</v>
      </c>
      <c r="B1440" s="9" t="str">
        <f>HYPERLINK("https://twitter.com/flannelrainbows","@flannelrainbows")</f>
        <v>@flannelrainbows</v>
      </c>
      <c r="C1440" s="10" t="s">
        <v>1334</v>
      </c>
      <c r="D1440" s="10" t="s">
        <v>6341</v>
      </c>
      <c r="E1440" s="9" t="str">
        <f>HYPERLINK("https://twitter.com/flannelrainbows/status/1218545878614577152","1218545878614577152")</f>
        <v>1218545878614577152</v>
      </c>
      <c r="F1440" s="11" t="s">
        <v>6342</v>
      </c>
      <c r="G1440" s="11" t="s">
        <v>6343</v>
      </c>
      <c r="H1440" s="13"/>
      <c r="I1440" s="14">
        <v>1.0</v>
      </c>
      <c r="J1440" s="14">
        <v>7.0</v>
      </c>
      <c r="K1440" s="9" t="str">
        <f>HYPERLINK("https://mobile.twitter.com","Twitter Web App")</f>
        <v>Twitter Web App</v>
      </c>
      <c r="L1440" s="15">
        <v>7554.0</v>
      </c>
      <c r="M1440" s="15">
        <v>6890.0</v>
      </c>
      <c r="N1440" s="15">
        <v>7.0</v>
      </c>
      <c r="O1440" s="16"/>
      <c r="P1440" s="17">
        <v>43485.49912037037</v>
      </c>
      <c r="Q1440" s="10" t="s">
        <v>1336</v>
      </c>
      <c r="R1440" s="10" t="s">
        <v>1337</v>
      </c>
      <c r="S1440" s="13"/>
      <c r="T1440" s="13"/>
      <c r="U1440" s="18" t="str">
        <f>HYPERLINK("https://pbs.twimg.com/profile_images/1216161835071574017/JD66ww9Y.jpg","View")</f>
        <v>View</v>
      </c>
      <c r="V1440" s="13"/>
      <c r="W1440" s="13"/>
      <c r="X1440" s="13"/>
      <c r="Y1440" s="13"/>
      <c r="Z1440" s="13"/>
    </row>
    <row r="1441">
      <c r="A1441" s="8">
        <v>43848.40861111111</v>
      </c>
      <c r="B1441" s="9" t="str">
        <f>HYPERLINK("https://twitter.com/RachelOrr","@RachelOrr")</f>
        <v>@RachelOrr</v>
      </c>
      <c r="C1441" s="10" t="s">
        <v>6344</v>
      </c>
      <c r="D1441" s="10" t="s">
        <v>6345</v>
      </c>
      <c r="E1441" s="9" t="str">
        <f>HYPERLINK("https://twitter.com/RachelOrr/status/1218545679955566593","1218545679955566593")</f>
        <v>1218545679955566593</v>
      </c>
      <c r="F1441" s="11" t="s">
        <v>6346</v>
      </c>
      <c r="G1441" s="13"/>
      <c r="H1441" s="13"/>
      <c r="I1441" s="14">
        <v>0.0</v>
      </c>
      <c r="J1441" s="14">
        <v>5.0</v>
      </c>
      <c r="K1441" s="9" t="str">
        <f>HYPERLINK("http://twitter.com/#!/download/ipad","Twitter for iPad")</f>
        <v>Twitter for iPad</v>
      </c>
      <c r="L1441" s="15">
        <v>11947.0</v>
      </c>
      <c r="M1441" s="15">
        <v>6275.0</v>
      </c>
      <c r="N1441" s="15">
        <v>213.0</v>
      </c>
      <c r="O1441" s="16"/>
      <c r="P1441" s="17">
        <v>39841.776226851856</v>
      </c>
      <c r="Q1441" s="10" t="s">
        <v>6347</v>
      </c>
      <c r="R1441" s="10" t="s">
        <v>6348</v>
      </c>
      <c r="S1441" s="11" t="s">
        <v>6349</v>
      </c>
      <c r="T1441" s="13"/>
      <c r="U1441" s="18" t="str">
        <f>HYPERLINK("https://pbs.twimg.com/profile_images/686935995653185536/oS9ha8Gw.jpg","View")</f>
        <v>View</v>
      </c>
      <c r="V1441" s="13"/>
      <c r="W1441" s="13"/>
      <c r="X1441" s="13"/>
      <c r="Y1441" s="13"/>
      <c r="Z1441" s="13"/>
    </row>
    <row r="1442">
      <c r="A1442" s="8">
        <v>43848.408587962964</v>
      </c>
      <c r="B1442" s="9" t="str">
        <f>HYPERLINK("https://twitter.com/melanie_korach","@melanie_korach")</f>
        <v>@melanie_korach</v>
      </c>
      <c r="C1442" s="10" t="s">
        <v>5766</v>
      </c>
      <c r="D1442" s="10" t="s">
        <v>6350</v>
      </c>
      <c r="E1442" s="9" t="str">
        <f>HYPERLINK("https://twitter.com/melanie_korach/status/1218545671457906690","1218545671457906690")</f>
        <v>1218545671457906690</v>
      </c>
      <c r="F1442" s="13"/>
      <c r="G1442" s="11" t="s">
        <v>6351</v>
      </c>
      <c r="H1442" s="13"/>
      <c r="I1442" s="14">
        <v>11.0</v>
      </c>
      <c r="J1442" s="14">
        <v>39.0</v>
      </c>
      <c r="K1442" s="9" t="str">
        <f>HYPERLINK("http://twitter.com/download/iphone","Twitter for iPhone")</f>
        <v>Twitter for iPhone</v>
      </c>
      <c r="L1442" s="15">
        <v>23865.0</v>
      </c>
      <c r="M1442" s="15">
        <v>21089.0</v>
      </c>
      <c r="N1442" s="15">
        <v>131.0</v>
      </c>
      <c r="O1442" s="16"/>
      <c r="P1442" s="17">
        <v>42873.50809027778</v>
      </c>
      <c r="Q1442" s="10" t="s">
        <v>5769</v>
      </c>
      <c r="R1442" s="10" t="s">
        <v>5770</v>
      </c>
      <c r="S1442" s="13"/>
      <c r="T1442" s="13"/>
      <c r="U1442" s="18" t="str">
        <f>HYPERLINK("https://pbs.twimg.com/profile_images/1138923170294063105/7VowT7GA.jpg","View")</f>
        <v>View</v>
      </c>
      <c r="V1442" s="13"/>
      <c r="W1442" s="13"/>
      <c r="X1442" s="13"/>
      <c r="Y1442" s="13"/>
      <c r="Z1442" s="13"/>
    </row>
    <row r="1443">
      <c r="A1443" s="8">
        <v>43848.40835648148</v>
      </c>
      <c r="B1443" s="9" t="str">
        <f>HYPERLINK("https://twitter.com/JPTrett","@JPTrett")</f>
        <v>@JPTrett</v>
      </c>
      <c r="C1443" s="10" t="s">
        <v>6352</v>
      </c>
      <c r="D1443" s="10" t="s">
        <v>6353</v>
      </c>
      <c r="E1443" s="9" t="str">
        <f>HYPERLINK("https://twitter.com/JPTrett/status/1218545588146450432","1218545588146450432")</f>
        <v>1218545588146450432</v>
      </c>
      <c r="F1443" s="11" t="s">
        <v>6354</v>
      </c>
      <c r="G1443" s="11" t="s">
        <v>6355</v>
      </c>
      <c r="H1443" s="13"/>
      <c r="I1443" s="14">
        <v>1.0</v>
      </c>
      <c r="J1443" s="14">
        <v>1.0</v>
      </c>
      <c r="K1443" s="9" t="str">
        <f>HYPERLINK("https://buffer.com","Buffer")</f>
        <v>Buffer</v>
      </c>
      <c r="L1443" s="15">
        <v>2070.0</v>
      </c>
      <c r="M1443" s="15">
        <v>5002.0</v>
      </c>
      <c r="N1443" s="15">
        <v>27.0</v>
      </c>
      <c r="O1443" s="16"/>
      <c r="P1443" s="17">
        <v>40913.2061574074</v>
      </c>
      <c r="Q1443" s="10" t="s">
        <v>2323</v>
      </c>
      <c r="R1443" s="10" t="s">
        <v>6356</v>
      </c>
      <c r="S1443" s="11" t="s">
        <v>6357</v>
      </c>
      <c r="T1443" s="13"/>
      <c r="U1443" s="18" t="str">
        <f>HYPERLINK("https://pbs.twimg.com/profile_images/1205048768632111104/--j-PkEG.jpg","View")</f>
        <v>View</v>
      </c>
      <c r="V1443" s="13"/>
      <c r="W1443" s="13"/>
      <c r="X1443" s="13"/>
      <c r="Y1443" s="13"/>
      <c r="Z1443" s="13"/>
    </row>
    <row r="1444">
      <c r="A1444" s="8">
        <v>43848.40829861111</v>
      </c>
      <c r="B1444" s="9" t="str">
        <f>HYPERLINK("https://twitter.com/fsgoldstein","@fsgoldstein")</f>
        <v>@fsgoldstein</v>
      </c>
      <c r="C1444" s="10" t="s">
        <v>6358</v>
      </c>
      <c r="D1444" s="10" t="s">
        <v>6359</v>
      </c>
      <c r="E1444" s="9" t="str">
        <f>HYPERLINK("https://twitter.com/fsgoldstein/status/1218545569406341121","1218545569406341121")</f>
        <v>1218545569406341121</v>
      </c>
      <c r="F1444" s="11" t="s">
        <v>6360</v>
      </c>
      <c r="G1444" s="11" t="s">
        <v>6361</v>
      </c>
      <c r="H1444" s="13"/>
      <c r="I1444" s="14">
        <v>1.0</v>
      </c>
      <c r="J1444" s="14">
        <v>2.0</v>
      </c>
      <c r="K1444" s="9" t="str">
        <f>HYPERLINK("https://about.twitter.com/products/tweetdeck","TweetDeck")</f>
        <v>TweetDeck</v>
      </c>
      <c r="L1444" s="15">
        <v>4739.0</v>
      </c>
      <c r="M1444" s="15">
        <v>4671.0</v>
      </c>
      <c r="N1444" s="15">
        <v>512.0</v>
      </c>
      <c r="O1444" s="16"/>
      <c r="P1444" s="17">
        <v>39908.798159722224</v>
      </c>
      <c r="Q1444" s="10" t="s">
        <v>6362</v>
      </c>
      <c r="R1444" s="10" t="s">
        <v>6363</v>
      </c>
      <c r="S1444" s="11" t="s">
        <v>6364</v>
      </c>
      <c r="T1444" s="13"/>
      <c r="U1444" s="18" t="str">
        <f>HYPERLINK("https://pbs.twimg.com/profile_images/1183907283220258816/guFtYEUl.jpg","View")</f>
        <v>View</v>
      </c>
      <c r="V1444" s="13"/>
      <c r="W1444" s="13"/>
      <c r="X1444" s="13"/>
      <c r="Y1444" s="13"/>
      <c r="Z1444" s="13"/>
    </row>
    <row r="1445">
      <c r="A1445" s="8">
        <v>43848.40724537037</v>
      </c>
      <c r="B1445" s="9" t="str">
        <f>HYPERLINK("https://twitter.com/BloomerBoomer50","@BloomerBoomer50")</f>
        <v>@BloomerBoomer50</v>
      </c>
      <c r="C1445" s="10" t="s">
        <v>6365</v>
      </c>
      <c r="D1445" s="10" t="s">
        <v>6366</v>
      </c>
      <c r="E1445" s="9" t="str">
        <f>HYPERLINK("https://twitter.com/BloomerBoomer50/status/1218545184314658816","1218545184314658816")</f>
        <v>1218545184314658816</v>
      </c>
      <c r="F1445" s="11" t="s">
        <v>6367</v>
      </c>
      <c r="G1445" s="11" t="s">
        <v>6368</v>
      </c>
      <c r="H1445" s="13"/>
      <c r="I1445" s="14">
        <v>0.0</v>
      </c>
      <c r="J1445" s="14">
        <v>0.0</v>
      </c>
      <c r="K1445" s="9" t="str">
        <f>HYPERLINK("https://www.blog2social.com","Blog2Social APP")</f>
        <v>Blog2Social APP</v>
      </c>
      <c r="L1445" s="15">
        <v>2669.0</v>
      </c>
      <c r="M1445" s="15">
        <v>2765.0</v>
      </c>
      <c r="N1445" s="15">
        <v>26.0</v>
      </c>
      <c r="O1445" s="16"/>
      <c r="P1445" s="17">
        <v>41269.67891203704</v>
      </c>
      <c r="Q1445" s="10" t="s">
        <v>3116</v>
      </c>
      <c r="R1445" s="10" t="s">
        <v>6369</v>
      </c>
      <c r="S1445" s="11" t="s">
        <v>6370</v>
      </c>
      <c r="T1445" s="13"/>
      <c r="U1445" s="18" t="str">
        <f>HYPERLINK("https://pbs.twimg.com/profile_images/513372430870396928/em7GYFkN.png","View")</f>
        <v>View</v>
      </c>
      <c r="V1445" s="13"/>
      <c r="W1445" s="13"/>
      <c r="X1445" s="13"/>
      <c r="Y1445" s="13"/>
      <c r="Z1445" s="13"/>
    </row>
    <row r="1446">
      <c r="A1446" s="8">
        <v>43848.40640046296</v>
      </c>
      <c r="B1446" s="9" t="str">
        <f>HYPERLINK("https://twitter.com/plymspecial999","@plymspecial999")</f>
        <v>@plymspecial999</v>
      </c>
      <c r="C1446" s="10" t="s">
        <v>6371</v>
      </c>
      <c r="D1446" s="10" t="s">
        <v>6372</v>
      </c>
      <c r="E1446" s="9" t="str">
        <f>HYPERLINK("https://twitter.com/plymspecial999/status/1218544881246916621","1218544881246916621")</f>
        <v>1218544881246916621</v>
      </c>
      <c r="F1446" s="13"/>
      <c r="G1446" s="11" t="s">
        <v>6373</v>
      </c>
      <c r="H1446" s="13"/>
      <c r="I1446" s="14">
        <v>5.0</v>
      </c>
      <c r="J1446" s="14">
        <v>22.0</v>
      </c>
      <c r="K1446" s="9" t="str">
        <f>HYPERLINK("http://twitter.com/download/iphone","Twitter for iPhone")</f>
        <v>Twitter for iPhone</v>
      </c>
      <c r="L1446" s="15">
        <v>350.0</v>
      </c>
      <c r="M1446" s="15">
        <v>403.0</v>
      </c>
      <c r="N1446" s="15">
        <v>3.0</v>
      </c>
      <c r="O1446" s="16"/>
      <c r="P1446" s="17">
        <v>43593.44248842592</v>
      </c>
      <c r="Q1446" s="10" t="s">
        <v>2635</v>
      </c>
      <c r="R1446" s="10" t="s">
        <v>6374</v>
      </c>
      <c r="S1446" s="13"/>
      <c r="T1446" s="13"/>
      <c r="U1446" s="18" t="str">
        <f>HYPERLINK("https://pbs.twimg.com/profile_images/1126134982823620609/15GegGG3.jpg","View")</f>
        <v>View</v>
      </c>
      <c r="V1446" s="13"/>
      <c r="W1446" s="13"/>
      <c r="X1446" s="13"/>
      <c r="Y1446" s="13"/>
      <c r="Z1446" s="13"/>
    </row>
    <row r="1447">
      <c r="A1447" s="8">
        <v>43848.406053240746</v>
      </c>
      <c r="B1447" s="9" t="str">
        <f>HYPERLINK("https://twitter.com/Kingsbowdown","@Kingsbowdown")</f>
        <v>@Kingsbowdown</v>
      </c>
      <c r="C1447" s="10" t="s">
        <v>6375</v>
      </c>
      <c r="D1447" s="10" t="s">
        <v>238</v>
      </c>
      <c r="E1447" s="9" t="str">
        <f>HYPERLINK("https://twitter.com/Kingsbowdown/status/1218544753303638016","1218544753303638016")</f>
        <v>1218544753303638016</v>
      </c>
      <c r="F1447" s="13"/>
      <c r="G1447" s="13"/>
      <c r="H1447" s="13"/>
      <c r="I1447" s="14">
        <v>0.0</v>
      </c>
      <c r="J1447" s="14">
        <v>0.0</v>
      </c>
      <c r="K1447" s="9" t="str">
        <f>HYPERLINK("http://twitter.com/download/android","Twitter for Android")</f>
        <v>Twitter for Android</v>
      </c>
      <c r="L1447" s="15">
        <v>68.0</v>
      </c>
      <c r="M1447" s="15">
        <v>63.0</v>
      </c>
      <c r="N1447" s="15">
        <v>0.0</v>
      </c>
      <c r="O1447" s="16"/>
      <c r="P1447" s="17">
        <v>41432.13988425926</v>
      </c>
      <c r="Q1447" s="10" t="s">
        <v>6376</v>
      </c>
      <c r="R1447" s="10" t="s">
        <v>6377</v>
      </c>
      <c r="S1447" s="11" t="s">
        <v>6378</v>
      </c>
      <c r="T1447" s="13"/>
      <c r="U1447" s="18" t="str">
        <f>HYPERLINK("https://pbs.twimg.com/profile_images/1197966396824514560/plCbrZp1.jpg","View")</f>
        <v>View</v>
      </c>
      <c r="V1447" s="13"/>
      <c r="W1447" s="13"/>
      <c r="X1447" s="13"/>
      <c r="Y1447" s="13"/>
      <c r="Z1447" s="13"/>
    </row>
    <row r="1448">
      <c r="A1448" s="8">
        <v>43848.40563657407</v>
      </c>
      <c r="B1448" s="9" t="str">
        <f>HYPERLINK("https://twitter.com/DaveZeeDJ","@DaveZeeDJ")</f>
        <v>@DaveZeeDJ</v>
      </c>
      <c r="C1448" s="10" t="s">
        <v>6379</v>
      </c>
      <c r="D1448" s="10" t="s">
        <v>6380</v>
      </c>
      <c r="E1448" s="9" t="str">
        <f>HYPERLINK("https://twitter.com/DaveZeeDJ/status/1218544603009372160","1218544603009372160")</f>
        <v>1218544603009372160</v>
      </c>
      <c r="F1448" s="13"/>
      <c r="G1448" s="13"/>
      <c r="H1448" s="13"/>
      <c r="I1448" s="14">
        <v>0.0</v>
      </c>
      <c r="J1448" s="14">
        <v>0.0</v>
      </c>
      <c r="K1448" s="9" t="str">
        <f>HYPERLINK("http://www.facebook.com/twitter","Facebook")</f>
        <v>Facebook</v>
      </c>
      <c r="L1448" s="15">
        <v>143.0</v>
      </c>
      <c r="M1448" s="15">
        <v>165.0</v>
      </c>
      <c r="N1448" s="15">
        <v>5.0</v>
      </c>
      <c r="O1448" s="16"/>
      <c r="P1448" s="17">
        <v>40672.65288194444</v>
      </c>
      <c r="Q1448" s="10" t="s">
        <v>6381</v>
      </c>
      <c r="R1448" s="10" t="s">
        <v>6382</v>
      </c>
      <c r="S1448" s="11" t="s">
        <v>6383</v>
      </c>
      <c r="T1448" s="13"/>
      <c r="U1448" s="18" t="str">
        <f>HYPERLINK("https://pbs.twimg.com/profile_images/1088771881623318529/gcCpa38k.jpg","View")</f>
        <v>View</v>
      </c>
      <c r="V1448" s="13"/>
      <c r="W1448" s="13"/>
      <c r="X1448" s="13"/>
      <c r="Y1448" s="13"/>
      <c r="Z1448" s="13"/>
    </row>
    <row r="1449">
      <c r="A1449" s="8">
        <v>43848.40537037037</v>
      </c>
      <c r="B1449" s="9" t="str">
        <f>HYPERLINK("https://twitter.com/MapsofIndia","@MapsofIndia")</f>
        <v>@MapsofIndia</v>
      </c>
      <c r="C1449" s="10" t="s">
        <v>6384</v>
      </c>
      <c r="D1449" s="10" t="s">
        <v>6385</v>
      </c>
      <c r="E1449" s="9" t="str">
        <f>HYPERLINK("https://twitter.com/MapsofIndia/status/1218544505982349314","1218544505982349314")</f>
        <v>1218544505982349314</v>
      </c>
      <c r="F1449" s="11" t="s">
        <v>6386</v>
      </c>
      <c r="G1449" s="13"/>
      <c r="H1449" s="13"/>
      <c r="I1449" s="14">
        <v>0.0</v>
      </c>
      <c r="J1449" s="14">
        <v>0.0</v>
      </c>
      <c r="K1449" s="9" t="str">
        <f t="shared" ref="K1449:K1450" si="169">HYPERLINK("https://mobile.twitter.com","Twitter Web App")</f>
        <v>Twitter Web App</v>
      </c>
      <c r="L1449" s="15">
        <v>3369.0</v>
      </c>
      <c r="M1449" s="15">
        <v>55.0</v>
      </c>
      <c r="N1449" s="15">
        <v>214.0</v>
      </c>
      <c r="O1449" s="16"/>
      <c r="P1449" s="17">
        <v>39799.18666666667</v>
      </c>
      <c r="Q1449" s="10" t="s">
        <v>35</v>
      </c>
      <c r="R1449" s="10" t="s">
        <v>6387</v>
      </c>
      <c r="S1449" s="11" t="s">
        <v>6388</v>
      </c>
      <c r="T1449" s="13"/>
      <c r="U1449" s="18" t="str">
        <f>HYPERLINK("https://pbs.twimg.com/profile_images/715353988/moi-icon.png","View")</f>
        <v>View</v>
      </c>
      <c r="V1449" s="13"/>
      <c r="W1449" s="13"/>
      <c r="X1449" s="13"/>
      <c r="Y1449" s="13"/>
      <c r="Z1449" s="13"/>
    </row>
    <row r="1450">
      <c r="A1450" s="8">
        <v>43848.40515046296</v>
      </c>
      <c r="B1450" s="9" t="str">
        <f>HYPERLINK("https://twitter.com/TMovesOfficial","@TMovesOfficial")</f>
        <v>@TMovesOfficial</v>
      </c>
      <c r="C1450" s="10" t="s">
        <v>6389</v>
      </c>
      <c r="D1450" s="10" t="s">
        <v>6390</v>
      </c>
      <c r="E1450" s="9" t="str">
        <f>HYPERLINK("https://twitter.com/TMovesOfficial/status/1218544425548251138","1218544425548251138")</f>
        <v>1218544425548251138</v>
      </c>
      <c r="F1450" s="13"/>
      <c r="G1450" s="11" t="s">
        <v>6391</v>
      </c>
      <c r="H1450" s="13"/>
      <c r="I1450" s="14">
        <v>0.0</v>
      </c>
      <c r="J1450" s="14">
        <v>0.0</v>
      </c>
      <c r="K1450" s="9" t="str">
        <f t="shared" si="169"/>
        <v>Twitter Web App</v>
      </c>
      <c r="L1450" s="15">
        <v>21.0</v>
      </c>
      <c r="M1450" s="15">
        <v>226.0</v>
      </c>
      <c r="N1450" s="15">
        <v>0.0</v>
      </c>
      <c r="O1450" s="16"/>
      <c r="P1450" s="17">
        <v>43664.26766203703</v>
      </c>
      <c r="Q1450" s="10" t="s">
        <v>6392</v>
      </c>
      <c r="R1450" s="10" t="s">
        <v>6393</v>
      </c>
      <c r="S1450" s="13"/>
      <c r="T1450" s="13"/>
      <c r="U1450" s="18" t="str">
        <f>HYPERLINK("https://pbs.twimg.com/profile_images/1151800274421465088/RQuo9r1e.jpg","View")</f>
        <v>View</v>
      </c>
      <c r="V1450" s="13"/>
      <c r="W1450" s="13"/>
      <c r="X1450" s="13"/>
      <c r="Y1450" s="13"/>
      <c r="Z1450" s="13"/>
    </row>
    <row r="1451">
      <c r="A1451" s="8">
        <v>43848.40483796297</v>
      </c>
      <c r="B1451" s="9" t="str">
        <f>HYPERLINK("https://twitter.com/saNeuroGut","@saNeuroGut")</f>
        <v>@saNeuroGut</v>
      </c>
      <c r="C1451" s="10" t="s">
        <v>6394</v>
      </c>
      <c r="D1451" s="10" t="s">
        <v>6395</v>
      </c>
      <c r="E1451" s="9" t="str">
        <f>HYPERLINK("https://twitter.com/saNeuroGut/status/1218544313661100037","1218544313661100037")</f>
        <v>1218544313661100037</v>
      </c>
      <c r="F1451" s="13"/>
      <c r="G1451" s="13"/>
      <c r="H1451" s="13"/>
      <c r="I1451" s="14">
        <v>3.0</v>
      </c>
      <c r="J1451" s="14">
        <v>2.0</v>
      </c>
      <c r="K1451" s="9" t="str">
        <f>HYPERLINK("http://twitter.com/download/android","Twitter for Android")</f>
        <v>Twitter for Android</v>
      </c>
      <c r="L1451" s="15">
        <v>79.0</v>
      </c>
      <c r="M1451" s="15">
        <v>168.0</v>
      </c>
      <c r="N1451" s="15">
        <v>2.0</v>
      </c>
      <c r="O1451" s="16"/>
      <c r="P1451" s="17">
        <v>42997.23877314814</v>
      </c>
      <c r="Q1451" s="10" t="s">
        <v>6396</v>
      </c>
      <c r="R1451" s="10" t="s">
        <v>6397</v>
      </c>
      <c r="S1451" s="11" t="s">
        <v>6398</v>
      </c>
      <c r="T1451" s="13"/>
      <c r="U1451" s="18" t="str">
        <f>HYPERLINK("https://pbs.twimg.com/profile_images/910077383839019008/kK4996Qm.jpg","View")</f>
        <v>View</v>
      </c>
      <c r="V1451" s="13"/>
      <c r="W1451" s="13"/>
      <c r="X1451" s="13"/>
      <c r="Y1451" s="13"/>
      <c r="Z1451" s="13"/>
    </row>
    <row r="1452">
      <c r="A1452" s="8">
        <v>43848.40478009259</v>
      </c>
      <c r="B1452" s="9" t="str">
        <f>HYPERLINK("https://twitter.com/HilaryJHendel","@HilaryJHendel")</f>
        <v>@HilaryJHendel</v>
      </c>
      <c r="C1452" s="10" t="s">
        <v>6399</v>
      </c>
      <c r="D1452" s="10" t="s">
        <v>6400</v>
      </c>
      <c r="E1452" s="9" t="str">
        <f>HYPERLINK("https://twitter.com/HilaryJHendel/status/1218544290772738050","1218544290772738050")</f>
        <v>1218544290772738050</v>
      </c>
      <c r="F1452" s="11" t="s">
        <v>6401</v>
      </c>
      <c r="G1452" s="13"/>
      <c r="H1452" s="13"/>
      <c r="I1452" s="14">
        <v>5.0</v>
      </c>
      <c r="J1452" s="14">
        <v>15.0</v>
      </c>
      <c r="K1452" s="9" t="str">
        <f t="shared" ref="K1452:K1454" si="170">HYPERLINK("http://twitter.com/download/iphone","Twitter for iPhone")</f>
        <v>Twitter for iPhone</v>
      </c>
      <c r="L1452" s="15">
        <v>8676.0</v>
      </c>
      <c r="M1452" s="15">
        <v>4528.0</v>
      </c>
      <c r="N1452" s="15">
        <v>526.0</v>
      </c>
      <c r="O1452" s="16"/>
      <c r="P1452" s="17">
        <v>42251.395104166666</v>
      </c>
      <c r="Q1452" s="10" t="s">
        <v>261</v>
      </c>
      <c r="R1452" s="10" t="s">
        <v>6402</v>
      </c>
      <c r="S1452" s="11" t="s">
        <v>6403</v>
      </c>
      <c r="T1452" s="13"/>
      <c r="U1452" s="18" t="str">
        <f>HYPERLINK("https://pbs.twimg.com/profile_images/720686064436965377/O2ECk3lR.jpg","View")</f>
        <v>View</v>
      </c>
      <c r="V1452" s="13"/>
      <c r="W1452" s="13"/>
      <c r="X1452" s="13"/>
      <c r="Y1452" s="13"/>
      <c r="Z1452" s="13"/>
    </row>
    <row r="1453">
      <c r="A1453" s="8">
        <v>43848.404710648145</v>
      </c>
      <c r="B1453" s="9" t="str">
        <f>HYPERLINK("https://twitter.com/mentalhealth57","@mentalhealth57")</f>
        <v>@mentalhealth57</v>
      </c>
      <c r="C1453" s="10" t="s">
        <v>795</v>
      </c>
      <c r="D1453" s="10" t="s">
        <v>6404</v>
      </c>
      <c r="E1453" s="9" t="str">
        <f>HYPERLINK("https://twitter.com/mentalhealth57/status/1218544266236059654","1218544266236059654")</f>
        <v>1218544266236059654</v>
      </c>
      <c r="F1453" s="13"/>
      <c r="G1453" s="13"/>
      <c r="H1453" s="13"/>
      <c r="I1453" s="14">
        <v>5.0</v>
      </c>
      <c r="J1453" s="14">
        <v>14.0</v>
      </c>
      <c r="K1453" s="9" t="str">
        <f t="shared" si="170"/>
        <v>Twitter for iPhone</v>
      </c>
      <c r="L1453" s="15">
        <v>574.0</v>
      </c>
      <c r="M1453" s="15">
        <v>662.0</v>
      </c>
      <c r="N1453" s="15">
        <v>1.0</v>
      </c>
      <c r="O1453" s="16"/>
      <c r="P1453" s="17">
        <v>43778.54798611111</v>
      </c>
      <c r="Q1453" s="13"/>
      <c r="R1453" s="10" t="s">
        <v>798</v>
      </c>
      <c r="S1453" s="13"/>
      <c r="T1453" s="13"/>
      <c r="U1453" s="18" t="str">
        <f>HYPERLINK("https://pbs.twimg.com/profile_images/1206581434682630144/yJrWPoVb.jpg","View")</f>
        <v>View</v>
      </c>
      <c r="V1453" s="13"/>
      <c r="W1453" s="13"/>
      <c r="X1453" s="13"/>
      <c r="Y1453" s="13"/>
      <c r="Z1453" s="13"/>
    </row>
    <row r="1454">
      <c r="A1454" s="8">
        <v>43848.40439814815</v>
      </c>
      <c r="B1454" s="9" t="str">
        <f>HYPERLINK("https://twitter.com/joframsa","@joframsa")</f>
        <v>@joframsa</v>
      </c>
      <c r="C1454" s="10" t="s">
        <v>6405</v>
      </c>
      <c r="D1454" s="10" t="s">
        <v>238</v>
      </c>
      <c r="E1454" s="9" t="str">
        <f>HYPERLINK("https://twitter.com/joframsa/status/1218544152264216576","1218544152264216576")</f>
        <v>1218544152264216576</v>
      </c>
      <c r="F1454" s="13"/>
      <c r="G1454" s="13"/>
      <c r="H1454" s="13"/>
      <c r="I1454" s="14">
        <v>0.0</v>
      </c>
      <c r="J1454" s="14">
        <v>0.0</v>
      </c>
      <c r="K1454" s="9" t="str">
        <f t="shared" si="170"/>
        <v>Twitter for iPhone</v>
      </c>
      <c r="L1454" s="15">
        <v>960.0</v>
      </c>
      <c r="M1454" s="15">
        <v>1778.0</v>
      </c>
      <c r="N1454" s="15">
        <v>9.0</v>
      </c>
      <c r="O1454" s="16"/>
      <c r="P1454" s="17">
        <v>39860.31423611111</v>
      </c>
      <c r="Q1454" s="10" t="s">
        <v>6406</v>
      </c>
      <c r="R1454" s="10" t="s">
        <v>6407</v>
      </c>
      <c r="S1454" s="11" t="s">
        <v>6408</v>
      </c>
      <c r="T1454" s="13"/>
      <c r="U1454" s="18" t="str">
        <f>HYPERLINK("https://pbs.twimg.com/profile_images/1177233084175060992/xVStrP7o.jpg","View")</f>
        <v>View</v>
      </c>
      <c r="V1454" s="13"/>
      <c r="W1454" s="13"/>
      <c r="X1454" s="13"/>
      <c r="Y1454" s="13"/>
      <c r="Z1454" s="13"/>
    </row>
    <row r="1455">
      <c r="A1455" s="8">
        <v>43848.40436342593</v>
      </c>
      <c r="B1455" s="9" t="str">
        <f>HYPERLINK("https://twitter.com/DrTinarae","@DrTinarae")</f>
        <v>@DrTinarae</v>
      </c>
      <c r="C1455" s="10" t="s">
        <v>5644</v>
      </c>
      <c r="D1455" s="10" t="s">
        <v>6409</v>
      </c>
      <c r="E1455" s="9" t="str">
        <f>HYPERLINK("https://twitter.com/DrTinarae/status/1218544143078711297","1218544143078711297")</f>
        <v>1218544143078711297</v>
      </c>
      <c r="F1455" s="11" t="s">
        <v>6410</v>
      </c>
      <c r="G1455" s="13"/>
      <c r="H1455" s="13"/>
      <c r="I1455" s="14">
        <v>3.0</v>
      </c>
      <c r="J1455" s="14">
        <v>3.0</v>
      </c>
      <c r="K1455" s="9" t="str">
        <f t="shared" ref="K1455:K1457" si="171">HYPERLINK("http://twitter.com/download/android","Twitter for Android")</f>
        <v>Twitter for Android</v>
      </c>
      <c r="L1455" s="15">
        <v>1204.0</v>
      </c>
      <c r="M1455" s="15">
        <v>982.0</v>
      </c>
      <c r="N1455" s="15">
        <v>3.0</v>
      </c>
      <c r="O1455" s="16"/>
      <c r="P1455" s="17">
        <v>42677.485555555555</v>
      </c>
      <c r="Q1455" s="10" t="s">
        <v>5648</v>
      </c>
      <c r="R1455" s="10" t="s">
        <v>5649</v>
      </c>
      <c r="S1455" s="13"/>
      <c r="T1455" s="13"/>
      <c r="U1455" s="18" t="str">
        <f>HYPERLINK("https://pbs.twimg.com/profile_images/1180837876889726977/p7Tifm1P.jpg","View")</f>
        <v>View</v>
      </c>
      <c r="V1455" s="13"/>
      <c r="W1455" s="13"/>
      <c r="X1455" s="13"/>
      <c r="Y1455" s="13"/>
      <c r="Z1455" s="13"/>
    </row>
    <row r="1456">
      <c r="A1456" s="8">
        <v>43848.40378472222</v>
      </c>
      <c r="B1456" s="9" t="str">
        <f>HYPERLINK("https://twitter.com/DevashishMeshr1","@DevashishMeshr1")</f>
        <v>@DevashishMeshr1</v>
      </c>
      <c r="C1456" s="10" t="s">
        <v>6411</v>
      </c>
      <c r="D1456" s="10" t="s">
        <v>238</v>
      </c>
      <c r="E1456" s="9" t="str">
        <f>HYPERLINK("https://twitter.com/DevashishMeshr1/status/1218543929957601281","1218543929957601281")</f>
        <v>1218543929957601281</v>
      </c>
      <c r="F1456" s="13"/>
      <c r="G1456" s="13"/>
      <c r="H1456" s="13"/>
      <c r="I1456" s="14">
        <v>0.0</v>
      </c>
      <c r="J1456" s="14">
        <v>1.0</v>
      </c>
      <c r="K1456" s="9" t="str">
        <f t="shared" si="171"/>
        <v>Twitter for Android</v>
      </c>
      <c r="L1456" s="15">
        <v>5.0</v>
      </c>
      <c r="M1456" s="15">
        <v>27.0</v>
      </c>
      <c r="N1456" s="15">
        <v>0.0</v>
      </c>
      <c r="O1456" s="16"/>
      <c r="P1456" s="17">
        <v>43085.006643518514</v>
      </c>
      <c r="Q1456" s="10" t="s">
        <v>6412</v>
      </c>
      <c r="R1456" s="10" t="s">
        <v>6413</v>
      </c>
      <c r="S1456" s="13"/>
      <c r="T1456" s="13"/>
      <c r="U1456" s="18" t="str">
        <f>HYPERLINK("https://pbs.twimg.com/profile_images/1209886929312858112/s-6Lt_-4.jpg","View")</f>
        <v>View</v>
      </c>
      <c r="V1456" s="13"/>
      <c r="W1456" s="13"/>
      <c r="X1456" s="13"/>
      <c r="Y1456" s="13"/>
      <c r="Z1456" s="13"/>
    </row>
    <row r="1457">
      <c r="A1457" s="8">
        <v>43848.40353009259</v>
      </c>
      <c r="B1457" s="9" t="str">
        <f>HYPERLINK("https://twitter.com/_Paul_Hill_","@_Paul_Hill_")</f>
        <v>@_Paul_Hill_</v>
      </c>
      <c r="C1457" s="10" t="s">
        <v>5037</v>
      </c>
      <c r="D1457" s="10" t="s">
        <v>6414</v>
      </c>
      <c r="E1457" s="9" t="str">
        <f>HYPERLINK("https://twitter.com/_Paul_Hill_/status/1218543841025769472","1218543841025769472")</f>
        <v>1218543841025769472</v>
      </c>
      <c r="F1457" s="13"/>
      <c r="G1457" s="11" t="s">
        <v>6415</v>
      </c>
      <c r="H1457" s="13"/>
      <c r="I1457" s="14">
        <v>6.0</v>
      </c>
      <c r="J1457" s="14">
        <v>59.0</v>
      </c>
      <c r="K1457" s="9" t="str">
        <f t="shared" si="171"/>
        <v>Twitter for Android</v>
      </c>
      <c r="L1457" s="15">
        <v>1526.0</v>
      </c>
      <c r="M1457" s="15">
        <v>1627.0</v>
      </c>
      <c r="N1457" s="15">
        <v>3.0</v>
      </c>
      <c r="O1457" s="16"/>
      <c r="P1457" s="17">
        <v>43743.73486111111</v>
      </c>
      <c r="Q1457" s="10" t="s">
        <v>3138</v>
      </c>
      <c r="R1457" s="10" t="s">
        <v>5040</v>
      </c>
      <c r="S1457" s="13"/>
      <c r="T1457" s="13"/>
      <c r="U1457" s="18" t="str">
        <f>HYPERLINK("https://pbs.twimg.com/profile_images/1216313941162364929/IJwqd_Fi.jpg","View")</f>
        <v>View</v>
      </c>
      <c r="V1457" s="13"/>
      <c r="W1457" s="13"/>
      <c r="X1457" s="13"/>
      <c r="Y1457" s="13"/>
      <c r="Z1457" s="13"/>
    </row>
    <row r="1458">
      <c r="A1458" s="8">
        <v>43848.40342592592</v>
      </c>
      <c r="B1458" s="9" t="str">
        <f>HYPERLINK("https://twitter.com/FSmithCPsy","@FSmithCPsy")</f>
        <v>@FSmithCPsy</v>
      </c>
      <c r="C1458" s="10" t="s">
        <v>6416</v>
      </c>
      <c r="D1458" s="10" t="s">
        <v>6417</v>
      </c>
      <c r="E1458" s="9" t="str">
        <f>HYPERLINK("https://twitter.com/FSmithCPsy/status/1218543803495112705","1218543803495112705")</f>
        <v>1218543803495112705</v>
      </c>
      <c r="F1458" s="11" t="s">
        <v>6418</v>
      </c>
      <c r="G1458" s="13"/>
      <c r="H1458" s="13"/>
      <c r="I1458" s="14">
        <v>1.0</v>
      </c>
      <c r="J1458" s="14">
        <v>1.0</v>
      </c>
      <c r="K1458" s="9" t="str">
        <f t="shared" ref="K1458:K1459" si="172">HYPERLINK("http://twitter.com/download/iphone","Twitter for iPhone")</f>
        <v>Twitter for iPhone</v>
      </c>
      <c r="L1458" s="15">
        <v>1512.0</v>
      </c>
      <c r="M1458" s="15">
        <v>282.0</v>
      </c>
      <c r="N1458" s="15">
        <v>12.0</v>
      </c>
      <c r="O1458" s="16"/>
      <c r="P1458" s="17">
        <v>42162.68383101852</v>
      </c>
      <c r="Q1458" s="10" t="s">
        <v>1840</v>
      </c>
      <c r="R1458" s="10" t="s">
        <v>6419</v>
      </c>
      <c r="S1458" s="11" t="s">
        <v>6420</v>
      </c>
      <c r="T1458" s="13"/>
      <c r="U1458" s="18" t="str">
        <f>HYPERLINK("https://pbs.twimg.com/profile_images/1164130683280904192/pA021XHE.jpg","View")</f>
        <v>View</v>
      </c>
      <c r="V1458" s="13"/>
      <c r="W1458" s="13"/>
      <c r="X1458" s="13"/>
      <c r="Y1458" s="13"/>
      <c r="Z1458" s="13"/>
    </row>
    <row r="1459">
      <c r="A1459" s="8">
        <v>43848.403333333335</v>
      </c>
      <c r="B1459" s="9" t="str">
        <f>HYPERLINK("https://twitter.com/_getpsyched_","@_getpsyched_")</f>
        <v>@_getpsyched_</v>
      </c>
      <c r="C1459" s="10" t="s">
        <v>6421</v>
      </c>
      <c r="D1459" s="10" t="s">
        <v>6417</v>
      </c>
      <c r="E1459" s="9" t="str">
        <f>HYPERLINK("https://twitter.com/_getpsyched_/status/1218543769714335745","1218543769714335745")</f>
        <v>1218543769714335745</v>
      </c>
      <c r="F1459" s="11" t="s">
        <v>6418</v>
      </c>
      <c r="G1459" s="13"/>
      <c r="H1459" s="13"/>
      <c r="I1459" s="14">
        <v>0.0</v>
      </c>
      <c r="J1459" s="14">
        <v>1.0</v>
      </c>
      <c r="K1459" s="9" t="str">
        <f t="shared" si="172"/>
        <v>Twitter for iPhone</v>
      </c>
      <c r="L1459" s="15">
        <v>1165.0</v>
      </c>
      <c r="M1459" s="15">
        <v>341.0</v>
      </c>
      <c r="N1459" s="15">
        <v>5.0</v>
      </c>
      <c r="O1459" s="16"/>
      <c r="P1459" s="17">
        <v>43353.436307870375</v>
      </c>
      <c r="Q1459" s="10" t="s">
        <v>1840</v>
      </c>
      <c r="R1459" s="10" t="s">
        <v>6422</v>
      </c>
      <c r="S1459" s="11" t="s">
        <v>6423</v>
      </c>
      <c r="T1459" s="13"/>
      <c r="U1459" s="18" t="str">
        <f>HYPERLINK("https://pbs.twimg.com/profile_images/1039159805120835584/iMP-doXE.jpg","View")</f>
        <v>View</v>
      </c>
      <c r="V1459" s="13"/>
      <c r="W1459" s="13"/>
      <c r="X1459" s="13"/>
      <c r="Y1459" s="13"/>
      <c r="Z1459" s="13"/>
    </row>
    <row r="1460">
      <c r="A1460" s="8">
        <v>43848.40311342593</v>
      </c>
      <c r="B1460" s="9" t="str">
        <f>HYPERLINK("https://twitter.com/nyaliCWHospital","@nyaliCWHospital")</f>
        <v>@nyaliCWHospital</v>
      </c>
      <c r="C1460" s="10" t="s">
        <v>6424</v>
      </c>
      <c r="D1460" s="10" t="s">
        <v>6425</v>
      </c>
      <c r="E1460" s="9" t="str">
        <f>HYPERLINK("https://twitter.com/nyaliCWHospital/status/1218543688181260288","1218543688181260288")</f>
        <v>1218543688181260288</v>
      </c>
      <c r="F1460" s="13"/>
      <c r="G1460" s="13"/>
      <c r="H1460" s="13"/>
      <c r="I1460" s="14">
        <v>2.0</v>
      </c>
      <c r="J1460" s="14">
        <v>3.0</v>
      </c>
      <c r="K1460" s="9" t="str">
        <f>HYPERLINK("https://mobile.twitter.com","Twitter Web App")</f>
        <v>Twitter Web App</v>
      </c>
      <c r="L1460" s="15">
        <v>31.0</v>
      </c>
      <c r="M1460" s="15">
        <v>67.0</v>
      </c>
      <c r="N1460" s="15">
        <v>0.0</v>
      </c>
      <c r="O1460" s="16"/>
      <c r="P1460" s="17">
        <v>43534.286203703705</v>
      </c>
      <c r="Q1460" s="10" t="s">
        <v>6426</v>
      </c>
      <c r="R1460" s="10" t="s">
        <v>6427</v>
      </c>
      <c r="S1460" s="11" t="s">
        <v>6428</v>
      </c>
      <c r="T1460" s="13"/>
      <c r="U1460" s="18" t="str">
        <f>HYPERLINK("https://pbs.twimg.com/profile_images/1110898733112266753/d3oi3W9B.jpg","View")</f>
        <v>View</v>
      </c>
      <c r="V1460" s="13"/>
      <c r="W1460" s="13"/>
      <c r="X1460" s="13"/>
      <c r="Y1460" s="13"/>
      <c r="Z1460" s="13"/>
    </row>
    <row r="1461">
      <c r="A1461" s="8">
        <v>43848.40283564814</v>
      </c>
      <c r="B1461" s="9" t="str">
        <f>HYPERLINK("https://twitter.com/djemal_ua","@djemal_ua")</f>
        <v>@djemal_ua</v>
      </c>
      <c r="C1461" s="10" t="s">
        <v>1161</v>
      </c>
      <c r="D1461" s="10" t="s">
        <v>6429</v>
      </c>
      <c r="E1461" s="9" t="str">
        <f>HYPERLINK("https://twitter.com/djemal_ua/status/1218543588621135872","1218543588621135872")</f>
        <v>1218543588621135872</v>
      </c>
      <c r="F1461" s="11" t="s">
        <v>6430</v>
      </c>
      <c r="G1461" s="13"/>
      <c r="H1461" s="13"/>
      <c r="I1461" s="14">
        <v>0.0</v>
      </c>
      <c r="J1461" s="14">
        <v>1.0</v>
      </c>
      <c r="K1461" s="9" t="str">
        <f>HYPERLINK("https://www.hootsuite.com","Hootsuite Inc.")</f>
        <v>Hootsuite Inc.</v>
      </c>
      <c r="L1461" s="15">
        <v>5127.0</v>
      </c>
      <c r="M1461" s="15">
        <v>4724.0</v>
      </c>
      <c r="N1461" s="15">
        <v>60.0</v>
      </c>
      <c r="O1461" s="16"/>
      <c r="P1461" s="17">
        <v>43530.25729166667</v>
      </c>
      <c r="Q1461" s="10" t="s">
        <v>95</v>
      </c>
      <c r="R1461" s="10" t="s">
        <v>1164</v>
      </c>
      <c r="S1461" s="11" t="s">
        <v>1165</v>
      </c>
      <c r="T1461" s="13"/>
      <c r="U1461" s="18" t="str">
        <f>HYPERLINK("https://pbs.twimg.com/profile_images/1202978381106761728/aqUhVSTO.jpg","View")</f>
        <v>View</v>
      </c>
      <c r="V1461" s="13"/>
      <c r="W1461" s="13"/>
      <c r="X1461" s="13"/>
      <c r="Y1461" s="13"/>
      <c r="Z1461" s="13"/>
    </row>
    <row r="1462">
      <c r="A1462" s="8">
        <v>43848.40280092593</v>
      </c>
      <c r="B1462" s="9" t="str">
        <f>HYPERLINK("https://twitter.com/ecampusnews","@ecampusnews")</f>
        <v>@ecampusnews</v>
      </c>
      <c r="C1462" s="10" t="s">
        <v>6431</v>
      </c>
      <c r="D1462" s="10" t="s">
        <v>6432</v>
      </c>
      <c r="E1462" s="9" t="str">
        <f>HYPERLINK("https://twitter.com/ecampusnews/status/1218543574540869635","1218543574540869635")</f>
        <v>1218543574540869635</v>
      </c>
      <c r="F1462" s="11" t="s">
        <v>6433</v>
      </c>
      <c r="G1462" s="11" t="s">
        <v>6434</v>
      </c>
      <c r="H1462" s="13"/>
      <c r="I1462" s="14">
        <v>0.0</v>
      </c>
      <c r="J1462" s="14">
        <v>2.0</v>
      </c>
      <c r="K1462" s="9" t="str">
        <f>HYPERLINK("https://buffer.com","Buffer")</f>
        <v>Buffer</v>
      </c>
      <c r="L1462" s="15">
        <v>11062.0</v>
      </c>
      <c r="M1462" s="15">
        <v>1533.0</v>
      </c>
      <c r="N1462" s="15">
        <v>917.0</v>
      </c>
      <c r="O1462" s="16"/>
      <c r="P1462" s="17">
        <v>39899.66297453704</v>
      </c>
      <c r="Q1462" s="10" t="s">
        <v>6435</v>
      </c>
      <c r="R1462" s="10" t="s">
        <v>6436</v>
      </c>
      <c r="S1462" s="11" t="s">
        <v>6437</v>
      </c>
      <c r="T1462" s="13"/>
      <c r="U1462" s="18" t="str">
        <f>HYPERLINK("https://pbs.twimg.com/profile_images/1088213930118443009/i3iU-E0d.jpg","View")</f>
        <v>View</v>
      </c>
      <c r="V1462" s="13"/>
      <c r="W1462" s="13"/>
      <c r="X1462" s="13"/>
      <c r="Y1462" s="13"/>
      <c r="Z1462" s="13"/>
    </row>
    <row r="1463">
      <c r="A1463" s="8">
        <v>43848.40269675926</v>
      </c>
      <c r="B1463" s="9" t="str">
        <f>HYPERLINK("https://twitter.com/toyin_isujeh","@toyin_isujeh")</f>
        <v>@toyin_isujeh</v>
      </c>
      <c r="C1463" s="10" t="s">
        <v>6438</v>
      </c>
      <c r="D1463" s="10" t="s">
        <v>238</v>
      </c>
      <c r="E1463" s="9" t="str">
        <f>HYPERLINK("https://twitter.com/toyin_isujeh/status/1218543536020369408","1218543536020369408")</f>
        <v>1218543536020369408</v>
      </c>
      <c r="F1463" s="13"/>
      <c r="G1463" s="13"/>
      <c r="H1463" s="13"/>
      <c r="I1463" s="14">
        <v>0.0</v>
      </c>
      <c r="J1463" s="14">
        <v>0.0</v>
      </c>
      <c r="K1463" s="9" t="str">
        <f t="shared" ref="K1463:K1464" si="173">HYPERLINK("http://twitter.com/download/android","Twitter for Android")</f>
        <v>Twitter for Android</v>
      </c>
      <c r="L1463" s="15">
        <v>284.0</v>
      </c>
      <c r="M1463" s="15">
        <v>580.0</v>
      </c>
      <c r="N1463" s="15">
        <v>1.0</v>
      </c>
      <c r="O1463" s="16"/>
      <c r="P1463" s="17">
        <v>40493.45469907408</v>
      </c>
      <c r="Q1463" s="13"/>
      <c r="R1463" s="13"/>
      <c r="S1463" s="13"/>
      <c r="T1463" s="13"/>
      <c r="U1463" s="18" t="str">
        <f>HYPERLINK("https://pbs.twimg.com/profile_images/1169658391939244033/mGiAjCsF.jpg","View")</f>
        <v>View</v>
      </c>
      <c r="V1463" s="13"/>
      <c r="W1463" s="13"/>
      <c r="X1463" s="13"/>
      <c r="Y1463" s="13"/>
      <c r="Z1463" s="13"/>
    </row>
    <row r="1464">
      <c r="A1464" s="8">
        <v>43848.402442129634</v>
      </c>
      <c r="B1464" s="9" t="str">
        <f>HYPERLINK("https://twitter.com/HappyHeadsMH","@HappyHeadsMH")</f>
        <v>@HappyHeadsMH</v>
      </c>
      <c r="C1464" s="10" t="s">
        <v>6439</v>
      </c>
      <c r="D1464" s="10" t="s">
        <v>6440</v>
      </c>
      <c r="E1464" s="9" t="str">
        <f>HYPERLINK("https://twitter.com/HappyHeadsMH/status/1218543444639068160","1218543444639068160")</f>
        <v>1218543444639068160</v>
      </c>
      <c r="F1464" s="13"/>
      <c r="G1464" s="11" t="s">
        <v>5675</v>
      </c>
      <c r="H1464" s="13"/>
      <c r="I1464" s="14">
        <v>4.0</v>
      </c>
      <c r="J1464" s="14">
        <v>5.0</v>
      </c>
      <c r="K1464" s="9" t="str">
        <f t="shared" si="173"/>
        <v>Twitter for Android</v>
      </c>
      <c r="L1464" s="15">
        <v>109.0</v>
      </c>
      <c r="M1464" s="15">
        <v>156.0</v>
      </c>
      <c r="N1464" s="15">
        <v>1.0</v>
      </c>
      <c r="O1464" s="16"/>
      <c r="P1464" s="17">
        <v>43202.733449074076</v>
      </c>
      <c r="Q1464" s="10" t="s">
        <v>95</v>
      </c>
      <c r="R1464" s="10" t="s">
        <v>6441</v>
      </c>
      <c r="S1464" s="11" t="s">
        <v>6442</v>
      </c>
      <c r="T1464" s="13"/>
      <c r="U1464" s="18" t="str">
        <f>HYPERLINK("https://pbs.twimg.com/profile_images/988509024940380160/YMvMh0C5.jpg","View")</f>
        <v>View</v>
      </c>
      <c r="V1464" s="13"/>
      <c r="W1464" s="13"/>
      <c r="X1464" s="13"/>
      <c r="Y1464" s="13"/>
      <c r="Z1464" s="13"/>
    </row>
    <row r="1465">
      <c r="A1465" s="8">
        <v>43848.4021875</v>
      </c>
      <c r="B1465" s="9" t="str">
        <f>HYPERLINK("https://twitter.com/viveksharma964","@viveksharma964")</f>
        <v>@viveksharma964</v>
      </c>
      <c r="C1465" s="10" t="s">
        <v>6443</v>
      </c>
      <c r="D1465" s="10" t="s">
        <v>6444</v>
      </c>
      <c r="E1465" s="9" t="str">
        <f>HYPERLINK("https://twitter.com/viveksharma964/status/1218543353727311872","1218543353727311872")</f>
        <v>1218543353727311872</v>
      </c>
      <c r="F1465" s="13"/>
      <c r="G1465" s="11" t="s">
        <v>6445</v>
      </c>
      <c r="H1465" s="13"/>
      <c r="I1465" s="14">
        <v>1.0</v>
      </c>
      <c r="J1465" s="14">
        <v>2.0</v>
      </c>
      <c r="K1465" s="9" t="str">
        <f>HYPERLINK("https://mobile.twitter.com","Twitter Web App")</f>
        <v>Twitter Web App</v>
      </c>
      <c r="L1465" s="15">
        <v>22.0</v>
      </c>
      <c r="M1465" s="15">
        <v>65.0</v>
      </c>
      <c r="N1465" s="15">
        <v>0.0</v>
      </c>
      <c r="O1465" s="16"/>
      <c r="P1465" s="17">
        <v>40287.527662037035</v>
      </c>
      <c r="Q1465" s="10" t="s">
        <v>6446</v>
      </c>
      <c r="R1465" s="10" t="s">
        <v>6447</v>
      </c>
      <c r="S1465" s="11" t="s">
        <v>6448</v>
      </c>
      <c r="T1465" s="13"/>
      <c r="U1465" s="18" t="str">
        <f>HYPERLINK("https://pbs.twimg.com/profile_images/1082677473568083973/mFcr2NPB.jpg","View")</f>
        <v>View</v>
      </c>
      <c r="V1465" s="13"/>
      <c r="W1465" s="13"/>
      <c r="X1465" s="13"/>
      <c r="Y1465" s="13"/>
      <c r="Z1465" s="13"/>
    </row>
    <row r="1466">
      <c r="A1466" s="8">
        <v>43848.40207175926</v>
      </c>
      <c r="B1466" s="9" t="str">
        <f>HYPERLINK("https://twitter.com/HilaryJHendel","@HilaryJHendel")</f>
        <v>@HilaryJHendel</v>
      </c>
      <c r="C1466" s="10" t="s">
        <v>6399</v>
      </c>
      <c r="D1466" s="10" t="s">
        <v>6449</v>
      </c>
      <c r="E1466" s="9" t="str">
        <f>HYPERLINK("https://twitter.com/HilaryJHendel/status/1218543311767687168","1218543311767687168")</f>
        <v>1218543311767687168</v>
      </c>
      <c r="F1466" s="11" t="s">
        <v>6450</v>
      </c>
      <c r="G1466" s="13"/>
      <c r="H1466" s="13"/>
      <c r="I1466" s="14">
        <v>2.0</v>
      </c>
      <c r="J1466" s="14">
        <v>3.0</v>
      </c>
      <c r="K1466" s="9" t="str">
        <f>HYPERLINK("http://twitter.com/download/iphone","Twitter for iPhone")</f>
        <v>Twitter for iPhone</v>
      </c>
      <c r="L1466" s="15">
        <v>8676.0</v>
      </c>
      <c r="M1466" s="15">
        <v>4528.0</v>
      </c>
      <c r="N1466" s="15">
        <v>526.0</v>
      </c>
      <c r="O1466" s="16"/>
      <c r="P1466" s="17">
        <v>42251.395104166666</v>
      </c>
      <c r="Q1466" s="10" t="s">
        <v>261</v>
      </c>
      <c r="R1466" s="10" t="s">
        <v>6402</v>
      </c>
      <c r="S1466" s="11" t="s">
        <v>6403</v>
      </c>
      <c r="T1466" s="13"/>
      <c r="U1466" s="18" t="str">
        <f>HYPERLINK("https://pbs.twimg.com/profile_images/720686064436965377/O2ECk3lR.jpg","View")</f>
        <v>View</v>
      </c>
      <c r="V1466" s="13"/>
      <c r="W1466" s="13"/>
      <c r="X1466" s="13"/>
      <c r="Y1466" s="13"/>
      <c r="Z1466" s="13"/>
    </row>
    <row r="1467">
      <c r="A1467" s="8">
        <v>43848.400972222225</v>
      </c>
      <c r="B1467" s="9" t="str">
        <f>HYPERLINK("https://twitter.com/RFQuis","@RFQuis")</f>
        <v>@RFQuis</v>
      </c>
      <c r="C1467" s="10" t="s">
        <v>6451</v>
      </c>
      <c r="D1467" s="10" t="s">
        <v>6452</v>
      </c>
      <c r="E1467" s="9" t="str">
        <f>HYPERLINK("https://twitter.com/RFQuis/status/1218542910716596224","1218542910716596224")</f>
        <v>1218542910716596224</v>
      </c>
      <c r="F1467" s="11" t="s">
        <v>6453</v>
      </c>
      <c r="G1467" s="13"/>
      <c r="H1467" s="13"/>
      <c r="I1467" s="14">
        <v>0.0</v>
      </c>
      <c r="J1467" s="14">
        <v>0.0</v>
      </c>
      <c r="K1467" s="9" t="str">
        <f>HYPERLINK("https://mobile.twitter.com","Twitter Web App")</f>
        <v>Twitter Web App</v>
      </c>
      <c r="L1467" s="15">
        <v>357.0</v>
      </c>
      <c r="M1467" s="15">
        <v>404.0</v>
      </c>
      <c r="N1467" s="15">
        <v>197.0</v>
      </c>
      <c r="O1467" s="16"/>
      <c r="P1467" s="17">
        <v>40925.63665509259</v>
      </c>
      <c r="Q1467" s="10" t="s">
        <v>6454</v>
      </c>
      <c r="R1467" s="10" t="s">
        <v>6455</v>
      </c>
      <c r="S1467" s="11" t="s">
        <v>6456</v>
      </c>
      <c r="T1467" s="13"/>
      <c r="U1467" s="18" t="str">
        <f>HYPERLINK("https://pbs.twimg.com/profile_images/2453616059/i3bps4x85mounmcujxwp.jpeg","View")</f>
        <v>View</v>
      </c>
      <c r="V1467" s="13"/>
      <c r="W1467" s="13"/>
      <c r="X1467" s="13"/>
      <c r="Y1467" s="13"/>
      <c r="Z1467" s="13"/>
    </row>
    <row r="1468">
      <c r="A1468" s="8">
        <v>43848.400775462964</v>
      </c>
      <c r="B1468" s="9" t="str">
        <f>HYPERLINK("https://twitter.com/ShaunGVos","@ShaunGVos")</f>
        <v>@ShaunGVos</v>
      </c>
      <c r="C1468" s="10" t="s">
        <v>6457</v>
      </c>
      <c r="D1468" s="10" t="s">
        <v>6458</v>
      </c>
      <c r="E1468" s="9" t="str">
        <f>HYPERLINK("https://twitter.com/ShaunGVos/status/1218542841288413185","1218542841288413185")</f>
        <v>1218542841288413185</v>
      </c>
      <c r="F1468" s="13"/>
      <c r="G1468" s="13"/>
      <c r="H1468" s="13"/>
      <c r="I1468" s="14">
        <v>0.0</v>
      </c>
      <c r="J1468" s="14">
        <v>0.0</v>
      </c>
      <c r="K1468" s="9" t="str">
        <f>HYPERLINK("http://twitter.com/download/android","Twitter for Android")</f>
        <v>Twitter for Android</v>
      </c>
      <c r="L1468" s="15">
        <v>672.0</v>
      </c>
      <c r="M1468" s="15">
        <v>607.0</v>
      </c>
      <c r="N1468" s="15">
        <v>1.0</v>
      </c>
      <c r="O1468" s="16"/>
      <c r="P1468" s="17">
        <v>40196.02667824074</v>
      </c>
      <c r="Q1468" s="10" t="s">
        <v>6459</v>
      </c>
      <c r="R1468" s="10" t="s">
        <v>6460</v>
      </c>
      <c r="S1468" s="11" t="s">
        <v>6461</v>
      </c>
      <c r="T1468" s="13"/>
      <c r="U1468" s="18" t="str">
        <f>HYPERLINK("https://pbs.twimg.com/profile_images/1201223563887468549/eujvB_0_.jpg","View")</f>
        <v>View</v>
      </c>
      <c r="V1468" s="13"/>
      <c r="W1468" s="13"/>
      <c r="X1468" s="13"/>
      <c r="Y1468" s="13"/>
      <c r="Z1468" s="13"/>
    </row>
    <row r="1469">
      <c r="A1469" s="8">
        <v>43848.400555555556</v>
      </c>
      <c r="B1469" s="9" t="str">
        <f>HYPERLINK("https://twitter.com/ConnerStrong27","@ConnerStrong27")</f>
        <v>@ConnerStrong27</v>
      </c>
      <c r="C1469" s="10" t="s">
        <v>3912</v>
      </c>
      <c r="D1469" s="10" t="s">
        <v>6462</v>
      </c>
      <c r="E1469" s="9" t="str">
        <f>HYPERLINK("https://twitter.com/ConnerStrong27/status/1218542763366666241","1218542763366666241")</f>
        <v>1218542763366666241</v>
      </c>
      <c r="F1469" s="13"/>
      <c r="G1469" s="11" t="s">
        <v>6463</v>
      </c>
      <c r="H1469" s="13"/>
      <c r="I1469" s="14">
        <v>0.0</v>
      </c>
      <c r="J1469" s="14">
        <v>2.0</v>
      </c>
      <c r="K1469" s="9" t="str">
        <f t="shared" ref="K1469:K1472" si="174">HYPERLINK("http://twitter.com/download/iphone","Twitter for iPhone")</f>
        <v>Twitter for iPhone</v>
      </c>
      <c r="L1469" s="15">
        <v>9.0</v>
      </c>
      <c r="M1469" s="15">
        <v>21.0</v>
      </c>
      <c r="N1469" s="15">
        <v>0.0</v>
      </c>
      <c r="O1469" s="16"/>
      <c r="P1469" s="17">
        <v>43199.41302083334</v>
      </c>
      <c r="Q1469" s="10" t="s">
        <v>3915</v>
      </c>
      <c r="R1469" s="10" t="s">
        <v>3916</v>
      </c>
      <c r="S1469" s="11" t="s">
        <v>3917</v>
      </c>
      <c r="T1469" s="13"/>
      <c r="U1469" s="18" t="str">
        <f>HYPERLINK("https://pbs.twimg.com/profile_images/1197313578640068608/hZ5W-Zrn.jpg","View")</f>
        <v>View</v>
      </c>
      <c r="V1469" s="13"/>
      <c r="W1469" s="13"/>
      <c r="X1469" s="13"/>
      <c r="Y1469" s="13"/>
      <c r="Z1469" s="13"/>
    </row>
    <row r="1470">
      <c r="A1470" s="8">
        <v>43848.40047453703</v>
      </c>
      <c r="B1470" s="9" t="str">
        <f>HYPERLINK("https://twitter.com/Marine_ramdhani","@Marine_ramdhani")</f>
        <v>@Marine_ramdhani</v>
      </c>
      <c r="C1470" s="10" t="s">
        <v>6464</v>
      </c>
      <c r="D1470" s="10" t="s">
        <v>238</v>
      </c>
      <c r="E1470" s="9" t="str">
        <f>HYPERLINK("https://twitter.com/Marine_ramdhani/status/1218542733398171648","1218542733398171648")</f>
        <v>1218542733398171648</v>
      </c>
      <c r="F1470" s="13"/>
      <c r="G1470" s="13"/>
      <c r="H1470" s="13"/>
      <c r="I1470" s="14">
        <v>0.0</v>
      </c>
      <c r="J1470" s="14">
        <v>0.0</v>
      </c>
      <c r="K1470" s="9" t="str">
        <f t="shared" si="174"/>
        <v>Twitter for iPhone</v>
      </c>
      <c r="L1470" s="15">
        <v>3552.0</v>
      </c>
      <c r="M1470" s="15">
        <v>2351.0</v>
      </c>
      <c r="N1470" s="15">
        <v>23.0</v>
      </c>
      <c r="O1470" s="16"/>
      <c r="P1470" s="17">
        <v>40327.31743055556</v>
      </c>
      <c r="Q1470" s="10" t="s">
        <v>6465</v>
      </c>
      <c r="R1470" s="13"/>
      <c r="S1470" s="11" t="s">
        <v>6466</v>
      </c>
      <c r="T1470" s="13"/>
      <c r="U1470" s="18" t="str">
        <f>HYPERLINK("https://pbs.twimg.com/profile_images/1131358586196582400/yUMQdlU9.jpg","View")</f>
        <v>View</v>
      </c>
      <c r="V1470" s="13"/>
      <c r="W1470" s="13"/>
      <c r="X1470" s="13"/>
      <c r="Y1470" s="13"/>
      <c r="Z1470" s="13"/>
    </row>
    <row r="1471">
      <c r="A1471" s="8">
        <v>43848.400451388894</v>
      </c>
      <c r="B1471" s="9" t="str">
        <f>HYPERLINK("https://twitter.com/LydiaBrowne1","@LydiaBrowne1")</f>
        <v>@LydiaBrowne1</v>
      </c>
      <c r="C1471" s="10" t="s">
        <v>6467</v>
      </c>
      <c r="D1471" s="10" t="s">
        <v>6468</v>
      </c>
      <c r="E1471" s="9" t="str">
        <f>HYPERLINK("https://twitter.com/LydiaBrowne1/status/1218542724502228994","1218542724502228994")</f>
        <v>1218542724502228994</v>
      </c>
      <c r="F1471" s="13"/>
      <c r="G1471" s="13"/>
      <c r="H1471" s="13"/>
      <c r="I1471" s="14">
        <v>0.0</v>
      </c>
      <c r="J1471" s="14">
        <v>0.0</v>
      </c>
      <c r="K1471" s="9" t="str">
        <f t="shared" si="174"/>
        <v>Twitter for iPhone</v>
      </c>
      <c r="L1471" s="15">
        <v>33.0</v>
      </c>
      <c r="M1471" s="15">
        <v>58.0</v>
      </c>
      <c r="N1471" s="15">
        <v>1.0</v>
      </c>
      <c r="O1471" s="16"/>
      <c r="P1471" s="17">
        <v>40723.26395833334</v>
      </c>
      <c r="Q1471" s="10" t="s">
        <v>1225</v>
      </c>
      <c r="R1471" s="13"/>
      <c r="S1471" s="13"/>
      <c r="T1471" s="13"/>
      <c r="U1471" s="18" t="str">
        <f>HYPERLINK("https://pbs.twimg.com/profile_images/1202668472116895744/ryk-QXP8.jpg","View")</f>
        <v>View</v>
      </c>
      <c r="V1471" s="13"/>
      <c r="W1471" s="13"/>
      <c r="X1471" s="13"/>
      <c r="Y1471" s="13"/>
      <c r="Z1471" s="13"/>
    </row>
    <row r="1472">
      <c r="A1472" s="8">
        <v>43848.40033564815</v>
      </c>
      <c r="B1472" s="9" t="str">
        <f>HYPERLINK("https://twitter.com/ForeveRAllisonL","@ForeveRAllisonL")</f>
        <v>@ForeveRAllisonL</v>
      </c>
      <c r="C1472" s="10" t="s">
        <v>6269</v>
      </c>
      <c r="D1472" s="10" t="s">
        <v>6469</v>
      </c>
      <c r="E1472" s="9" t="str">
        <f>HYPERLINK("https://twitter.com/ForeveRAllisonL/status/1218542680764026880","1218542680764026880")</f>
        <v>1218542680764026880</v>
      </c>
      <c r="F1472" s="13"/>
      <c r="G1472" s="13"/>
      <c r="H1472" s="13"/>
      <c r="I1472" s="14">
        <v>0.0</v>
      </c>
      <c r="J1472" s="14">
        <v>4.0</v>
      </c>
      <c r="K1472" s="9" t="str">
        <f t="shared" si="174"/>
        <v>Twitter for iPhone</v>
      </c>
      <c r="L1472" s="15">
        <v>350.0</v>
      </c>
      <c r="M1472" s="15">
        <v>4786.0</v>
      </c>
      <c r="N1472" s="15">
        <v>1.0</v>
      </c>
      <c r="O1472" s="16"/>
      <c r="P1472" s="17">
        <v>43478.91179398148</v>
      </c>
      <c r="Q1472" s="10" t="s">
        <v>2050</v>
      </c>
      <c r="R1472" s="10" t="s">
        <v>6271</v>
      </c>
      <c r="S1472" s="13"/>
      <c r="T1472" s="13"/>
      <c r="U1472" s="18" t="str">
        <f>HYPERLINK("https://pbs.twimg.com/profile_images/1147704085455527936/wzzdK7qC.jpg","View")</f>
        <v>View</v>
      </c>
      <c r="V1472" s="13"/>
      <c r="W1472" s="13"/>
      <c r="X1472" s="13"/>
      <c r="Y1472" s="13"/>
      <c r="Z1472" s="13"/>
    </row>
    <row r="1473">
      <c r="A1473" s="8">
        <v>43848.40003472222</v>
      </c>
      <c r="B1473" s="9" t="str">
        <f>HYPERLINK("https://twitter.com/sammagill","@sammagill")</f>
        <v>@sammagill</v>
      </c>
      <c r="C1473" s="10" t="s">
        <v>6470</v>
      </c>
      <c r="D1473" s="10" t="s">
        <v>6471</v>
      </c>
      <c r="E1473" s="9" t="str">
        <f>HYPERLINK("https://twitter.com/sammagill/status/1218542572223770624","1218542572223770624")</f>
        <v>1218542572223770624</v>
      </c>
      <c r="F1473" s="13"/>
      <c r="G1473" s="11" t="s">
        <v>6472</v>
      </c>
      <c r="H1473" s="13"/>
      <c r="I1473" s="14">
        <v>2.0</v>
      </c>
      <c r="J1473" s="14">
        <v>9.0</v>
      </c>
      <c r="K1473" s="9" t="str">
        <f>HYPERLINK("https://mobile.twitter.com","Twitter Web App")</f>
        <v>Twitter Web App</v>
      </c>
      <c r="L1473" s="15">
        <v>264.0</v>
      </c>
      <c r="M1473" s="15">
        <v>361.0</v>
      </c>
      <c r="N1473" s="15">
        <v>5.0</v>
      </c>
      <c r="O1473" s="16"/>
      <c r="P1473" s="17">
        <v>39902.714270833334</v>
      </c>
      <c r="Q1473" s="10" t="s">
        <v>6473</v>
      </c>
      <c r="R1473" s="10" t="s">
        <v>6474</v>
      </c>
      <c r="S1473" s="13"/>
      <c r="T1473" s="13"/>
      <c r="U1473" s="18" t="str">
        <f>HYPERLINK("https://pbs.twimg.com/profile_images/748026594925633536/Yr0A_yxf.jpg","View")</f>
        <v>View</v>
      </c>
      <c r="V1473" s="13"/>
      <c r="W1473" s="13"/>
      <c r="X1473" s="13"/>
      <c r="Y1473" s="13"/>
      <c r="Z1473" s="13"/>
    </row>
    <row r="1474">
      <c r="A1474" s="8">
        <v>43848.40001157408</v>
      </c>
      <c r="B1474" s="9" t="str">
        <f>HYPERLINK("https://twitter.com/BobbiSue","@BobbiSue")</f>
        <v>@BobbiSue</v>
      </c>
      <c r="C1474" s="10" t="s">
        <v>6475</v>
      </c>
      <c r="D1474" s="10" t="s">
        <v>6476</v>
      </c>
      <c r="E1474" s="9" t="str">
        <f>HYPERLINK("https://twitter.com/BobbiSue/status/1218542566523785216","1218542566523785216")</f>
        <v>1218542566523785216</v>
      </c>
      <c r="F1474" s="11" t="s">
        <v>6477</v>
      </c>
      <c r="G1474" s="13"/>
      <c r="H1474" s="13"/>
      <c r="I1474" s="14">
        <v>1.0</v>
      </c>
      <c r="J1474" s="14">
        <v>7.0</v>
      </c>
      <c r="K1474" s="9" t="str">
        <f>HYPERLINK("http://twitter.com/download/iphone","Twitter for iPhone")</f>
        <v>Twitter for iPhone</v>
      </c>
      <c r="L1474" s="15">
        <v>1863.0</v>
      </c>
      <c r="M1474" s="15">
        <v>1536.0</v>
      </c>
      <c r="N1474" s="15">
        <v>107.0</v>
      </c>
      <c r="O1474" s="16"/>
      <c r="P1474" s="17">
        <v>39705.58263888889</v>
      </c>
      <c r="Q1474" s="10" t="s">
        <v>6478</v>
      </c>
      <c r="R1474" s="10" t="s">
        <v>6479</v>
      </c>
      <c r="S1474" s="13"/>
      <c r="T1474" s="13"/>
      <c r="U1474" s="18" t="str">
        <f>HYPERLINK("https://pbs.twimg.com/profile_images/1208232175411302400/35_A8DQP.jpg","View")</f>
        <v>View</v>
      </c>
      <c r="V1474" s="13"/>
      <c r="W1474" s="13"/>
      <c r="X1474" s="13"/>
      <c r="Y1474" s="13"/>
      <c r="Z1474" s="13"/>
    </row>
    <row r="1475">
      <c r="A1475" s="8">
        <v>43848.39952546296</v>
      </c>
      <c r="B1475" s="9" t="str">
        <f>HYPERLINK("https://twitter.com/MrBlueSkyFluter","@MrBlueSkyFluter")</f>
        <v>@MrBlueSkyFluter</v>
      </c>
      <c r="C1475" s="10" t="s">
        <v>6480</v>
      </c>
      <c r="D1475" s="10" t="s">
        <v>238</v>
      </c>
      <c r="E1475" s="9" t="str">
        <f>HYPERLINK("https://twitter.com/MrBlueSkyFluter/status/1218542388051881985","1218542388051881985")</f>
        <v>1218542388051881985</v>
      </c>
      <c r="F1475" s="13"/>
      <c r="G1475" s="13"/>
      <c r="H1475" s="13"/>
      <c r="I1475" s="14">
        <v>0.0</v>
      </c>
      <c r="J1475" s="14">
        <v>0.0</v>
      </c>
      <c r="K1475" s="9" t="str">
        <f t="shared" ref="K1475:K1476" si="175">HYPERLINK("https://mobile.twitter.com","Twitter Web App")</f>
        <v>Twitter Web App</v>
      </c>
      <c r="L1475" s="15">
        <v>33.0</v>
      </c>
      <c r="M1475" s="15">
        <v>386.0</v>
      </c>
      <c r="N1475" s="15">
        <v>0.0</v>
      </c>
      <c r="O1475" s="16"/>
      <c r="P1475" s="17">
        <v>43326.58436342592</v>
      </c>
      <c r="Q1475" s="10" t="s">
        <v>6481</v>
      </c>
      <c r="R1475" s="10" t="s">
        <v>6482</v>
      </c>
      <c r="S1475" s="13"/>
      <c r="T1475" s="13"/>
      <c r="U1475" s="21" t="s">
        <v>292</v>
      </c>
      <c r="V1475" s="13"/>
      <c r="W1475" s="13"/>
      <c r="X1475" s="13"/>
      <c r="Y1475" s="13"/>
      <c r="Z1475" s="13"/>
    </row>
    <row r="1476">
      <c r="A1476" s="8">
        <v>43848.399456018524</v>
      </c>
      <c r="B1476" s="9" t="str">
        <f>HYPERLINK("https://twitter.com/IAmJessPlant","@IAmJessPlant")</f>
        <v>@IAmJessPlant</v>
      </c>
      <c r="C1476" s="10" t="s">
        <v>6483</v>
      </c>
      <c r="D1476" s="10" t="s">
        <v>6484</v>
      </c>
      <c r="E1476" s="9" t="str">
        <f>HYPERLINK("https://twitter.com/IAmJessPlant/status/1218542362798055426","1218542362798055426")</f>
        <v>1218542362798055426</v>
      </c>
      <c r="F1476" s="13"/>
      <c r="G1476" s="13"/>
      <c r="H1476" s="13"/>
      <c r="I1476" s="14">
        <v>0.0</v>
      </c>
      <c r="J1476" s="14">
        <v>0.0</v>
      </c>
      <c r="K1476" s="9" t="str">
        <f t="shared" si="175"/>
        <v>Twitter Web App</v>
      </c>
      <c r="L1476" s="15">
        <v>2289.0</v>
      </c>
      <c r="M1476" s="15">
        <v>4848.0</v>
      </c>
      <c r="N1476" s="15">
        <v>7.0</v>
      </c>
      <c r="O1476" s="16"/>
      <c r="P1476" s="17">
        <v>42868.266377314816</v>
      </c>
      <c r="Q1476" s="10" t="s">
        <v>6485</v>
      </c>
      <c r="R1476" s="10" t="s">
        <v>6486</v>
      </c>
      <c r="S1476" s="11" t="s">
        <v>6487</v>
      </c>
      <c r="T1476" s="13"/>
      <c r="U1476" s="18" t="str">
        <f>HYPERLINK("https://pbs.twimg.com/profile_images/1163956846467657731/oMz56Hmp.jpg","View")</f>
        <v>View</v>
      </c>
      <c r="V1476" s="13"/>
      <c r="W1476" s="13"/>
      <c r="X1476" s="13"/>
      <c r="Y1476" s="13"/>
      <c r="Z1476" s="13"/>
    </row>
    <row r="1477">
      <c r="A1477" s="8">
        <v>43848.39934027778</v>
      </c>
      <c r="B1477" s="9" t="str">
        <f>HYPERLINK("https://twitter.com/LancetChildAdol","@LancetChildAdol")</f>
        <v>@LancetChildAdol</v>
      </c>
      <c r="C1477" s="10" t="s">
        <v>6488</v>
      </c>
      <c r="D1477" s="10" t="s">
        <v>6489</v>
      </c>
      <c r="E1477" s="9" t="str">
        <f>HYPERLINK("https://twitter.com/LancetChildAdol/status/1218542321094025217","1218542321094025217")</f>
        <v>1218542321094025217</v>
      </c>
      <c r="F1477" s="11" t="s">
        <v>6490</v>
      </c>
      <c r="G1477" s="11" t="s">
        <v>6491</v>
      </c>
      <c r="H1477" s="13"/>
      <c r="I1477" s="14">
        <v>2.0</v>
      </c>
      <c r="J1477" s="14">
        <v>7.0</v>
      </c>
      <c r="K1477" s="9" t="str">
        <f>HYPERLINK("https://www.hootsuite.com","Hootsuite Inc.")</f>
        <v>Hootsuite Inc.</v>
      </c>
      <c r="L1477" s="15">
        <v>5342.0</v>
      </c>
      <c r="M1477" s="15">
        <v>949.0</v>
      </c>
      <c r="N1477" s="15">
        <v>84.0</v>
      </c>
      <c r="O1477" s="16"/>
      <c r="P1477" s="17">
        <v>42744.31180555555</v>
      </c>
      <c r="Q1477" s="10" t="s">
        <v>2805</v>
      </c>
      <c r="R1477" s="10" t="s">
        <v>6492</v>
      </c>
      <c r="S1477" s="11" t="s">
        <v>6493</v>
      </c>
      <c r="T1477" s="13"/>
      <c r="U1477" s="18" t="str">
        <f>HYPERLINK("https://pbs.twimg.com/profile_images/818438381751373824/o6UxzTa8.jpg","View")</f>
        <v>View</v>
      </c>
      <c r="V1477" s="13"/>
      <c r="W1477" s="13"/>
      <c r="X1477" s="13"/>
      <c r="Y1477" s="13"/>
      <c r="Z1477" s="13"/>
    </row>
    <row r="1478">
      <c r="A1478" s="8">
        <v>43848.39929398148</v>
      </c>
      <c r="B1478" s="9" t="str">
        <f>HYPERLINK("https://twitter.com/missceclondon","@missceclondon")</f>
        <v>@missceclondon</v>
      </c>
      <c r="C1478" s="10" t="s">
        <v>6494</v>
      </c>
      <c r="D1478" s="10" t="s">
        <v>6495</v>
      </c>
      <c r="E1478" s="9" t="str">
        <f>HYPERLINK("https://twitter.com/missceclondon/status/1218542305709301760","1218542305709301760")</f>
        <v>1218542305709301760</v>
      </c>
      <c r="F1478" s="13"/>
      <c r="G1478" s="11" t="s">
        <v>6496</v>
      </c>
      <c r="H1478" s="13"/>
      <c r="I1478" s="14">
        <v>1.0</v>
      </c>
      <c r="J1478" s="14">
        <v>1.0</v>
      </c>
      <c r="K1478" s="9" t="str">
        <f t="shared" ref="K1478:K1479" si="176">HYPERLINK("http://twitter.com/download/iphone","Twitter for iPhone")</f>
        <v>Twitter for iPhone</v>
      </c>
      <c r="L1478" s="15">
        <v>128.0</v>
      </c>
      <c r="M1478" s="15">
        <v>0.0</v>
      </c>
      <c r="N1478" s="15">
        <v>0.0</v>
      </c>
      <c r="O1478" s="16"/>
      <c r="P1478" s="17">
        <v>40886.386041666665</v>
      </c>
      <c r="Q1478" s="13"/>
      <c r="R1478" s="10" t="s">
        <v>6497</v>
      </c>
      <c r="S1478" s="11" t="s">
        <v>6498</v>
      </c>
      <c r="T1478" s="13"/>
      <c r="U1478" s="18" t="str">
        <f>HYPERLINK("https://pbs.twimg.com/profile_images/1167313989623091200/sLzyiC1G.jpg","View")</f>
        <v>View</v>
      </c>
      <c r="V1478" s="13"/>
      <c r="W1478" s="13"/>
      <c r="X1478" s="13"/>
      <c r="Y1478" s="13"/>
      <c r="Z1478" s="13"/>
    </row>
    <row r="1479">
      <c r="A1479" s="8">
        <v>43848.3990625</v>
      </c>
      <c r="B1479" s="9" t="str">
        <f>HYPERLINK("https://twitter.com/AmberAmbush1","@AmberAmbush1")</f>
        <v>@AmberAmbush1</v>
      </c>
      <c r="C1479" s="10" t="s">
        <v>6499</v>
      </c>
      <c r="D1479" s="10" t="s">
        <v>6500</v>
      </c>
      <c r="E1479" s="9" t="str">
        <f>HYPERLINK("https://twitter.com/AmberAmbush1/status/1218542221722628096","1218542221722628096")</f>
        <v>1218542221722628096</v>
      </c>
      <c r="F1479" s="13"/>
      <c r="G1479" s="11" t="s">
        <v>6501</v>
      </c>
      <c r="H1479" s="13"/>
      <c r="I1479" s="14">
        <v>0.0</v>
      </c>
      <c r="J1479" s="14">
        <v>0.0</v>
      </c>
      <c r="K1479" s="9" t="str">
        <f t="shared" si="176"/>
        <v>Twitter for iPhone</v>
      </c>
      <c r="L1479" s="15">
        <v>156.0</v>
      </c>
      <c r="M1479" s="15">
        <v>133.0</v>
      </c>
      <c r="N1479" s="15">
        <v>8.0</v>
      </c>
      <c r="O1479" s="16"/>
      <c r="P1479" s="17">
        <v>39978.79021990741</v>
      </c>
      <c r="Q1479" s="10" t="s">
        <v>2805</v>
      </c>
      <c r="R1479" s="10" t="s">
        <v>6502</v>
      </c>
      <c r="S1479" s="13"/>
      <c r="T1479" s="13"/>
      <c r="U1479" s="18" t="str">
        <f>HYPERLINK("https://pbs.twimg.com/profile_images/1113342877600485376/Imur510k.jpg","View")</f>
        <v>View</v>
      </c>
      <c r="V1479" s="13"/>
      <c r="W1479" s="13"/>
      <c r="X1479" s="13"/>
      <c r="Y1479" s="13"/>
      <c r="Z1479" s="13"/>
    </row>
    <row r="1480">
      <c r="A1480" s="8">
        <v>43848.39891203704</v>
      </c>
      <c r="B1480" s="9" t="str">
        <f>HYPERLINK("https://twitter.com/Sb4Mh","@Sb4Mh")</f>
        <v>@Sb4Mh</v>
      </c>
      <c r="C1480" s="10" t="s">
        <v>6503</v>
      </c>
      <c r="D1480" s="10" t="s">
        <v>6504</v>
      </c>
      <c r="E1480" s="9" t="str">
        <f>HYPERLINK("https://twitter.com/Sb4Mh/status/1218542167943086080","1218542167943086080")</f>
        <v>1218542167943086080</v>
      </c>
      <c r="F1480" s="11" t="s">
        <v>6505</v>
      </c>
      <c r="G1480" s="11" t="s">
        <v>2592</v>
      </c>
      <c r="H1480" s="13"/>
      <c r="I1480" s="14">
        <v>1.0</v>
      </c>
      <c r="J1480" s="14">
        <v>2.0</v>
      </c>
      <c r="K1480" s="9" t="str">
        <f>HYPERLINK("http://publicize.wp.com/","WordPress.com")</f>
        <v>WordPress.com</v>
      </c>
      <c r="L1480" s="15">
        <v>219.0</v>
      </c>
      <c r="M1480" s="15">
        <v>170.0</v>
      </c>
      <c r="N1480" s="15">
        <v>3.0</v>
      </c>
      <c r="O1480" s="16"/>
      <c r="P1480" s="17">
        <v>43600.57824074074</v>
      </c>
      <c r="Q1480" s="13"/>
      <c r="R1480" s="10" t="s">
        <v>6506</v>
      </c>
      <c r="S1480" s="11" t="s">
        <v>6507</v>
      </c>
      <c r="T1480" s="13"/>
      <c r="U1480" s="18" t="str">
        <f>HYPERLINK("https://pbs.twimg.com/profile_images/1128725790793900035/SvMBEmqg.jpg","View")</f>
        <v>View</v>
      </c>
      <c r="V1480" s="13"/>
      <c r="W1480" s="13"/>
      <c r="X1480" s="13"/>
      <c r="Y1480" s="13"/>
      <c r="Z1480" s="13"/>
    </row>
    <row r="1481">
      <c r="A1481" s="8">
        <v>43848.39809027778</v>
      </c>
      <c r="B1481" s="9" t="str">
        <f>HYPERLINK("https://twitter.com/DrBillChen","@DrBillChen")</f>
        <v>@DrBillChen</v>
      </c>
      <c r="C1481" s="10" t="s">
        <v>6508</v>
      </c>
      <c r="D1481" s="10" t="s">
        <v>6509</v>
      </c>
      <c r="E1481" s="9" t="str">
        <f>HYPERLINK("https://twitter.com/DrBillChen/status/1218541870210568194","1218541870210568194")</f>
        <v>1218541870210568194</v>
      </c>
      <c r="F1481" s="11" t="s">
        <v>6510</v>
      </c>
      <c r="G1481" s="13"/>
      <c r="H1481" s="13"/>
      <c r="I1481" s="14">
        <v>0.0</v>
      </c>
      <c r="J1481" s="14">
        <v>0.0</v>
      </c>
      <c r="K1481" s="9" t="str">
        <f>HYPERLINK("http://twitter.com","BillTwitty")</f>
        <v>BillTwitty</v>
      </c>
      <c r="L1481" s="15">
        <v>9387.0</v>
      </c>
      <c r="M1481" s="15">
        <v>7383.0</v>
      </c>
      <c r="N1481" s="15">
        <v>513.0</v>
      </c>
      <c r="O1481" s="16"/>
      <c r="P1481" s="17">
        <v>41711.76940972223</v>
      </c>
      <c r="Q1481" s="10" t="s">
        <v>6511</v>
      </c>
      <c r="R1481" s="10" t="s">
        <v>6512</v>
      </c>
      <c r="S1481" s="11" t="s">
        <v>6513</v>
      </c>
      <c r="T1481" s="13"/>
      <c r="U1481" s="18" t="str">
        <f>HYPERLINK("https://pbs.twimg.com/profile_images/949746128005689344/28ea9HyJ.jpg","View")</f>
        <v>View</v>
      </c>
      <c r="V1481" s="13"/>
      <c r="W1481" s="13"/>
      <c r="X1481" s="13"/>
      <c r="Y1481" s="13"/>
      <c r="Z1481" s="13"/>
    </row>
    <row r="1482">
      <c r="A1482" s="8">
        <v>43848.39806712963</v>
      </c>
      <c r="B1482" s="9" t="str">
        <f>HYPERLINK("https://twitter.com/cognimmune","@cognimmune")</f>
        <v>@cognimmune</v>
      </c>
      <c r="C1482" s="10" t="s">
        <v>6514</v>
      </c>
      <c r="D1482" s="10" t="s">
        <v>6515</v>
      </c>
      <c r="E1482" s="9" t="str">
        <f>HYPERLINK("https://twitter.com/cognimmune/status/1218541860244852737","1218541860244852737")</f>
        <v>1218541860244852737</v>
      </c>
      <c r="F1482" s="11" t="s">
        <v>6516</v>
      </c>
      <c r="G1482" s="13"/>
      <c r="H1482" s="13"/>
      <c r="I1482" s="14">
        <v>0.0</v>
      </c>
      <c r="J1482" s="14">
        <v>0.0</v>
      </c>
      <c r="K1482" s="9" t="str">
        <f>HYPERLINK("http://twitter.com","Twitter Web Client")</f>
        <v>Twitter Web Client</v>
      </c>
      <c r="L1482" s="15">
        <v>119.0</v>
      </c>
      <c r="M1482" s="15">
        <v>216.0</v>
      </c>
      <c r="N1482" s="15">
        <v>2.0</v>
      </c>
      <c r="O1482" s="16"/>
      <c r="P1482" s="17">
        <v>39917.4396412037</v>
      </c>
      <c r="Q1482" s="10" t="s">
        <v>486</v>
      </c>
      <c r="R1482" s="10" t="s">
        <v>6517</v>
      </c>
      <c r="S1482" s="11" t="s">
        <v>6518</v>
      </c>
      <c r="T1482" s="13"/>
      <c r="U1482" s="18" t="str">
        <f>HYPERLINK("https://pbs.twimg.com/profile_images/137813751/vision.gif","View")</f>
        <v>View</v>
      </c>
      <c r="V1482" s="13"/>
      <c r="W1482" s="13"/>
      <c r="X1482" s="13"/>
      <c r="Y1482" s="13"/>
      <c r="Z1482" s="13"/>
    </row>
    <row r="1483">
      <c r="A1483" s="8">
        <v>43848.39782407407</v>
      </c>
      <c r="B1483" s="9" t="str">
        <f>HYPERLINK("https://twitter.com/hoops46","@hoops46")</f>
        <v>@hoops46</v>
      </c>
      <c r="C1483" s="10" t="s">
        <v>6519</v>
      </c>
      <c r="D1483" s="10" t="s">
        <v>6520</v>
      </c>
      <c r="E1483" s="9" t="str">
        <f>HYPERLINK("https://twitter.com/hoops46/status/1218541772772724736","1218541772772724736")</f>
        <v>1218541772772724736</v>
      </c>
      <c r="F1483" s="11" t="s">
        <v>6521</v>
      </c>
      <c r="G1483" s="11" t="s">
        <v>6522</v>
      </c>
      <c r="H1483" s="13"/>
      <c r="I1483" s="14">
        <v>1.0</v>
      </c>
      <c r="J1483" s="14">
        <v>4.0</v>
      </c>
      <c r="K1483" s="9" t="str">
        <f>HYPERLINK("http://twitter.com/download/iphone","Twitter for iPhone")</f>
        <v>Twitter for iPhone</v>
      </c>
      <c r="L1483" s="15">
        <v>1405.0</v>
      </c>
      <c r="M1483" s="15">
        <v>1265.0</v>
      </c>
      <c r="N1483" s="15">
        <v>19.0</v>
      </c>
      <c r="O1483" s="16"/>
      <c r="P1483" s="17">
        <v>40836.671631944446</v>
      </c>
      <c r="Q1483" s="10" t="s">
        <v>161</v>
      </c>
      <c r="R1483" s="10" t="s">
        <v>6523</v>
      </c>
      <c r="S1483" s="13"/>
      <c r="T1483" s="13"/>
      <c r="U1483" s="18" t="str">
        <f>HYPERLINK("https://pbs.twimg.com/profile_images/1213594163276582915/SvUecVsS.jpg","View")</f>
        <v>View</v>
      </c>
      <c r="V1483" s="13"/>
      <c r="W1483" s="13"/>
      <c r="X1483" s="13"/>
      <c r="Y1483" s="13"/>
      <c r="Z1483" s="13"/>
    </row>
    <row r="1484">
      <c r="A1484" s="8">
        <v>43848.39759259259</v>
      </c>
      <c r="B1484" s="9" t="str">
        <f>HYPERLINK("https://twitter.com/steadpatricia1","@steadpatricia1")</f>
        <v>@steadpatricia1</v>
      </c>
      <c r="C1484" s="10" t="s">
        <v>6524</v>
      </c>
      <c r="D1484" s="10" t="s">
        <v>6525</v>
      </c>
      <c r="E1484" s="9" t="str">
        <f>HYPERLINK("https://twitter.com/steadpatricia1/status/1218541686890160129","1218541686890160129")</f>
        <v>1218541686890160129</v>
      </c>
      <c r="F1484" s="13"/>
      <c r="G1484" s="11" t="s">
        <v>6526</v>
      </c>
      <c r="H1484" s="13"/>
      <c r="I1484" s="14">
        <v>2.0</v>
      </c>
      <c r="J1484" s="14">
        <v>1.0</v>
      </c>
      <c r="K1484" s="9" t="str">
        <f>HYPERLINK("http://twitter.com/#!/download/ipad","Twitter for iPad")</f>
        <v>Twitter for iPad</v>
      </c>
      <c r="L1484" s="15">
        <v>148.0</v>
      </c>
      <c r="M1484" s="15">
        <v>273.0</v>
      </c>
      <c r="N1484" s="15">
        <v>0.0</v>
      </c>
      <c r="O1484" s="16"/>
      <c r="P1484" s="17">
        <v>43139.282002314816</v>
      </c>
      <c r="Q1484" s="10" t="s">
        <v>6527</v>
      </c>
      <c r="R1484" s="10" t="s">
        <v>6528</v>
      </c>
      <c r="S1484" s="11" t="s">
        <v>6529</v>
      </c>
      <c r="T1484" s="13"/>
      <c r="U1484" s="18" t="str">
        <f>HYPERLINK("https://pbs.twimg.com/profile_images/973121077009375232/fP50BCbq.jpg","View")</f>
        <v>View</v>
      </c>
      <c r="V1484" s="13"/>
      <c r="W1484" s="13"/>
      <c r="X1484" s="13"/>
      <c r="Y1484" s="13"/>
      <c r="Z1484" s="13"/>
    </row>
    <row r="1485">
      <c r="A1485" s="8">
        <v>43848.39680555556</v>
      </c>
      <c r="B1485" s="9" t="str">
        <f>HYPERLINK("https://twitter.com/mandar_vidya","@mandar_vidya")</f>
        <v>@mandar_vidya</v>
      </c>
      <c r="C1485" s="10" t="s">
        <v>6530</v>
      </c>
      <c r="D1485" s="10" t="s">
        <v>6531</v>
      </c>
      <c r="E1485" s="9" t="str">
        <f>HYPERLINK("https://twitter.com/mandar_vidya/status/1218541404693024773","1218541404693024773")</f>
        <v>1218541404693024773</v>
      </c>
      <c r="F1485" s="13"/>
      <c r="G1485" s="11" t="s">
        <v>6532</v>
      </c>
      <c r="H1485" s="13"/>
      <c r="I1485" s="14">
        <v>0.0</v>
      </c>
      <c r="J1485" s="14">
        <v>0.0</v>
      </c>
      <c r="K1485" s="9" t="str">
        <f>HYPERLINK("http://twitter.com/download/android","Twitter for Android")</f>
        <v>Twitter for Android</v>
      </c>
      <c r="L1485" s="15">
        <v>12.0</v>
      </c>
      <c r="M1485" s="15">
        <v>31.0</v>
      </c>
      <c r="N1485" s="15">
        <v>0.0</v>
      </c>
      <c r="O1485" s="16"/>
      <c r="P1485" s="17">
        <v>43630.0231712963</v>
      </c>
      <c r="Q1485" s="10" t="s">
        <v>6533</v>
      </c>
      <c r="R1485" s="10" t="s">
        <v>6534</v>
      </c>
      <c r="S1485" s="11" t="s">
        <v>6535</v>
      </c>
      <c r="T1485" s="13"/>
      <c r="U1485" s="18" t="str">
        <f>HYPERLINK("https://pbs.twimg.com/profile_images/1218565505637740544/0lavsaVZ.jpg","View")</f>
        <v>View</v>
      </c>
      <c r="V1485" s="13"/>
      <c r="W1485" s="13"/>
      <c r="X1485" s="13"/>
      <c r="Y1485" s="13"/>
      <c r="Z1485" s="13"/>
    </row>
    <row r="1486">
      <c r="A1486" s="8">
        <v>43848.396782407406</v>
      </c>
      <c r="B1486" s="9" t="str">
        <f>HYPERLINK("https://twitter.com/WeAreOnOurWay2","@WeAreOnOurWay2")</f>
        <v>@WeAreOnOurWay2</v>
      </c>
      <c r="C1486" s="10" t="s">
        <v>6536</v>
      </c>
      <c r="D1486" s="10" t="s">
        <v>6537</v>
      </c>
      <c r="E1486" s="9" t="str">
        <f>HYPERLINK("https://twitter.com/WeAreOnOurWay2/status/1218541393284681728","1218541393284681728")</f>
        <v>1218541393284681728</v>
      </c>
      <c r="F1486" s="13"/>
      <c r="G1486" s="13"/>
      <c r="H1486" s="13"/>
      <c r="I1486" s="14">
        <v>0.0</v>
      </c>
      <c r="J1486" s="14">
        <v>2.0</v>
      </c>
      <c r="K1486" s="9" t="str">
        <f>HYPERLINK("https://mobile.twitter.com","Twitter Web App")</f>
        <v>Twitter Web App</v>
      </c>
      <c r="L1486" s="15">
        <v>83.0</v>
      </c>
      <c r="M1486" s="15">
        <v>211.0</v>
      </c>
      <c r="N1486" s="15">
        <v>0.0</v>
      </c>
      <c r="O1486" s="16"/>
      <c r="P1486" s="17">
        <v>43802.1853587963</v>
      </c>
      <c r="Q1486" s="13"/>
      <c r="R1486" s="10" t="s">
        <v>6538</v>
      </c>
      <c r="S1486" s="13"/>
      <c r="T1486" s="13"/>
      <c r="U1486" s="18" t="str">
        <f>HYPERLINK("https://pbs.twimg.com/profile_images/1206220879857893383/ASW-bnDt.jpg","View")</f>
        <v>View</v>
      </c>
      <c r="V1486" s="13"/>
      <c r="W1486" s="13"/>
      <c r="X1486" s="13"/>
      <c r="Y1486" s="13"/>
      <c r="Z1486" s="13"/>
    </row>
    <row r="1487">
      <c r="A1487" s="8">
        <v>43848.39645833333</v>
      </c>
      <c r="B1487" s="9" t="str">
        <f>HYPERLINK("https://twitter.com/canariestrust","@canariestrust")</f>
        <v>@canariestrust</v>
      </c>
      <c r="C1487" s="10" t="s">
        <v>6539</v>
      </c>
      <c r="D1487" s="10" t="s">
        <v>6540</v>
      </c>
      <c r="E1487" s="9" t="str">
        <f>HYPERLINK("https://twitter.com/canariestrust/status/1218541277387554816","1218541277387554816")</f>
        <v>1218541277387554816</v>
      </c>
      <c r="F1487" s="13"/>
      <c r="G1487" s="11" t="s">
        <v>4817</v>
      </c>
      <c r="H1487" s="13"/>
      <c r="I1487" s="14">
        <v>2.0</v>
      </c>
      <c r="J1487" s="14">
        <v>6.0</v>
      </c>
      <c r="K1487" s="9" t="str">
        <f t="shared" ref="K1487:K1488" si="177">HYPERLINK("http://twitter.com/download/iphone","Twitter for iPhone")</f>
        <v>Twitter for iPhone</v>
      </c>
      <c r="L1487" s="15">
        <v>4659.0</v>
      </c>
      <c r="M1487" s="15">
        <v>3720.0</v>
      </c>
      <c r="N1487" s="15">
        <v>28.0</v>
      </c>
      <c r="O1487" s="16"/>
      <c r="P1487" s="17">
        <v>40708.287569444445</v>
      </c>
      <c r="Q1487" s="10" t="s">
        <v>6541</v>
      </c>
      <c r="R1487" s="10" t="s">
        <v>6542</v>
      </c>
      <c r="S1487" s="11" t="s">
        <v>6543</v>
      </c>
      <c r="T1487" s="13"/>
      <c r="U1487" s="18" t="str">
        <f>HYPERLINK("https://pbs.twimg.com/profile_images/1101565320194650112/6c0iVhC7.png","View")</f>
        <v>View</v>
      </c>
      <c r="V1487" s="13"/>
      <c r="W1487" s="13"/>
      <c r="X1487" s="13"/>
      <c r="Y1487" s="13"/>
      <c r="Z1487" s="13"/>
    </row>
    <row r="1488">
      <c r="A1488" s="8">
        <v>43848.39635416667</v>
      </c>
      <c r="B1488" s="9" t="str">
        <f>HYPERLINK("https://twitter.com/HilaryJHendel","@HilaryJHendel")</f>
        <v>@HilaryJHendel</v>
      </c>
      <c r="C1488" s="10" t="s">
        <v>6399</v>
      </c>
      <c r="D1488" s="10" t="s">
        <v>6544</v>
      </c>
      <c r="E1488" s="9" t="str">
        <f>HYPERLINK("https://twitter.com/HilaryJHendel/status/1218541241341825026","1218541241341825026")</f>
        <v>1218541241341825026</v>
      </c>
      <c r="F1488" s="11" t="s">
        <v>6545</v>
      </c>
      <c r="G1488" s="13"/>
      <c r="H1488" s="13"/>
      <c r="I1488" s="14">
        <v>0.0</v>
      </c>
      <c r="J1488" s="14">
        <v>0.0</v>
      </c>
      <c r="K1488" s="9" t="str">
        <f t="shared" si="177"/>
        <v>Twitter for iPhone</v>
      </c>
      <c r="L1488" s="15">
        <v>8676.0</v>
      </c>
      <c r="M1488" s="15">
        <v>4528.0</v>
      </c>
      <c r="N1488" s="15">
        <v>526.0</v>
      </c>
      <c r="O1488" s="16"/>
      <c r="P1488" s="17">
        <v>42251.395104166666</v>
      </c>
      <c r="Q1488" s="10" t="s">
        <v>261</v>
      </c>
      <c r="R1488" s="10" t="s">
        <v>6402</v>
      </c>
      <c r="S1488" s="11" t="s">
        <v>6403</v>
      </c>
      <c r="T1488" s="13"/>
      <c r="U1488" s="18" t="str">
        <f>HYPERLINK("https://pbs.twimg.com/profile_images/720686064436965377/O2ECk3lR.jpg","View")</f>
        <v>View</v>
      </c>
      <c r="V1488" s="13"/>
      <c r="W1488" s="13"/>
      <c r="X1488" s="13"/>
      <c r="Y1488" s="13"/>
      <c r="Z1488" s="13"/>
    </row>
    <row r="1489">
      <c r="A1489" s="8">
        <v>43848.39630787037</v>
      </c>
      <c r="B1489" s="9" t="str">
        <f>HYPERLINK("https://twitter.com/vasanthreng","@vasanthreng")</f>
        <v>@vasanthreng</v>
      </c>
      <c r="C1489" s="10" t="s">
        <v>6546</v>
      </c>
      <c r="D1489" s="10" t="s">
        <v>6547</v>
      </c>
      <c r="E1489" s="9" t="str">
        <f>HYPERLINK("https://twitter.com/vasanthreng/status/1218541223020916737","1218541223020916737")</f>
        <v>1218541223020916737</v>
      </c>
      <c r="F1489" s="13"/>
      <c r="G1489" s="11" t="s">
        <v>6548</v>
      </c>
      <c r="H1489" s="13"/>
      <c r="I1489" s="14">
        <v>0.0</v>
      </c>
      <c r="J1489" s="14">
        <v>0.0</v>
      </c>
      <c r="K1489" s="9" t="str">
        <f>HYPERLINK("http://twitter.com/download/android","Twitter for Android")</f>
        <v>Twitter for Android</v>
      </c>
      <c r="L1489" s="15">
        <v>137.0</v>
      </c>
      <c r="M1489" s="15">
        <v>323.0</v>
      </c>
      <c r="N1489" s="15">
        <v>2.0</v>
      </c>
      <c r="O1489" s="16"/>
      <c r="P1489" s="17">
        <v>40934.421122685184</v>
      </c>
      <c r="Q1489" s="10" t="s">
        <v>6549</v>
      </c>
      <c r="R1489" s="13"/>
      <c r="S1489" s="13"/>
      <c r="T1489" s="13"/>
      <c r="U1489" s="18" t="str">
        <f>HYPERLINK("https://pbs.twimg.com/profile_images/879232037269323776/BhSe2Ddl.jpg","View")</f>
        <v>View</v>
      </c>
      <c r="V1489" s="13"/>
      <c r="W1489" s="13"/>
      <c r="X1489" s="13"/>
      <c r="Y1489" s="13"/>
      <c r="Z1489" s="13"/>
    </row>
    <row r="1490">
      <c r="A1490" s="8">
        <v>43848.396099537036</v>
      </c>
      <c r="B1490" s="9" t="str">
        <f>HYPERLINK("https://twitter.com/Mesoy640","@Mesoy640")</f>
        <v>@Mesoy640</v>
      </c>
      <c r="C1490" s="10" t="s">
        <v>6550</v>
      </c>
      <c r="D1490" s="10" t="s">
        <v>6551</v>
      </c>
      <c r="E1490" s="9" t="str">
        <f>HYPERLINK("https://twitter.com/Mesoy640/status/1218541148328923139","1218541148328923139")</f>
        <v>1218541148328923139</v>
      </c>
      <c r="F1490" s="11" t="s">
        <v>6552</v>
      </c>
      <c r="G1490" s="13"/>
      <c r="H1490" s="13"/>
      <c r="I1490" s="14">
        <v>0.0</v>
      </c>
      <c r="J1490" s="14">
        <v>0.0</v>
      </c>
      <c r="K1490" s="9" t="str">
        <f>HYPERLINK("https://mobile.twitter.com","Twitter Web App")</f>
        <v>Twitter Web App</v>
      </c>
      <c r="L1490" s="15">
        <v>592.0</v>
      </c>
      <c r="M1490" s="15">
        <v>2460.0</v>
      </c>
      <c r="N1490" s="15">
        <v>15.0</v>
      </c>
      <c r="O1490" s="16"/>
      <c r="P1490" s="17">
        <v>40743.29677083333</v>
      </c>
      <c r="Q1490" s="10" t="s">
        <v>6553</v>
      </c>
      <c r="R1490" s="10" t="s">
        <v>6554</v>
      </c>
      <c r="S1490" s="13"/>
      <c r="T1490" s="13"/>
      <c r="U1490" s="18" t="str">
        <f>HYPERLINK("https://pbs.twimg.com/profile_images/1182950095827984385/dgZtMIis.jpg","View")</f>
        <v>View</v>
      </c>
      <c r="V1490" s="13"/>
      <c r="W1490" s="13"/>
      <c r="X1490" s="13"/>
      <c r="Y1490" s="13"/>
      <c r="Z1490" s="13"/>
    </row>
    <row r="1491">
      <c r="A1491" s="8">
        <v>43848.3959837963</v>
      </c>
      <c r="B1491" s="9" t="str">
        <f>HYPERLINK("https://twitter.com/heykatcharles","@heykatcharles")</f>
        <v>@heykatcharles</v>
      </c>
      <c r="C1491" s="10" t="s">
        <v>6555</v>
      </c>
      <c r="D1491" s="10" t="s">
        <v>6556</v>
      </c>
      <c r="E1491" s="9" t="str">
        <f>HYPERLINK("https://twitter.com/heykatcharles/status/1218541104263548931","1218541104263548931")</f>
        <v>1218541104263548931</v>
      </c>
      <c r="F1491" s="11" t="s">
        <v>6557</v>
      </c>
      <c r="G1491" s="11" t="s">
        <v>6558</v>
      </c>
      <c r="H1491" s="13"/>
      <c r="I1491" s="14">
        <v>0.0</v>
      </c>
      <c r="J1491" s="14">
        <v>0.0</v>
      </c>
      <c r="K1491" s="9" t="str">
        <f>HYPERLINK("https://ifttt.com","IFTTT")</f>
        <v>IFTTT</v>
      </c>
      <c r="L1491" s="15">
        <v>117.0</v>
      </c>
      <c r="M1491" s="15">
        <v>140.0</v>
      </c>
      <c r="N1491" s="15">
        <v>5.0</v>
      </c>
      <c r="O1491" s="16"/>
      <c r="P1491" s="17">
        <v>39902.46109953704</v>
      </c>
      <c r="Q1491" s="13"/>
      <c r="R1491" s="10" t="s">
        <v>6559</v>
      </c>
      <c r="S1491" s="11" t="s">
        <v>6560</v>
      </c>
      <c r="T1491" s="13"/>
      <c r="U1491" s="18" t="str">
        <f>HYPERLINK("https://pbs.twimg.com/profile_images/1144943792354746369/QFO1ydGj.png","View")</f>
        <v>View</v>
      </c>
      <c r="V1491" s="13"/>
      <c r="W1491" s="13"/>
      <c r="X1491" s="13"/>
      <c r="Y1491" s="13"/>
      <c r="Z1491" s="13"/>
    </row>
    <row r="1492">
      <c r="A1492" s="8">
        <v>43848.39572916667</v>
      </c>
      <c r="B1492" s="9" t="str">
        <f>HYPERLINK("https://twitter.com/PaigeBr90921513","@PaigeBr90921513")</f>
        <v>@PaigeBr90921513</v>
      </c>
      <c r="C1492" s="10" t="s">
        <v>6561</v>
      </c>
      <c r="D1492" s="10" t="s">
        <v>6562</v>
      </c>
      <c r="E1492" s="9" t="str">
        <f>HYPERLINK("https://twitter.com/PaigeBr90921513/status/1218541014748684288","1218541014748684288")</f>
        <v>1218541014748684288</v>
      </c>
      <c r="F1492" s="13"/>
      <c r="G1492" s="13"/>
      <c r="H1492" s="13"/>
      <c r="I1492" s="14">
        <v>0.0</v>
      </c>
      <c r="J1492" s="14">
        <v>0.0</v>
      </c>
      <c r="K1492" s="9" t="str">
        <f>HYPERLINK("http://twitter.com/download/android","Twitter for Android")</f>
        <v>Twitter for Android</v>
      </c>
      <c r="L1492" s="15">
        <v>153.0</v>
      </c>
      <c r="M1492" s="15">
        <v>1465.0</v>
      </c>
      <c r="N1492" s="15">
        <v>0.0</v>
      </c>
      <c r="O1492" s="16"/>
      <c r="P1492" s="17">
        <v>43025.55734953703</v>
      </c>
      <c r="Q1492" s="10" t="s">
        <v>6061</v>
      </c>
      <c r="R1492" s="10" t="s">
        <v>6563</v>
      </c>
      <c r="S1492" s="13"/>
      <c r="T1492" s="13"/>
      <c r="U1492" s="18" t="str">
        <f>HYPERLINK("https://pbs.twimg.com/profile_images/1216290513328001024/3rN4Sd58.jpg","View")</f>
        <v>View</v>
      </c>
      <c r="V1492" s="13"/>
      <c r="W1492" s="13"/>
      <c r="X1492" s="13"/>
      <c r="Y1492" s="13"/>
      <c r="Z1492" s="13"/>
    </row>
    <row r="1493">
      <c r="A1493" s="8">
        <v>43848.395474537036</v>
      </c>
      <c r="B1493" s="9" t="str">
        <f>HYPERLINK("https://twitter.com/momsandmartinis","@momsandmartinis")</f>
        <v>@momsandmartinis</v>
      </c>
      <c r="C1493" s="10" t="s">
        <v>6564</v>
      </c>
      <c r="D1493" s="10" t="s">
        <v>6565</v>
      </c>
      <c r="E1493" s="9" t="str">
        <f>HYPERLINK("https://twitter.com/momsandmartinis/status/1218540920049631232","1218540920049631232")</f>
        <v>1218540920049631232</v>
      </c>
      <c r="F1493" s="13"/>
      <c r="G1493" s="13"/>
      <c r="H1493" s="13"/>
      <c r="I1493" s="14">
        <v>0.0</v>
      </c>
      <c r="J1493" s="14">
        <v>1.0</v>
      </c>
      <c r="K1493" s="9" t="str">
        <f>HYPERLINK("http://twitter.com/download/iphone","Twitter for iPhone")</f>
        <v>Twitter for iPhone</v>
      </c>
      <c r="L1493" s="15">
        <v>113.0</v>
      </c>
      <c r="M1493" s="15">
        <v>485.0</v>
      </c>
      <c r="N1493" s="15">
        <v>1.0</v>
      </c>
      <c r="O1493" s="16"/>
      <c r="P1493" s="17">
        <v>43832.90074074074</v>
      </c>
      <c r="Q1493" s="10" t="s">
        <v>1649</v>
      </c>
      <c r="R1493" s="10" t="s">
        <v>6566</v>
      </c>
      <c r="S1493" s="13"/>
      <c r="T1493" s="13"/>
      <c r="U1493" s="18" t="str">
        <f>HYPERLINK("https://pbs.twimg.com/profile_images/1212980279918415872/JUp6MxFx.jpg","View")</f>
        <v>View</v>
      </c>
      <c r="V1493" s="13"/>
      <c r="W1493" s="13"/>
      <c r="X1493" s="13"/>
      <c r="Y1493" s="13"/>
      <c r="Z1493" s="13"/>
    </row>
    <row r="1494">
      <c r="A1494" s="8">
        <v>43848.39521990741</v>
      </c>
      <c r="B1494" s="9" t="str">
        <f>HYPERLINK("https://twitter.com/picardonhealth","@picardonhealth")</f>
        <v>@picardonhealth</v>
      </c>
      <c r="C1494" s="10" t="s">
        <v>6567</v>
      </c>
      <c r="D1494" s="10" t="s">
        <v>6568</v>
      </c>
      <c r="E1494" s="9" t="str">
        <f>HYPERLINK("https://twitter.com/picardonhealth/status/1218540827737305088","1218540827737305088")</f>
        <v>1218540827737305088</v>
      </c>
      <c r="F1494" s="11" t="s">
        <v>1766</v>
      </c>
      <c r="G1494" s="13"/>
      <c r="H1494" s="13"/>
      <c r="I1494" s="14">
        <v>8.0</v>
      </c>
      <c r="J1494" s="14">
        <v>11.0</v>
      </c>
      <c r="K1494" s="9" t="str">
        <f>HYPERLINK("http://twitter.com","Twitter Web Client")</f>
        <v>Twitter Web Client</v>
      </c>
      <c r="L1494" s="15">
        <v>88276.0</v>
      </c>
      <c r="M1494" s="15">
        <v>1742.0</v>
      </c>
      <c r="N1494" s="15">
        <v>2442.0</v>
      </c>
      <c r="O1494" s="21" t="s">
        <v>522</v>
      </c>
      <c r="P1494" s="17">
        <v>40589.74395833333</v>
      </c>
      <c r="Q1494" s="10" t="s">
        <v>6569</v>
      </c>
      <c r="R1494" s="10" t="s">
        <v>6570</v>
      </c>
      <c r="S1494" s="11" t="s">
        <v>6571</v>
      </c>
      <c r="T1494" s="13"/>
      <c r="U1494" s="18" t="str">
        <f>HYPERLINK("https://pbs.twimg.com/profile_images/1194132906463154176/8aMv29y-.jpg","View")</f>
        <v>View</v>
      </c>
      <c r="V1494" s="13"/>
      <c r="W1494" s="13"/>
      <c r="X1494" s="13"/>
      <c r="Y1494" s="13"/>
      <c r="Z1494" s="13"/>
    </row>
    <row r="1495">
      <c r="A1495" s="8">
        <v>43848.39508101852</v>
      </c>
      <c r="B1495" s="9" t="str">
        <f>HYPERLINK("https://twitter.com/uncle_kaso","@uncle_kaso")</f>
        <v>@uncle_kaso</v>
      </c>
      <c r="C1495" s="10" t="s">
        <v>6572</v>
      </c>
      <c r="D1495" s="10" t="s">
        <v>238</v>
      </c>
      <c r="E1495" s="9" t="str">
        <f>HYPERLINK("https://twitter.com/uncle_kaso/status/1218540775937650688","1218540775937650688")</f>
        <v>1218540775937650688</v>
      </c>
      <c r="F1495" s="13"/>
      <c r="G1495" s="13"/>
      <c r="H1495" s="13"/>
      <c r="I1495" s="14">
        <v>0.0</v>
      </c>
      <c r="J1495" s="14">
        <v>0.0</v>
      </c>
      <c r="K1495" s="9" t="str">
        <f>HYPERLINK("http://twitter.com/download/android","Twitter for Android")</f>
        <v>Twitter for Android</v>
      </c>
      <c r="L1495" s="15">
        <v>581.0</v>
      </c>
      <c r="M1495" s="15">
        <v>171.0</v>
      </c>
      <c r="N1495" s="15">
        <v>0.0</v>
      </c>
      <c r="O1495" s="16"/>
      <c r="P1495" s="17">
        <v>43006.27011574074</v>
      </c>
      <c r="Q1495" s="10" t="s">
        <v>6573</v>
      </c>
      <c r="R1495" s="10" t="s">
        <v>6574</v>
      </c>
      <c r="S1495" s="13"/>
      <c r="T1495" s="13"/>
      <c r="U1495" s="18" t="str">
        <f>HYPERLINK("https://pbs.twimg.com/profile_images/1202530771405287425/Ly1l-EKs.jpg","View")</f>
        <v>View</v>
      </c>
      <c r="V1495" s="13"/>
      <c r="W1495" s="13"/>
      <c r="X1495" s="13"/>
      <c r="Y1495" s="13"/>
      <c r="Z1495" s="13"/>
    </row>
    <row r="1496">
      <c r="A1496" s="8">
        <v>43848.39501157407</v>
      </c>
      <c r="B1496" s="9" t="str">
        <f>HYPERLINK("https://twitter.com/AlexMunter_","@AlexMunter_")</f>
        <v>@AlexMunter_</v>
      </c>
      <c r="C1496" s="10" t="s">
        <v>6575</v>
      </c>
      <c r="D1496" s="10" t="s">
        <v>6576</v>
      </c>
      <c r="E1496" s="9" t="str">
        <f>HYPERLINK("https://twitter.com/AlexMunter_/status/1218540752789286917","1218540752789286917")</f>
        <v>1218540752789286917</v>
      </c>
      <c r="F1496" s="11" t="s">
        <v>4094</v>
      </c>
      <c r="G1496" s="13"/>
      <c r="H1496" s="13"/>
      <c r="I1496" s="14">
        <v>28.0</v>
      </c>
      <c r="J1496" s="14">
        <v>77.0</v>
      </c>
      <c r="K1496" s="9" t="str">
        <f>HYPERLINK("https://mobile.twitter.com","Twitter Web App")</f>
        <v>Twitter Web App</v>
      </c>
      <c r="L1496" s="15">
        <v>24225.0</v>
      </c>
      <c r="M1496" s="15">
        <v>12357.0</v>
      </c>
      <c r="N1496" s="15">
        <v>447.0</v>
      </c>
      <c r="O1496" s="16"/>
      <c r="P1496" s="17">
        <v>41380.50979166667</v>
      </c>
      <c r="Q1496" s="10" t="s">
        <v>2292</v>
      </c>
      <c r="R1496" s="10" t="s">
        <v>6577</v>
      </c>
      <c r="S1496" s="11" t="s">
        <v>6578</v>
      </c>
      <c r="T1496" s="13"/>
      <c r="U1496" s="18" t="str">
        <f>HYPERLINK("https://pbs.twimg.com/profile_images/1065267190834839554/Iktw_dXl.jpg","View")</f>
        <v>View</v>
      </c>
      <c r="V1496" s="13"/>
      <c r="W1496" s="13"/>
      <c r="X1496" s="13"/>
      <c r="Y1496" s="13"/>
      <c r="Z1496" s="13"/>
    </row>
    <row r="1497">
      <c r="A1497" s="8">
        <v>43848.39482638889</v>
      </c>
      <c r="B1497" s="9" t="str">
        <f>HYPERLINK("https://twitter.com/ItembeRichard","@ItembeRichard")</f>
        <v>@ItembeRichard</v>
      </c>
      <c r="C1497" s="10" t="s">
        <v>6579</v>
      </c>
      <c r="D1497" s="10" t="s">
        <v>238</v>
      </c>
      <c r="E1497" s="9" t="str">
        <f>HYPERLINK("https://twitter.com/ItembeRichard/status/1218540686393389057","1218540686393389057")</f>
        <v>1218540686393389057</v>
      </c>
      <c r="F1497" s="13"/>
      <c r="G1497" s="13"/>
      <c r="H1497" s="13"/>
      <c r="I1497" s="14">
        <v>0.0</v>
      </c>
      <c r="J1497" s="14">
        <v>1.0</v>
      </c>
      <c r="K1497" s="9" t="str">
        <f>HYPERLINK("http://twitter.com/download/iphone","Twitter for iPhone")</f>
        <v>Twitter for iPhone</v>
      </c>
      <c r="L1497" s="15">
        <v>305.0</v>
      </c>
      <c r="M1497" s="15">
        <v>197.0</v>
      </c>
      <c r="N1497" s="15">
        <v>0.0</v>
      </c>
      <c r="O1497" s="16"/>
      <c r="P1497" s="17">
        <v>43290.73996527778</v>
      </c>
      <c r="Q1497" s="10" t="s">
        <v>4019</v>
      </c>
      <c r="R1497" s="10" t="s">
        <v>6580</v>
      </c>
      <c r="S1497" s="11" t="s">
        <v>6581</v>
      </c>
      <c r="T1497" s="13"/>
      <c r="U1497" s="18" t="str">
        <f>HYPERLINK("https://pbs.twimg.com/profile_images/1214222577691963393/VlWvvs2H.jpg","View")</f>
        <v>View</v>
      </c>
      <c r="V1497" s="13"/>
      <c r="W1497" s="13"/>
      <c r="X1497" s="13"/>
      <c r="Y1497" s="13"/>
      <c r="Z1497" s="13"/>
    </row>
    <row r="1498">
      <c r="A1498" s="8">
        <v>43848.39446759259</v>
      </c>
      <c r="B1498" s="9" t="str">
        <f>HYPERLINK("https://twitter.com/Paradigm1990","@Paradigm1990")</f>
        <v>@Paradigm1990</v>
      </c>
      <c r="C1498" s="10" t="s">
        <v>6582</v>
      </c>
      <c r="D1498" s="10" t="s">
        <v>6583</v>
      </c>
      <c r="E1498" s="9" t="str">
        <f>HYPERLINK("https://twitter.com/Paradigm1990/status/1218540554767695873","1218540554767695873")</f>
        <v>1218540554767695873</v>
      </c>
      <c r="F1498" s="11" t="s">
        <v>6584</v>
      </c>
      <c r="G1498" s="11" t="s">
        <v>6585</v>
      </c>
      <c r="H1498" s="13"/>
      <c r="I1498" s="14">
        <v>0.0</v>
      </c>
      <c r="J1498" s="14">
        <v>0.0</v>
      </c>
      <c r="K1498" s="9" t="str">
        <f>HYPERLINK("https://buffer.com","Buffer")</f>
        <v>Buffer</v>
      </c>
      <c r="L1498" s="15">
        <v>79.0</v>
      </c>
      <c r="M1498" s="15">
        <v>298.0</v>
      </c>
      <c r="N1498" s="15">
        <v>1.0</v>
      </c>
      <c r="O1498" s="16"/>
      <c r="P1498" s="17">
        <v>42158.939305555556</v>
      </c>
      <c r="Q1498" s="10" t="s">
        <v>6586</v>
      </c>
      <c r="R1498" s="10" t="s">
        <v>6587</v>
      </c>
      <c r="S1498" s="11" t="s">
        <v>6588</v>
      </c>
      <c r="T1498" s="13"/>
      <c r="U1498" s="18" t="str">
        <f>HYPERLINK("https://pbs.twimg.com/profile_images/1180119975698169859/FKqnb-7f.jpg","View")</f>
        <v>View</v>
      </c>
      <c r="V1498" s="13"/>
      <c r="W1498" s="13"/>
      <c r="X1498" s="13"/>
      <c r="Y1498" s="13"/>
      <c r="Z1498" s="13"/>
    </row>
    <row r="1499">
      <c r="A1499" s="8">
        <v>43848.39423611111</v>
      </c>
      <c r="B1499" s="9" t="str">
        <f>HYPERLINK("https://twitter.com/abdulazackabdul","@abdulazackabdul")</f>
        <v>@abdulazackabdul</v>
      </c>
      <c r="C1499" s="10" t="s">
        <v>6589</v>
      </c>
      <c r="D1499" s="10" t="s">
        <v>238</v>
      </c>
      <c r="E1499" s="9" t="str">
        <f>HYPERLINK("https://twitter.com/abdulazackabdul/status/1218540472920047620","1218540472920047620")</f>
        <v>1218540472920047620</v>
      </c>
      <c r="F1499" s="13"/>
      <c r="G1499" s="13"/>
      <c r="H1499" s="13"/>
      <c r="I1499" s="14">
        <v>0.0</v>
      </c>
      <c r="J1499" s="14">
        <v>5.0</v>
      </c>
      <c r="K1499" s="9" t="str">
        <f>HYPERLINK("http://twitter.com/download/android","Twitter for Android")</f>
        <v>Twitter for Android</v>
      </c>
      <c r="L1499" s="15">
        <v>35626.0</v>
      </c>
      <c r="M1499" s="15">
        <v>39149.0</v>
      </c>
      <c r="N1499" s="15">
        <v>104.0</v>
      </c>
      <c r="O1499" s="16"/>
      <c r="P1499" s="17">
        <v>42201.27284722222</v>
      </c>
      <c r="Q1499" s="10" t="s">
        <v>5190</v>
      </c>
      <c r="R1499" s="10" t="s">
        <v>6590</v>
      </c>
      <c r="S1499" s="11" t="s">
        <v>6591</v>
      </c>
      <c r="T1499" s="13"/>
      <c r="U1499" s="18" t="str">
        <f>HYPERLINK("https://pbs.twimg.com/profile_images/1216807867308826624/QQXMDSk5.jpg","View")</f>
        <v>View</v>
      </c>
      <c r="V1499" s="13"/>
      <c r="W1499" s="13"/>
      <c r="X1499" s="13"/>
      <c r="Y1499" s="13"/>
      <c r="Z1499" s="13"/>
    </row>
    <row r="1500">
      <c r="A1500" s="8">
        <v>43848.393912037034</v>
      </c>
      <c r="B1500" s="9" t="str">
        <f>HYPERLINK("https://twitter.com/RelaxIntuit","@RelaxIntuit")</f>
        <v>@RelaxIntuit</v>
      </c>
      <c r="C1500" s="11" t="s">
        <v>6592</v>
      </c>
      <c r="D1500" s="10" t="s">
        <v>6593</v>
      </c>
      <c r="E1500" s="9" t="str">
        <f>HYPERLINK("https://twitter.com/RelaxIntuit/status/1218540353613172736","1218540353613172736")</f>
        <v>1218540353613172736</v>
      </c>
      <c r="F1500" s="11" t="s">
        <v>6594</v>
      </c>
      <c r="G1500" s="11" t="s">
        <v>6595</v>
      </c>
      <c r="H1500" s="13"/>
      <c r="I1500" s="14">
        <v>0.0</v>
      </c>
      <c r="J1500" s="14">
        <v>0.0</v>
      </c>
      <c r="K1500" s="9" t="str">
        <f>HYPERLINK("https://mobile.twitter.com","Twitter Web App")</f>
        <v>Twitter Web App</v>
      </c>
      <c r="L1500" s="15">
        <v>4990.0</v>
      </c>
      <c r="M1500" s="15">
        <v>4561.0</v>
      </c>
      <c r="N1500" s="15">
        <v>311.0</v>
      </c>
      <c r="O1500" s="16"/>
      <c r="P1500" s="17">
        <v>40469.76363425926</v>
      </c>
      <c r="Q1500" s="10" t="s">
        <v>579</v>
      </c>
      <c r="R1500" s="10" t="s">
        <v>6596</v>
      </c>
      <c r="S1500" s="11" t="s">
        <v>6597</v>
      </c>
      <c r="T1500" s="13"/>
      <c r="U1500" s="18" t="str">
        <f>HYPERLINK("https://pbs.twimg.com/profile_images/893631727024852992/G0075m1Z.jpg","View")</f>
        <v>View</v>
      </c>
      <c r="V1500" s="13"/>
      <c r="W1500" s="13"/>
      <c r="X1500" s="13"/>
      <c r="Y1500" s="13"/>
      <c r="Z1500" s="13"/>
    </row>
    <row r="1501">
      <c r="A1501" s="8">
        <v>43848.393900462965</v>
      </c>
      <c r="B1501" s="9" t="str">
        <f>HYPERLINK("https://twitter.com/GetSchooledTour","@GetSchooledTour")</f>
        <v>@GetSchooledTour</v>
      </c>
      <c r="C1501" s="10" t="s">
        <v>6598</v>
      </c>
      <c r="D1501" s="10" t="s">
        <v>6599</v>
      </c>
      <c r="E1501" s="9" t="str">
        <f>HYPERLINK("https://twitter.com/GetSchooledTour/status/1218540350408663042","1218540350408663042")</f>
        <v>1218540350408663042</v>
      </c>
      <c r="F1501" s="11" t="s">
        <v>6600</v>
      </c>
      <c r="G1501" s="13"/>
      <c r="H1501" s="13"/>
      <c r="I1501" s="14">
        <v>0.0</v>
      </c>
      <c r="J1501" s="14">
        <v>0.0</v>
      </c>
      <c r="K1501" s="9" t="str">
        <f>HYPERLINK("http://instagram.com","Instagram")</f>
        <v>Instagram</v>
      </c>
      <c r="L1501" s="15">
        <v>63.0</v>
      </c>
      <c r="M1501" s="15">
        <v>34.0</v>
      </c>
      <c r="N1501" s="15">
        <v>1.0</v>
      </c>
      <c r="O1501" s="16"/>
      <c r="P1501" s="17">
        <v>41587.696863425925</v>
      </c>
      <c r="Q1501" s="10" t="s">
        <v>1336</v>
      </c>
      <c r="R1501" s="10" t="s">
        <v>6601</v>
      </c>
      <c r="S1501" s="11" t="s">
        <v>6602</v>
      </c>
      <c r="T1501" s="13"/>
      <c r="U1501" s="18" t="str">
        <f>HYPERLINK("https://pbs.twimg.com/profile_images/378800000717855679/5530770964092baf9049c15b7a2ea410.jpeg","View")</f>
        <v>View</v>
      </c>
      <c r="V1501" s="13"/>
      <c r="W1501" s="13"/>
      <c r="X1501" s="13"/>
      <c r="Y1501" s="13"/>
      <c r="Z1501" s="13"/>
    </row>
    <row r="1502">
      <c r="A1502" s="8">
        <v>43848.39371527778</v>
      </c>
      <c r="B1502" s="9" t="str">
        <f>HYPERLINK("https://twitter.com/JefflinP","@JefflinP")</f>
        <v>@JefflinP</v>
      </c>
      <c r="C1502" s="10" t="s">
        <v>6603</v>
      </c>
      <c r="D1502" s="10" t="s">
        <v>6604</v>
      </c>
      <c r="E1502" s="9" t="str">
        <f>HYPERLINK("https://twitter.com/JefflinP/status/1218540284859912193","1218540284859912193")</f>
        <v>1218540284859912193</v>
      </c>
      <c r="F1502" s="13"/>
      <c r="G1502" s="11" t="s">
        <v>6605</v>
      </c>
      <c r="H1502" s="13"/>
      <c r="I1502" s="14">
        <v>0.0</v>
      </c>
      <c r="J1502" s="14">
        <v>2.0</v>
      </c>
      <c r="K1502" s="9" t="str">
        <f>HYPERLINK("http://twitter.com/download/android","Twitter for Android")</f>
        <v>Twitter for Android</v>
      </c>
      <c r="L1502" s="15">
        <v>24.0</v>
      </c>
      <c r="M1502" s="15">
        <v>26.0</v>
      </c>
      <c r="N1502" s="15">
        <v>0.0</v>
      </c>
      <c r="O1502" s="16"/>
      <c r="P1502" s="17">
        <v>43543.14881944444</v>
      </c>
      <c r="Q1502" s="10" t="s">
        <v>6606</v>
      </c>
      <c r="R1502" s="10" t="s">
        <v>6607</v>
      </c>
      <c r="S1502" s="11" t="s">
        <v>6608</v>
      </c>
      <c r="T1502" s="13"/>
      <c r="U1502" s="18" t="str">
        <f>HYPERLINK("https://pbs.twimg.com/profile_images/1166984977487032320/F30yEPcj.jpg","View")</f>
        <v>View</v>
      </c>
      <c r="V1502" s="13"/>
      <c r="W1502" s="13"/>
      <c r="X1502" s="13"/>
      <c r="Y1502" s="13"/>
      <c r="Z1502" s="13"/>
    </row>
    <row r="1503">
      <c r="A1503" s="8">
        <v>43848.39336805556</v>
      </c>
      <c r="B1503" s="9" t="str">
        <f>HYPERLINK("https://twitter.com/picardonhealth","@picardonhealth")</f>
        <v>@picardonhealth</v>
      </c>
      <c r="C1503" s="10" t="s">
        <v>6567</v>
      </c>
      <c r="D1503" s="10" t="s">
        <v>6609</v>
      </c>
      <c r="E1503" s="9" t="str">
        <f>HYPERLINK("https://twitter.com/picardonhealth/status/1218540158791962630","1218540158791962630")</f>
        <v>1218540158791962630</v>
      </c>
      <c r="F1503" s="11" t="s">
        <v>6610</v>
      </c>
      <c r="G1503" s="13"/>
      <c r="H1503" s="13"/>
      <c r="I1503" s="14">
        <v>0.0</v>
      </c>
      <c r="J1503" s="14">
        <v>1.0</v>
      </c>
      <c r="K1503" s="9" t="str">
        <f t="shared" ref="K1503:K1504" si="178">HYPERLINK("http://twitter.com","Twitter Web Client")</f>
        <v>Twitter Web Client</v>
      </c>
      <c r="L1503" s="15">
        <v>88276.0</v>
      </c>
      <c r="M1503" s="15">
        <v>1742.0</v>
      </c>
      <c r="N1503" s="15">
        <v>2442.0</v>
      </c>
      <c r="O1503" s="21" t="s">
        <v>522</v>
      </c>
      <c r="P1503" s="17">
        <v>40589.74395833333</v>
      </c>
      <c r="Q1503" s="10" t="s">
        <v>6569</v>
      </c>
      <c r="R1503" s="10" t="s">
        <v>6570</v>
      </c>
      <c r="S1503" s="11" t="s">
        <v>6571</v>
      </c>
      <c r="T1503" s="13"/>
      <c r="U1503" s="18" t="str">
        <f>HYPERLINK("https://pbs.twimg.com/profile_images/1194132906463154176/8aMv29y-.jpg","View")</f>
        <v>View</v>
      </c>
      <c r="V1503" s="13"/>
      <c r="W1503" s="13"/>
      <c r="X1503" s="13"/>
      <c r="Y1503" s="13"/>
      <c r="Z1503" s="13"/>
    </row>
    <row r="1504">
      <c r="A1504" s="8">
        <v>43848.39324074074</v>
      </c>
      <c r="B1504" s="9" t="str">
        <f>HYPERLINK("https://twitter.com/runningfromthe5","@runningfromthe5")</f>
        <v>@runningfromthe5</v>
      </c>
      <c r="C1504" s="10" t="s">
        <v>6611</v>
      </c>
      <c r="D1504" s="10" t="s">
        <v>6612</v>
      </c>
      <c r="E1504" s="9" t="str">
        <f>HYPERLINK("https://twitter.com/runningfromthe5/status/1218540110288957446","1218540110288957446")</f>
        <v>1218540110288957446</v>
      </c>
      <c r="F1504" s="11" t="s">
        <v>6613</v>
      </c>
      <c r="G1504" s="13"/>
      <c r="H1504" s="13"/>
      <c r="I1504" s="14">
        <v>2.0</v>
      </c>
      <c r="J1504" s="14">
        <v>5.0</v>
      </c>
      <c r="K1504" s="9" t="str">
        <f t="shared" si="178"/>
        <v>Twitter Web Client</v>
      </c>
      <c r="L1504" s="15">
        <v>96.0</v>
      </c>
      <c r="M1504" s="15">
        <v>96.0</v>
      </c>
      <c r="N1504" s="15">
        <v>2.0</v>
      </c>
      <c r="O1504" s="16"/>
      <c r="P1504" s="17">
        <v>43484.63015046297</v>
      </c>
      <c r="Q1504" s="10" t="s">
        <v>6614</v>
      </c>
      <c r="R1504" s="10" t="s">
        <v>6615</v>
      </c>
      <c r="S1504" s="11" t="s">
        <v>6616</v>
      </c>
      <c r="T1504" s="13"/>
      <c r="U1504" s="18" t="str">
        <f>HYPERLINK("https://pbs.twimg.com/profile_images/1212435800803217412/BmbjmeSI.jpg","View")</f>
        <v>View</v>
      </c>
      <c r="V1504" s="13"/>
      <c r="W1504" s="13"/>
      <c r="X1504" s="13"/>
      <c r="Y1504" s="13"/>
      <c r="Z1504" s="13"/>
    </row>
    <row r="1505">
      <c r="A1505" s="8">
        <v>43848.39320601852</v>
      </c>
      <c r="B1505" s="9" t="str">
        <f>HYPERLINK("https://twitter.com/Shalako57","@Shalako57")</f>
        <v>@Shalako57</v>
      </c>
      <c r="C1505" s="10" t="s">
        <v>6617</v>
      </c>
      <c r="D1505" s="10" t="s">
        <v>6618</v>
      </c>
      <c r="E1505" s="9" t="str">
        <f>HYPERLINK("https://twitter.com/Shalako57/status/1218540096997163011","1218540096997163011")</f>
        <v>1218540096997163011</v>
      </c>
      <c r="F1505" s="11" t="s">
        <v>6619</v>
      </c>
      <c r="G1505" s="13"/>
      <c r="H1505" s="13"/>
      <c r="I1505" s="14">
        <v>0.0</v>
      </c>
      <c r="J1505" s="14">
        <v>0.0</v>
      </c>
      <c r="K1505" s="9" t="str">
        <f>HYPERLINK("https://mobile.twitter.com","Twitter Web App")</f>
        <v>Twitter Web App</v>
      </c>
      <c r="L1505" s="15">
        <v>44.0</v>
      </c>
      <c r="M1505" s="15">
        <v>68.0</v>
      </c>
      <c r="N1505" s="15">
        <v>2.0</v>
      </c>
      <c r="O1505" s="16"/>
      <c r="P1505" s="17">
        <v>41702.192511574074</v>
      </c>
      <c r="Q1505" s="10" t="s">
        <v>3079</v>
      </c>
      <c r="R1505" s="10" t="s">
        <v>6620</v>
      </c>
      <c r="S1505" s="13"/>
      <c r="T1505" s="13"/>
      <c r="U1505" s="18" t="str">
        <f>HYPERLINK("https://pbs.twimg.com/profile_images/1210990560284151811/1phtXHDy.jpg","View")</f>
        <v>View</v>
      </c>
      <c r="V1505" s="13"/>
      <c r="W1505" s="13"/>
      <c r="X1505" s="13"/>
      <c r="Y1505" s="13"/>
      <c r="Z1505" s="13"/>
    </row>
    <row r="1506">
      <c r="A1506" s="8">
        <v>43848.393171296295</v>
      </c>
      <c r="B1506" s="9" t="str">
        <f>HYPERLINK("https://twitter.com/HappyHeadsMH","@HappyHeadsMH")</f>
        <v>@HappyHeadsMH</v>
      </c>
      <c r="C1506" s="10" t="s">
        <v>6439</v>
      </c>
      <c r="D1506" s="10" t="s">
        <v>6621</v>
      </c>
      <c r="E1506" s="9" t="str">
        <f>HYPERLINK("https://twitter.com/HappyHeadsMH/status/1218540086968582145","1218540086968582145")</f>
        <v>1218540086968582145</v>
      </c>
      <c r="F1506" s="13"/>
      <c r="G1506" s="11" t="s">
        <v>6622</v>
      </c>
      <c r="H1506" s="13"/>
      <c r="I1506" s="14">
        <v>1.0</v>
      </c>
      <c r="J1506" s="14">
        <v>2.0</v>
      </c>
      <c r="K1506" s="9" t="str">
        <f>HYPERLINK("http://twitter.com/download/android","Twitter for Android")</f>
        <v>Twitter for Android</v>
      </c>
      <c r="L1506" s="15">
        <v>109.0</v>
      </c>
      <c r="M1506" s="15">
        <v>156.0</v>
      </c>
      <c r="N1506" s="15">
        <v>1.0</v>
      </c>
      <c r="O1506" s="16"/>
      <c r="P1506" s="17">
        <v>43202.733449074076</v>
      </c>
      <c r="Q1506" s="10" t="s">
        <v>95</v>
      </c>
      <c r="R1506" s="10" t="s">
        <v>6441</v>
      </c>
      <c r="S1506" s="11" t="s">
        <v>6442</v>
      </c>
      <c r="T1506" s="13"/>
      <c r="U1506" s="18" t="str">
        <f>HYPERLINK("https://pbs.twimg.com/profile_images/988509024940380160/YMvMh0C5.jpg","View")</f>
        <v>View</v>
      </c>
      <c r="V1506" s="13"/>
      <c r="W1506" s="13"/>
      <c r="X1506" s="13"/>
      <c r="Y1506" s="13"/>
      <c r="Z1506" s="13"/>
    </row>
    <row r="1507">
      <c r="A1507" s="8">
        <v>43848.39314814815</v>
      </c>
      <c r="B1507" s="9" t="str">
        <f>HYPERLINK("https://twitter.com/HilaryJHendel","@HilaryJHendel")</f>
        <v>@HilaryJHendel</v>
      </c>
      <c r="C1507" s="10" t="s">
        <v>6399</v>
      </c>
      <c r="D1507" s="10" t="s">
        <v>6623</v>
      </c>
      <c r="E1507" s="9" t="str">
        <f>HYPERLINK("https://twitter.com/HilaryJHendel/status/1218540078894587906","1218540078894587906")</f>
        <v>1218540078894587906</v>
      </c>
      <c r="F1507" s="11" t="s">
        <v>6624</v>
      </c>
      <c r="G1507" s="13"/>
      <c r="H1507" s="13"/>
      <c r="I1507" s="14">
        <v>0.0</v>
      </c>
      <c r="J1507" s="14">
        <v>1.0</v>
      </c>
      <c r="K1507" s="9" t="str">
        <f>HYPERLINK("http://twitter.com/download/iphone","Twitter for iPhone")</f>
        <v>Twitter for iPhone</v>
      </c>
      <c r="L1507" s="15">
        <v>8676.0</v>
      </c>
      <c r="M1507" s="15">
        <v>4528.0</v>
      </c>
      <c r="N1507" s="15">
        <v>526.0</v>
      </c>
      <c r="O1507" s="16"/>
      <c r="P1507" s="17">
        <v>42251.395104166666</v>
      </c>
      <c r="Q1507" s="10" t="s">
        <v>261</v>
      </c>
      <c r="R1507" s="10" t="s">
        <v>6402</v>
      </c>
      <c r="S1507" s="11" t="s">
        <v>6403</v>
      </c>
      <c r="T1507" s="13"/>
      <c r="U1507" s="18" t="str">
        <f>HYPERLINK("https://pbs.twimg.com/profile_images/720686064436965377/O2ECk3lR.jpg","View")</f>
        <v>View</v>
      </c>
      <c r="V1507" s="13"/>
      <c r="W1507" s="13"/>
      <c r="X1507" s="13"/>
      <c r="Y1507" s="13"/>
      <c r="Z1507" s="13"/>
    </row>
    <row r="1508">
      <c r="A1508" s="8">
        <v>43848.393055555556</v>
      </c>
      <c r="B1508" s="9" t="str">
        <f>HYPERLINK("https://twitter.com/BizDonuts","@BizDonuts")</f>
        <v>@BizDonuts</v>
      </c>
      <c r="C1508" s="10" t="s">
        <v>6625</v>
      </c>
      <c r="D1508" s="10" t="s">
        <v>6626</v>
      </c>
      <c r="E1508" s="9" t="str">
        <f>HYPERLINK("https://twitter.com/BizDonuts/status/1218540045147234316","1218540045147234316")</f>
        <v>1218540045147234316</v>
      </c>
      <c r="F1508" s="11" t="s">
        <v>6627</v>
      </c>
      <c r="G1508" s="13"/>
      <c r="H1508" s="13"/>
      <c r="I1508" s="14">
        <v>1.0</v>
      </c>
      <c r="J1508" s="14">
        <v>0.0</v>
      </c>
      <c r="K1508" s="9" t="str">
        <f>HYPERLINK("https://sproutsocial.com","Sprout Social")</f>
        <v>Sprout Social</v>
      </c>
      <c r="L1508" s="15">
        <v>15507.0</v>
      </c>
      <c r="M1508" s="15">
        <v>4078.0</v>
      </c>
      <c r="N1508" s="15">
        <v>855.0</v>
      </c>
      <c r="O1508" s="16"/>
      <c r="P1508" s="17">
        <v>39962.284155092595</v>
      </c>
      <c r="Q1508" s="10" t="s">
        <v>6628</v>
      </c>
      <c r="R1508" s="10" t="s">
        <v>6629</v>
      </c>
      <c r="S1508" s="11" t="s">
        <v>6630</v>
      </c>
      <c r="T1508" s="13"/>
      <c r="U1508" s="18" t="str">
        <f>HYPERLINK("https://pbs.twimg.com/profile_images/1212310615462678528/WM9GYrlb.jpg","View")</f>
        <v>View</v>
      </c>
      <c r="V1508" s="13"/>
      <c r="W1508" s="13"/>
      <c r="X1508" s="13"/>
      <c r="Y1508" s="13"/>
      <c r="Z1508" s="13"/>
    </row>
    <row r="1509">
      <c r="A1509" s="8">
        <v>43848.39236111111</v>
      </c>
      <c r="B1509" s="9" t="str">
        <f>HYPERLINK("https://twitter.com/DeekshaArora20","@DeekshaArora20")</f>
        <v>@DeekshaArora20</v>
      </c>
      <c r="C1509" s="10" t="s">
        <v>6631</v>
      </c>
      <c r="D1509" s="10" t="s">
        <v>6632</v>
      </c>
      <c r="E1509" s="9" t="str">
        <f>HYPERLINK("https://twitter.com/DeekshaArora20/status/1218539790829621248","1218539790829621248")</f>
        <v>1218539790829621248</v>
      </c>
      <c r="F1509" s="11" t="s">
        <v>6633</v>
      </c>
      <c r="G1509" s="11" t="s">
        <v>6634</v>
      </c>
      <c r="H1509" s="13"/>
      <c r="I1509" s="14">
        <v>2.0</v>
      </c>
      <c r="J1509" s="14">
        <v>2.0</v>
      </c>
      <c r="K1509" s="9" t="str">
        <f>HYPERLINK("http://twitter.com/download/iphone","Twitter for iPhone")</f>
        <v>Twitter for iPhone</v>
      </c>
      <c r="L1509" s="15">
        <v>119.0</v>
      </c>
      <c r="M1509" s="15">
        <v>325.0</v>
      </c>
      <c r="N1509" s="15">
        <v>2.0</v>
      </c>
      <c r="O1509" s="16"/>
      <c r="P1509" s="17">
        <v>43071.531689814816</v>
      </c>
      <c r="Q1509" s="10" t="s">
        <v>6635</v>
      </c>
      <c r="R1509" s="10" t="s">
        <v>6636</v>
      </c>
      <c r="S1509" s="11" t="s">
        <v>6637</v>
      </c>
      <c r="T1509" s="13"/>
      <c r="U1509" s="18" t="str">
        <f>HYPERLINK("https://pbs.twimg.com/profile_images/1069629075730456579/sAJct_HP.jpg","View")</f>
        <v>View</v>
      </c>
      <c r="V1509" s="13"/>
      <c r="W1509" s="13"/>
      <c r="X1509" s="13"/>
      <c r="Y1509" s="13"/>
      <c r="Z1509" s="13"/>
    </row>
    <row r="1510">
      <c r="A1510" s="8">
        <v>43848.3915625</v>
      </c>
      <c r="B1510" s="9" t="str">
        <f>HYPERLINK("https://twitter.com/therealdankris","@therealdankris")</f>
        <v>@therealdankris</v>
      </c>
      <c r="C1510" s="10" t="s">
        <v>6638</v>
      </c>
      <c r="D1510" s="10" t="s">
        <v>238</v>
      </c>
      <c r="E1510" s="9" t="str">
        <f>HYPERLINK("https://twitter.com/therealdankris/status/1218539503704367104","1218539503704367104")</f>
        <v>1218539503704367104</v>
      </c>
      <c r="F1510" s="13"/>
      <c r="G1510" s="13"/>
      <c r="H1510" s="13"/>
      <c r="I1510" s="14">
        <v>0.0</v>
      </c>
      <c r="J1510" s="14">
        <v>0.0</v>
      </c>
      <c r="K1510" s="9" t="str">
        <f>HYPERLINK("https://mobile.twitter.com","Twitter Web App")</f>
        <v>Twitter Web App</v>
      </c>
      <c r="L1510" s="15">
        <v>4205.0</v>
      </c>
      <c r="M1510" s="15">
        <v>896.0</v>
      </c>
      <c r="N1510" s="15">
        <v>12.0</v>
      </c>
      <c r="O1510" s="16"/>
      <c r="P1510" s="17">
        <v>40771.31418981482</v>
      </c>
      <c r="Q1510" s="10" t="s">
        <v>6639</v>
      </c>
      <c r="R1510" s="10" t="s">
        <v>6640</v>
      </c>
      <c r="S1510" s="13"/>
      <c r="T1510" s="13"/>
      <c r="U1510" s="18" t="str">
        <f>HYPERLINK("https://pbs.twimg.com/profile_images/1172803365463457792/ceCbCo7w.jpg","View")</f>
        <v>View</v>
      </c>
      <c r="V1510" s="13"/>
      <c r="W1510" s="13"/>
      <c r="X1510" s="13"/>
      <c r="Y1510" s="13"/>
      <c r="Z1510" s="13"/>
    </row>
    <row r="1511">
      <c r="A1511" s="8">
        <v>43848.39047453704</v>
      </c>
      <c r="B1511" s="9" t="str">
        <f>HYPERLINK("https://twitter.com/Pinkandwild","@Pinkandwild")</f>
        <v>@Pinkandwild</v>
      </c>
      <c r="C1511" s="10" t="s">
        <v>6641</v>
      </c>
      <c r="D1511" s="10" t="s">
        <v>6642</v>
      </c>
      <c r="E1511" s="9" t="str">
        <f>HYPERLINK("https://twitter.com/Pinkandwild/status/1218539109108592644","1218539109108592644")</f>
        <v>1218539109108592644</v>
      </c>
      <c r="F1511" s="13"/>
      <c r="G1511" s="11" t="s">
        <v>6643</v>
      </c>
      <c r="H1511" s="13"/>
      <c r="I1511" s="14">
        <v>1.0</v>
      </c>
      <c r="J1511" s="14">
        <v>0.0</v>
      </c>
      <c r="K1511" s="9" t="str">
        <f>HYPERLINK("http://twitter.com/download/iphone","Twitter for iPhone")</f>
        <v>Twitter for iPhone</v>
      </c>
      <c r="L1511" s="15">
        <v>1245.0</v>
      </c>
      <c r="M1511" s="15">
        <v>99.0</v>
      </c>
      <c r="N1511" s="15">
        <v>133.0</v>
      </c>
      <c r="O1511" s="16"/>
      <c r="P1511" s="17">
        <v>39969.79178240741</v>
      </c>
      <c r="Q1511" s="10" t="s">
        <v>6644</v>
      </c>
      <c r="R1511" s="10" t="s">
        <v>6645</v>
      </c>
      <c r="S1511" s="11" t="s">
        <v>6646</v>
      </c>
      <c r="T1511" s="13"/>
      <c r="U1511" s="18" t="str">
        <f>HYPERLINK("https://pbs.twimg.com/profile_images/1212267658294571009/RB4N2A3m.jpg","View")</f>
        <v>View</v>
      </c>
      <c r="V1511" s="13"/>
      <c r="W1511" s="13"/>
      <c r="X1511" s="13"/>
      <c r="Y1511" s="13"/>
      <c r="Z1511" s="13"/>
    </row>
    <row r="1512">
      <c r="A1512" s="8">
        <v>43848.39027777778</v>
      </c>
      <c r="B1512" s="9" t="str">
        <f>HYPERLINK("https://twitter.com/grouptherapy33","@grouptherapy33")</f>
        <v>@grouptherapy33</v>
      </c>
      <c r="C1512" s="10" t="s">
        <v>831</v>
      </c>
      <c r="D1512" s="10" t="s">
        <v>6647</v>
      </c>
      <c r="E1512" s="9" t="str">
        <f>HYPERLINK("https://twitter.com/grouptherapy33/status/1218539036773625856","1218539036773625856")</f>
        <v>1218539036773625856</v>
      </c>
      <c r="F1512" s="13"/>
      <c r="G1512" s="13"/>
      <c r="H1512" s="13"/>
      <c r="I1512" s="14">
        <v>0.0</v>
      </c>
      <c r="J1512" s="14">
        <v>0.0</v>
      </c>
      <c r="K1512" s="9" t="str">
        <f>HYPERLINK("http://www.DynamicTweets.com","Dynamic Tweets")</f>
        <v>Dynamic Tweets</v>
      </c>
      <c r="L1512" s="15">
        <v>4053.0</v>
      </c>
      <c r="M1512" s="15">
        <v>3517.0</v>
      </c>
      <c r="N1512" s="15">
        <v>74.0</v>
      </c>
      <c r="O1512" s="16"/>
      <c r="P1512" s="17">
        <v>42375.45542824074</v>
      </c>
      <c r="Q1512" s="13"/>
      <c r="R1512" s="13"/>
      <c r="S1512" s="11" t="s">
        <v>833</v>
      </c>
      <c r="T1512" s="13"/>
      <c r="U1512" s="18" t="str">
        <f>HYPERLINK("https://pbs.twimg.com/profile_images/773354507157671941/wE10yy8j.jpg","View")</f>
        <v>View</v>
      </c>
      <c r="V1512" s="13"/>
      <c r="W1512" s="13"/>
      <c r="X1512" s="13"/>
      <c r="Y1512" s="13"/>
      <c r="Z1512" s="13"/>
    </row>
    <row r="1513">
      <c r="A1513" s="8">
        <v>43848.38983796297</v>
      </c>
      <c r="B1513" s="9" t="str">
        <f>HYPERLINK("https://twitter.com/BipolarMomLife","@BipolarMomLife")</f>
        <v>@BipolarMomLife</v>
      </c>
      <c r="C1513" s="10" t="s">
        <v>6648</v>
      </c>
      <c r="D1513" s="10" t="s">
        <v>6649</v>
      </c>
      <c r="E1513" s="9" t="str">
        <f>HYPERLINK("https://twitter.com/BipolarMomLife/status/1218538876421144582","1218538876421144582")</f>
        <v>1218538876421144582</v>
      </c>
      <c r="F1513" s="13"/>
      <c r="G1513" s="11" t="s">
        <v>6650</v>
      </c>
      <c r="H1513" s="13"/>
      <c r="I1513" s="14">
        <v>2.0</v>
      </c>
      <c r="J1513" s="14">
        <v>5.0</v>
      </c>
      <c r="K1513" s="9" t="str">
        <f t="shared" ref="K1513:K1514" si="179">HYPERLINK("http://twitter.com/download/iphone","Twitter for iPhone")</f>
        <v>Twitter for iPhone</v>
      </c>
      <c r="L1513" s="15">
        <v>6604.0</v>
      </c>
      <c r="M1513" s="15">
        <v>3883.0</v>
      </c>
      <c r="N1513" s="15">
        <v>199.0</v>
      </c>
      <c r="O1513" s="16"/>
      <c r="P1513" s="17">
        <v>40765.82300925926</v>
      </c>
      <c r="Q1513" s="10" t="s">
        <v>6651</v>
      </c>
      <c r="R1513" s="10" t="s">
        <v>6652</v>
      </c>
      <c r="S1513" s="11" t="s">
        <v>6653</v>
      </c>
      <c r="T1513" s="13"/>
      <c r="U1513" s="18" t="str">
        <f>HYPERLINK("https://pbs.twimg.com/profile_images/999009878743040000/c27wL4rh.jpg","View")</f>
        <v>View</v>
      </c>
      <c r="V1513" s="13"/>
      <c r="W1513" s="13"/>
      <c r="X1513" s="13"/>
      <c r="Y1513" s="13"/>
      <c r="Z1513" s="13"/>
    </row>
    <row r="1514">
      <c r="A1514" s="8">
        <v>43848.38946759259</v>
      </c>
      <c r="B1514" s="9" t="str">
        <f>HYPERLINK("https://twitter.com/blogMostlySunny","@blogMostlySunny")</f>
        <v>@blogMostlySunny</v>
      </c>
      <c r="C1514" s="10" t="s">
        <v>6654</v>
      </c>
      <c r="D1514" s="10" t="s">
        <v>6655</v>
      </c>
      <c r="E1514" s="9" t="str">
        <f>HYPERLINK("https://twitter.com/blogMostlySunny/status/1218538742375501824","1218538742375501824")</f>
        <v>1218538742375501824</v>
      </c>
      <c r="F1514" s="11" t="s">
        <v>6656</v>
      </c>
      <c r="G1514" s="11" t="s">
        <v>6657</v>
      </c>
      <c r="H1514" s="13"/>
      <c r="I1514" s="14">
        <v>0.0</v>
      </c>
      <c r="J1514" s="14">
        <v>1.0</v>
      </c>
      <c r="K1514" s="9" t="str">
        <f t="shared" si="179"/>
        <v>Twitter for iPhone</v>
      </c>
      <c r="L1514" s="15">
        <v>0.0</v>
      </c>
      <c r="M1514" s="15">
        <v>5.0</v>
      </c>
      <c r="N1514" s="15">
        <v>0.0</v>
      </c>
      <c r="O1514" s="16"/>
      <c r="P1514" s="17">
        <v>43786.784039351856</v>
      </c>
      <c r="Q1514" s="13"/>
      <c r="R1514" s="10" t="s">
        <v>6658</v>
      </c>
      <c r="S1514" s="11" t="s">
        <v>6659</v>
      </c>
      <c r="T1514" s="13"/>
      <c r="U1514" s="18" t="str">
        <f>HYPERLINK("https://pbs.twimg.com/profile_images/1196214173669240832/---bpifR.jpg","View")</f>
        <v>View</v>
      </c>
      <c r="V1514" s="13"/>
      <c r="W1514" s="13"/>
      <c r="X1514" s="13"/>
      <c r="Y1514" s="13"/>
      <c r="Z1514" s="13"/>
    </row>
    <row r="1515">
      <c r="A1515" s="8">
        <v>43848.38895833334</v>
      </c>
      <c r="B1515" s="9" t="str">
        <f>HYPERLINK("https://twitter.com/djemal_ua","@djemal_ua")</f>
        <v>@djemal_ua</v>
      </c>
      <c r="C1515" s="10" t="s">
        <v>1161</v>
      </c>
      <c r="D1515" s="10" t="s">
        <v>6660</v>
      </c>
      <c r="E1515" s="9" t="str">
        <f>HYPERLINK("https://twitter.com/djemal_ua/status/1218538557364736001","1218538557364736001")</f>
        <v>1218538557364736001</v>
      </c>
      <c r="F1515" s="11" t="s">
        <v>6661</v>
      </c>
      <c r="G1515" s="13"/>
      <c r="H1515" s="13"/>
      <c r="I1515" s="14">
        <v>0.0</v>
      </c>
      <c r="J1515" s="14">
        <v>0.0</v>
      </c>
      <c r="K1515" s="9" t="str">
        <f t="shared" ref="K1515:K1516" si="180">HYPERLINK("https://www.hootsuite.com","Hootsuite Inc.")</f>
        <v>Hootsuite Inc.</v>
      </c>
      <c r="L1515" s="15">
        <v>5127.0</v>
      </c>
      <c r="M1515" s="15">
        <v>4724.0</v>
      </c>
      <c r="N1515" s="15">
        <v>60.0</v>
      </c>
      <c r="O1515" s="16"/>
      <c r="P1515" s="17">
        <v>43530.25729166667</v>
      </c>
      <c r="Q1515" s="10" t="s">
        <v>95</v>
      </c>
      <c r="R1515" s="10" t="s">
        <v>1164</v>
      </c>
      <c r="S1515" s="11" t="s">
        <v>1165</v>
      </c>
      <c r="T1515" s="13"/>
      <c r="U1515" s="18" t="str">
        <f>HYPERLINK("https://pbs.twimg.com/profile_images/1202978381106761728/aqUhVSTO.jpg","View")</f>
        <v>View</v>
      </c>
      <c r="V1515" s="13"/>
      <c r="W1515" s="13"/>
      <c r="X1515" s="13"/>
      <c r="Y1515" s="13"/>
      <c r="Z1515" s="13"/>
    </row>
    <row r="1516">
      <c r="A1516" s="8">
        <v>43848.38893518518</v>
      </c>
      <c r="B1516" s="9" t="str">
        <f>HYPERLINK("https://twitter.com/SE_CE_MIND","@SE_CE_MIND")</f>
        <v>@SE_CE_MIND</v>
      </c>
      <c r="C1516" s="10" t="s">
        <v>6662</v>
      </c>
      <c r="D1516" s="10" t="s">
        <v>6663</v>
      </c>
      <c r="E1516" s="9" t="str">
        <f>HYPERLINK("https://twitter.com/SE_CE_MIND/status/1218538551207436288","1218538551207436288")</f>
        <v>1218538551207436288</v>
      </c>
      <c r="F1516" s="11" t="s">
        <v>6664</v>
      </c>
      <c r="G1516" s="13"/>
      <c r="H1516" s="13"/>
      <c r="I1516" s="14">
        <v>0.0</v>
      </c>
      <c r="J1516" s="14">
        <v>0.0</v>
      </c>
      <c r="K1516" s="9" t="str">
        <f t="shared" si="180"/>
        <v>Hootsuite Inc.</v>
      </c>
      <c r="L1516" s="15">
        <v>1827.0</v>
      </c>
      <c r="M1516" s="15">
        <v>3091.0</v>
      </c>
      <c r="N1516" s="15">
        <v>37.0</v>
      </c>
      <c r="O1516" s="16"/>
      <c r="P1516" s="17">
        <v>41808.282418981486</v>
      </c>
      <c r="Q1516" s="10" t="s">
        <v>6665</v>
      </c>
      <c r="R1516" s="10" t="s">
        <v>6666</v>
      </c>
      <c r="S1516" s="11" t="s">
        <v>6667</v>
      </c>
      <c r="T1516" s="13"/>
      <c r="U1516" s="18" t="str">
        <f>HYPERLINK("https://pbs.twimg.com/profile_images/825710989169553408/LvCtoo5V.jpg","View")</f>
        <v>View</v>
      </c>
      <c r="V1516" s="13"/>
      <c r="W1516" s="13"/>
      <c r="X1516" s="13"/>
      <c r="Y1516" s="13"/>
      <c r="Z1516" s="13"/>
    </row>
    <row r="1517">
      <c r="A1517" s="8">
        <v>43848.38891203704</v>
      </c>
      <c r="B1517" s="9" t="str">
        <f>HYPERLINK("https://twitter.com/TomClayCotter","@TomClayCotter")</f>
        <v>@TomClayCotter</v>
      </c>
      <c r="C1517" s="10" t="s">
        <v>6668</v>
      </c>
      <c r="D1517" s="10" t="s">
        <v>6669</v>
      </c>
      <c r="E1517" s="9" t="str">
        <f>HYPERLINK("https://twitter.com/TomClayCotter/status/1218538541891956736","1218538541891956736")</f>
        <v>1218538541891956736</v>
      </c>
      <c r="F1517" s="11" t="s">
        <v>6670</v>
      </c>
      <c r="G1517" s="11" t="s">
        <v>6671</v>
      </c>
      <c r="H1517" s="13"/>
      <c r="I1517" s="14">
        <v>0.0</v>
      </c>
      <c r="J1517" s="14">
        <v>0.0</v>
      </c>
      <c r="K1517" s="9" t="str">
        <f>HYPERLINK("https://buffer.com","Buffer")</f>
        <v>Buffer</v>
      </c>
      <c r="L1517" s="15">
        <v>3746.0</v>
      </c>
      <c r="M1517" s="15">
        <v>1829.0</v>
      </c>
      <c r="N1517" s="15">
        <v>194.0</v>
      </c>
      <c r="O1517" s="16"/>
      <c r="P1517" s="17">
        <v>39668.6090625</v>
      </c>
      <c r="Q1517" s="10" t="s">
        <v>6672</v>
      </c>
      <c r="R1517" s="10" t="s">
        <v>6673</v>
      </c>
      <c r="S1517" s="11" t="s">
        <v>6674</v>
      </c>
      <c r="T1517" s="13"/>
      <c r="U1517" s="18" t="str">
        <f>HYPERLINK("https://pbs.twimg.com/profile_images/1086796903180689408/F2qhxorh.jpg","View")</f>
        <v>View</v>
      </c>
      <c r="V1517" s="13"/>
      <c r="W1517" s="13"/>
      <c r="X1517" s="13"/>
      <c r="Y1517" s="13"/>
      <c r="Z1517" s="13"/>
    </row>
    <row r="1518">
      <c r="A1518" s="8">
        <v>43848.3884837963</v>
      </c>
      <c r="B1518" s="9" t="str">
        <f>HYPERLINK("https://twitter.com/chidemannie","@chidemannie")</f>
        <v>@chidemannie</v>
      </c>
      <c r="C1518" s="10" t="s">
        <v>6675</v>
      </c>
      <c r="D1518" s="10" t="s">
        <v>238</v>
      </c>
      <c r="E1518" s="9" t="str">
        <f>HYPERLINK("https://twitter.com/chidemannie/status/1218538385712861185","1218538385712861185")</f>
        <v>1218538385712861185</v>
      </c>
      <c r="F1518" s="13"/>
      <c r="G1518" s="13"/>
      <c r="H1518" s="13"/>
      <c r="I1518" s="14">
        <v>0.0</v>
      </c>
      <c r="J1518" s="14">
        <v>0.0</v>
      </c>
      <c r="K1518" s="9" t="str">
        <f t="shared" ref="K1518:K1520" si="181">HYPERLINK("http://twitter.com/download/iphone","Twitter for iPhone")</f>
        <v>Twitter for iPhone</v>
      </c>
      <c r="L1518" s="15">
        <v>745.0</v>
      </c>
      <c r="M1518" s="15">
        <v>1502.0</v>
      </c>
      <c r="N1518" s="15">
        <v>7.0</v>
      </c>
      <c r="O1518" s="16"/>
      <c r="P1518" s="17">
        <v>42944.65267361111</v>
      </c>
      <c r="Q1518" s="10" t="s">
        <v>6676</v>
      </c>
      <c r="R1518" s="10" t="s">
        <v>6677</v>
      </c>
      <c r="S1518" s="11" t="s">
        <v>6678</v>
      </c>
      <c r="T1518" s="13"/>
      <c r="U1518" s="18" t="str">
        <f>HYPERLINK("https://pbs.twimg.com/profile_images/1213424809780101122/kUWlSGP9.jpg","View")</f>
        <v>View</v>
      </c>
      <c r="V1518" s="13"/>
      <c r="W1518" s="13"/>
      <c r="X1518" s="13"/>
      <c r="Y1518" s="13"/>
      <c r="Z1518" s="13"/>
    </row>
    <row r="1519">
      <c r="A1519" s="8">
        <v>43848.388391203705</v>
      </c>
      <c r="B1519" s="9" t="str">
        <f>HYPERLINK("https://twitter.com/RealCoachArnie","@RealCoachArnie")</f>
        <v>@RealCoachArnie</v>
      </c>
      <c r="C1519" s="10" t="s">
        <v>790</v>
      </c>
      <c r="D1519" s="10" t="s">
        <v>6679</v>
      </c>
      <c r="E1519" s="9" t="str">
        <f>HYPERLINK("https://twitter.com/RealCoachArnie/status/1218538354800676864","1218538354800676864")</f>
        <v>1218538354800676864</v>
      </c>
      <c r="F1519" s="13"/>
      <c r="G1519" s="13"/>
      <c r="H1519" s="13"/>
      <c r="I1519" s="14">
        <v>0.0</v>
      </c>
      <c r="J1519" s="14">
        <v>0.0</v>
      </c>
      <c r="K1519" s="9" t="str">
        <f t="shared" si="181"/>
        <v>Twitter for iPhone</v>
      </c>
      <c r="L1519" s="15">
        <v>1397.0</v>
      </c>
      <c r="M1519" s="15">
        <v>2097.0</v>
      </c>
      <c r="N1519" s="15">
        <v>11.0</v>
      </c>
      <c r="O1519" s="16"/>
      <c r="P1519" s="17">
        <v>41075.58196759259</v>
      </c>
      <c r="Q1519" s="10" t="s">
        <v>792</v>
      </c>
      <c r="R1519" s="10" t="s">
        <v>793</v>
      </c>
      <c r="S1519" s="11" t="s">
        <v>794</v>
      </c>
      <c r="T1519" s="13"/>
      <c r="U1519" s="18" t="str">
        <f>HYPERLINK("https://pbs.twimg.com/profile_images/1179206494446747653/PR6-8HMY.jpg","View")</f>
        <v>View</v>
      </c>
      <c r="V1519" s="13"/>
      <c r="W1519" s="13"/>
      <c r="X1519" s="13"/>
      <c r="Y1519" s="13"/>
      <c r="Z1519" s="13"/>
    </row>
    <row r="1520">
      <c r="A1520" s="8">
        <v>43848.38820601851</v>
      </c>
      <c r="B1520" s="9" t="str">
        <f>HYPERLINK("https://twitter.com/dharford79","@dharford79")</f>
        <v>@dharford79</v>
      </c>
      <c r="C1520" s="10" t="s">
        <v>6680</v>
      </c>
      <c r="D1520" s="10" t="s">
        <v>6681</v>
      </c>
      <c r="E1520" s="9" t="str">
        <f>HYPERLINK("https://twitter.com/dharford79/status/1218538286676938752","1218538286676938752")</f>
        <v>1218538286676938752</v>
      </c>
      <c r="F1520" s="13"/>
      <c r="G1520" s="11" t="s">
        <v>6682</v>
      </c>
      <c r="H1520" s="13"/>
      <c r="I1520" s="14">
        <v>108.0</v>
      </c>
      <c r="J1520" s="14">
        <v>178.0</v>
      </c>
      <c r="K1520" s="9" t="str">
        <f t="shared" si="181"/>
        <v>Twitter for iPhone</v>
      </c>
      <c r="L1520" s="15">
        <v>11332.0</v>
      </c>
      <c r="M1520" s="15">
        <v>9126.0</v>
      </c>
      <c r="N1520" s="15">
        <v>113.0</v>
      </c>
      <c r="O1520" s="16"/>
      <c r="P1520" s="17">
        <v>40792.6940625</v>
      </c>
      <c r="Q1520" s="10" t="s">
        <v>6683</v>
      </c>
      <c r="R1520" s="10" t="s">
        <v>6684</v>
      </c>
      <c r="S1520" s="11" t="s">
        <v>6685</v>
      </c>
      <c r="T1520" s="13"/>
      <c r="U1520" s="18" t="str">
        <f>HYPERLINK("https://pbs.twimg.com/profile_images/1206594476170514432/T0aHkHe8.jpg","View")</f>
        <v>View</v>
      </c>
      <c r="V1520" s="13"/>
      <c r="W1520" s="13"/>
      <c r="X1520" s="13"/>
      <c r="Y1520" s="13"/>
      <c r="Z1520" s="13"/>
    </row>
    <row r="1521">
      <c r="A1521" s="8">
        <v>43848.38739583333</v>
      </c>
      <c r="B1521" s="9" t="str">
        <f>HYPERLINK("https://twitter.com/saludytrabajo1","@saludytrabajo1")</f>
        <v>@saludytrabajo1</v>
      </c>
      <c r="C1521" s="10" t="s">
        <v>6686</v>
      </c>
      <c r="D1521" s="10" t="s">
        <v>238</v>
      </c>
      <c r="E1521" s="9" t="str">
        <f>HYPERLINK("https://twitter.com/saludytrabajo1/status/1218537994744999936","1218537994744999936")</f>
        <v>1218537994744999936</v>
      </c>
      <c r="F1521" s="13"/>
      <c r="G1521" s="13"/>
      <c r="H1521" s="13"/>
      <c r="I1521" s="14">
        <v>1.0</v>
      </c>
      <c r="J1521" s="14">
        <v>0.0</v>
      </c>
      <c r="K1521" s="9" t="str">
        <f>HYPERLINK("https://mobile.twitter.com","Twitter Web App")</f>
        <v>Twitter Web App</v>
      </c>
      <c r="L1521" s="15">
        <v>5543.0</v>
      </c>
      <c r="M1521" s="15">
        <v>3734.0</v>
      </c>
      <c r="N1521" s="15">
        <v>20.0</v>
      </c>
      <c r="O1521" s="16"/>
      <c r="P1521" s="17">
        <v>40307.347650462965</v>
      </c>
      <c r="Q1521" s="13"/>
      <c r="R1521" s="10" t="s">
        <v>6687</v>
      </c>
      <c r="S1521" s="13"/>
      <c r="T1521" s="13"/>
      <c r="U1521" s="18" t="str">
        <f>HYPERLINK("https://pbs.twimg.com/profile_images/378800000396175323/8e5c99f44c90fecda9fcb8e9c4dabb86.jpeg","View")</f>
        <v>View</v>
      </c>
      <c r="V1521" s="13"/>
      <c r="W1521" s="13"/>
      <c r="X1521" s="13"/>
      <c r="Y1521" s="13"/>
      <c r="Z1521" s="13"/>
    </row>
    <row r="1522">
      <c r="A1522" s="8">
        <v>43848.38732638889</v>
      </c>
      <c r="B1522" s="9" t="str">
        <f>HYPERLINK("https://twitter.com/darrylf_DCC","@darrylf_DCC")</f>
        <v>@darrylf_DCC</v>
      </c>
      <c r="C1522" s="10" t="s">
        <v>6688</v>
      </c>
      <c r="D1522" s="10" t="s">
        <v>6689</v>
      </c>
      <c r="E1522" s="9" t="str">
        <f>HYPERLINK("https://twitter.com/darrylf_DCC/status/1218537969344270336","1218537969344270336")</f>
        <v>1218537969344270336</v>
      </c>
      <c r="F1522" s="11" t="s">
        <v>6690</v>
      </c>
      <c r="G1522" s="13"/>
      <c r="H1522" s="13"/>
      <c r="I1522" s="14">
        <v>0.0</v>
      </c>
      <c r="J1522" s="14">
        <v>1.0</v>
      </c>
      <c r="K1522" s="9" t="str">
        <f>HYPERLINK("http://twitter.com","Twitter Web Client")</f>
        <v>Twitter Web Client</v>
      </c>
      <c r="L1522" s="15">
        <v>1251.0</v>
      </c>
      <c r="M1522" s="15">
        <v>634.0</v>
      </c>
      <c r="N1522" s="15">
        <v>28.0</v>
      </c>
      <c r="O1522" s="16"/>
      <c r="P1522" s="17">
        <v>41925.72001157407</v>
      </c>
      <c r="Q1522" s="10" t="s">
        <v>6691</v>
      </c>
      <c r="R1522" s="10" t="s">
        <v>6692</v>
      </c>
      <c r="S1522" s="13"/>
      <c r="T1522" s="13"/>
      <c r="U1522" s="18" t="str">
        <f>HYPERLINK("https://pbs.twimg.com/profile_images/994962851847639045/RUzPipNE.jpg","View")</f>
        <v>View</v>
      </c>
      <c r="V1522" s="13"/>
      <c r="W1522" s="13"/>
      <c r="X1522" s="13"/>
      <c r="Y1522" s="13"/>
      <c r="Z1522" s="13"/>
    </row>
    <row r="1523">
      <c r="A1523" s="8">
        <v>43848.38719907407</v>
      </c>
      <c r="B1523" s="9" t="str">
        <f>HYPERLINK("https://twitter.com/RelaxIntuit","@RelaxIntuit")</f>
        <v>@RelaxIntuit</v>
      </c>
      <c r="C1523" s="11" t="s">
        <v>6592</v>
      </c>
      <c r="D1523" s="10" t="s">
        <v>6693</v>
      </c>
      <c r="E1523" s="9" t="str">
        <f>HYPERLINK("https://twitter.com/RelaxIntuit/status/1218537921378246657","1218537921378246657")</f>
        <v>1218537921378246657</v>
      </c>
      <c r="F1523" s="13"/>
      <c r="G1523" s="11" t="s">
        <v>6694</v>
      </c>
      <c r="H1523" s="13"/>
      <c r="I1523" s="14">
        <v>0.0</v>
      </c>
      <c r="J1523" s="14">
        <v>1.0</v>
      </c>
      <c r="K1523" s="9" t="str">
        <f>HYPERLINK("https://mobile.twitter.com","Twitter Web App")</f>
        <v>Twitter Web App</v>
      </c>
      <c r="L1523" s="15">
        <v>4990.0</v>
      </c>
      <c r="M1523" s="15">
        <v>4561.0</v>
      </c>
      <c r="N1523" s="15">
        <v>311.0</v>
      </c>
      <c r="O1523" s="16"/>
      <c r="P1523" s="17">
        <v>40469.76363425926</v>
      </c>
      <c r="Q1523" s="10" t="s">
        <v>579</v>
      </c>
      <c r="R1523" s="10" t="s">
        <v>6596</v>
      </c>
      <c r="S1523" s="11" t="s">
        <v>6597</v>
      </c>
      <c r="T1523" s="13"/>
      <c r="U1523" s="18" t="str">
        <f>HYPERLINK("https://pbs.twimg.com/profile_images/893631727024852992/G0075m1Z.jpg","View")</f>
        <v>View</v>
      </c>
      <c r="V1523" s="13"/>
      <c r="W1523" s="13"/>
      <c r="X1523" s="13"/>
      <c r="Y1523" s="13"/>
      <c r="Z1523" s="13"/>
    </row>
    <row r="1524">
      <c r="A1524" s="8">
        <v>43848.38719907407</v>
      </c>
      <c r="B1524" s="9" t="str">
        <f>HYPERLINK("https://twitter.com/MGLemieux","@MGLemieux")</f>
        <v>@MGLemieux</v>
      </c>
      <c r="C1524" s="10" t="s">
        <v>6695</v>
      </c>
      <c r="D1524" s="10" t="s">
        <v>6696</v>
      </c>
      <c r="E1524" s="9" t="str">
        <f>HYPERLINK("https://twitter.com/MGLemieux/status/1218537920048574464","1218537920048574464")</f>
        <v>1218537920048574464</v>
      </c>
      <c r="F1524" s="13"/>
      <c r="G1524" s="13"/>
      <c r="H1524" s="13"/>
      <c r="I1524" s="14">
        <v>3.0</v>
      </c>
      <c r="J1524" s="14">
        <v>26.0</v>
      </c>
      <c r="K1524" s="9" t="str">
        <f t="shared" ref="K1524:K1525" si="182">HYPERLINK("http://twitter.com/download/android","Twitter for Android")</f>
        <v>Twitter for Android</v>
      </c>
      <c r="L1524" s="15">
        <v>2853.0</v>
      </c>
      <c r="M1524" s="15">
        <v>2952.0</v>
      </c>
      <c r="N1524" s="15">
        <v>10.0</v>
      </c>
      <c r="O1524" s="16"/>
      <c r="P1524" s="17">
        <v>43407.33892361111</v>
      </c>
      <c r="Q1524" s="10" t="s">
        <v>24</v>
      </c>
      <c r="R1524" s="10" t="s">
        <v>6697</v>
      </c>
      <c r="S1524" s="13"/>
      <c r="T1524" s="13"/>
      <c r="U1524" s="18" t="str">
        <f>HYPERLINK("https://pbs.twimg.com/profile_images/1214304140064636928/zffAXHqA.jpg","View")</f>
        <v>View</v>
      </c>
      <c r="V1524" s="13"/>
      <c r="W1524" s="13"/>
      <c r="X1524" s="13"/>
      <c r="Y1524" s="13"/>
      <c r="Z1524" s="13"/>
    </row>
    <row r="1525">
      <c r="A1525" s="8">
        <v>43848.38665509259</v>
      </c>
      <c r="B1525" s="9" t="str">
        <f>HYPERLINK("https://twitter.com/mcguirk_john","@mcguirk_john")</f>
        <v>@mcguirk_john</v>
      </c>
      <c r="C1525" s="10" t="s">
        <v>6698</v>
      </c>
      <c r="D1525" s="10" t="s">
        <v>6699</v>
      </c>
      <c r="E1525" s="9" t="str">
        <f>HYPERLINK("https://twitter.com/mcguirk_john/status/1218537724879233026","1218537724879233026")</f>
        <v>1218537724879233026</v>
      </c>
      <c r="F1525" s="10" t="s">
        <v>6700</v>
      </c>
      <c r="G1525" s="11" t="s">
        <v>6701</v>
      </c>
      <c r="H1525" s="13"/>
      <c r="I1525" s="14">
        <v>0.0</v>
      </c>
      <c r="J1525" s="14">
        <v>2.0</v>
      </c>
      <c r="K1525" s="9" t="str">
        <f t="shared" si="182"/>
        <v>Twitter for Android</v>
      </c>
      <c r="L1525" s="15">
        <v>469.0</v>
      </c>
      <c r="M1525" s="15">
        <v>119.0</v>
      </c>
      <c r="N1525" s="15">
        <v>9.0</v>
      </c>
      <c r="O1525" s="16"/>
      <c r="P1525" s="17">
        <v>43545.31815972222</v>
      </c>
      <c r="Q1525" s="10" t="s">
        <v>6628</v>
      </c>
      <c r="R1525" s="10" t="s">
        <v>6702</v>
      </c>
      <c r="S1525" s="11" t="s">
        <v>6703</v>
      </c>
      <c r="T1525" s="13"/>
      <c r="U1525" s="18" t="str">
        <f>HYPERLINK("https://pbs.twimg.com/profile_images/1108695210798866432/7r7sf7hg.jpg","View")</f>
        <v>View</v>
      </c>
      <c r="V1525" s="13"/>
      <c r="W1525" s="13"/>
      <c r="X1525" s="13"/>
      <c r="Y1525" s="13"/>
      <c r="Z1525" s="13"/>
    </row>
    <row r="1526">
      <c r="A1526" s="8">
        <v>43848.38663194445</v>
      </c>
      <c r="B1526" s="9" t="str">
        <f>HYPERLINK("https://twitter.com/DAllenRSW","@DAllenRSW")</f>
        <v>@DAllenRSW</v>
      </c>
      <c r="C1526" s="10" t="s">
        <v>6704</v>
      </c>
      <c r="D1526" s="10" t="s">
        <v>6705</v>
      </c>
      <c r="E1526" s="9" t="str">
        <f>HYPERLINK("https://twitter.com/DAllenRSW/status/1218537715458854912","1218537715458854912")</f>
        <v>1218537715458854912</v>
      </c>
      <c r="F1526" s="10" t="s">
        <v>6706</v>
      </c>
      <c r="G1526" s="13"/>
      <c r="H1526" s="13"/>
      <c r="I1526" s="14">
        <v>0.0</v>
      </c>
      <c r="J1526" s="14">
        <v>1.0</v>
      </c>
      <c r="K1526" s="9" t="str">
        <f t="shared" ref="K1526:K1527" si="183">HYPERLINK("http://twitter.com/download/iphone","Twitter for iPhone")</f>
        <v>Twitter for iPhone</v>
      </c>
      <c r="L1526" s="15">
        <v>90.0</v>
      </c>
      <c r="M1526" s="15">
        <v>150.0</v>
      </c>
      <c r="N1526" s="15">
        <v>2.0</v>
      </c>
      <c r="O1526" s="16"/>
      <c r="P1526" s="17">
        <v>42524.43728009259</v>
      </c>
      <c r="Q1526" s="10" t="s">
        <v>474</v>
      </c>
      <c r="R1526" s="10" t="s">
        <v>6707</v>
      </c>
      <c r="S1526" s="11" t="s">
        <v>6708</v>
      </c>
      <c r="T1526" s="13"/>
      <c r="U1526" s="18" t="str">
        <f>HYPERLINK("https://pbs.twimg.com/profile_images/1127215981850443776/Rn5a8IIx.jpg","View")</f>
        <v>View</v>
      </c>
      <c r="V1526" s="13"/>
      <c r="W1526" s="13"/>
      <c r="X1526" s="13"/>
      <c r="Y1526" s="13"/>
      <c r="Z1526" s="13"/>
    </row>
    <row r="1527">
      <c r="A1527" s="8">
        <v>43848.38649305556</v>
      </c>
      <c r="B1527" s="9" t="str">
        <f>HYPERLINK("https://twitter.com/theMHcomedian","@theMHcomedian")</f>
        <v>@theMHcomedian</v>
      </c>
      <c r="C1527" s="10" t="s">
        <v>6709</v>
      </c>
      <c r="D1527" s="10" t="s">
        <v>6710</v>
      </c>
      <c r="E1527" s="9" t="str">
        <f>HYPERLINK("https://twitter.com/theMHcomedian/status/1218537665194164227","1218537665194164227")</f>
        <v>1218537665194164227</v>
      </c>
      <c r="F1527" s="13"/>
      <c r="G1527" s="11" t="s">
        <v>6711</v>
      </c>
      <c r="H1527" s="13"/>
      <c r="I1527" s="14">
        <v>0.0</v>
      </c>
      <c r="J1527" s="14">
        <v>1.0</v>
      </c>
      <c r="K1527" s="9" t="str">
        <f t="shared" si="183"/>
        <v>Twitter for iPhone</v>
      </c>
      <c r="L1527" s="15">
        <v>2195.0</v>
      </c>
      <c r="M1527" s="15">
        <v>4893.0</v>
      </c>
      <c r="N1527" s="15">
        <v>35.0</v>
      </c>
      <c r="O1527" s="16"/>
      <c r="P1527" s="17">
        <v>39868.36188657407</v>
      </c>
      <c r="Q1527" s="10" t="s">
        <v>3880</v>
      </c>
      <c r="R1527" s="10" t="s">
        <v>6712</v>
      </c>
      <c r="S1527" s="11" t="s">
        <v>6713</v>
      </c>
      <c r="T1527" s="13"/>
      <c r="U1527" s="18" t="str">
        <f>HYPERLINK("https://pbs.twimg.com/profile_images/905126290000306176/F-vP3ZD3.jpg","View")</f>
        <v>View</v>
      </c>
      <c r="V1527" s="13"/>
      <c r="W1527" s="13"/>
      <c r="X1527" s="13"/>
      <c r="Y1527" s="13"/>
      <c r="Z1527" s="13"/>
    </row>
    <row r="1528">
      <c r="A1528" s="8">
        <v>43848.386469907404</v>
      </c>
      <c r="B1528" s="9" t="str">
        <f>HYPERLINK("https://twitter.com/JVan3610","@JVan3610")</f>
        <v>@JVan3610</v>
      </c>
      <c r="C1528" s="10" t="s">
        <v>6166</v>
      </c>
      <c r="D1528" s="10" t="s">
        <v>6714</v>
      </c>
      <c r="E1528" s="9" t="str">
        <f>HYPERLINK("https://twitter.com/JVan3610/status/1218537659125190656","1218537659125190656")</f>
        <v>1218537659125190656</v>
      </c>
      <c r="F1528" s="13"/>
      <c r="G1528" s="13"/>
      <c r="H1528" s="13"/>
      <c r="I1528" s="14">
        <v>0.0</v>
      </c>
      <c r="J1528" s="14">
        <v>2.0</v>
      </c>
      <c r="K1528" s="9" t="str">
        <f>HYPERLINK("https://mobile.twitter.com","Twitter Web App")</f>
        <v>Twitter Web App</v>
      </c>
      <c r="L1528" s="15">
        <v>2018.0</v>
      </c>
      <c r="M1528" s="15">
        <v>1448.0</v>
      </c>
      <c r="N1528" s="15">
        <v>16.0</v>
      </c>
      <c r="O1528" s="16"/>
      <c r="P1528" s="17">
        <v>43400.626655092594</v>
      </c>
      <c r="Q1528" s="13"/>
      <c r="R1528" s="10" t="s">
        <v>6169</v>
      </c>
      <c r="S1528" s="11" t="s">
        <v>6170</v>
      </c>
      <c r="T1528" s="13"/>
      <c r="U1528" s="18" t="str">
        <f>HYPERLINK("https://pbs.twimg.com/profile_images/1121738707084693508/NHTQkmlI.jpg","View")</f>
        <v>View</v>
      </c>
      <c r="V1528" s="13"/>
      <c r="W1528" s="13"/>
      <c r="X1528" s="13"/>
      <c r="Y1528" s="13"/>
      <c r="Z1528" s="13"/>
    </row>
    <row r="1529">
      <c r="A1529" s="8">
        <v>43848.386469907404</v>
      </c>
      <c r="B1529" s="9" t="str">
        <f>HYPERLINK("https://twitter.com/TeamDonaldson","@TeamDonaldson")</f>
        <v>@TeamDonaldson</v>
      </c>
      <c r="C1529" s="10" t="s">
        <v>6715</v>
      </c>
      <c r="D1529" s="10" t="s">
        <v>6716</v>
      </c>
      <c r="E1529" s="9" t="str">
        <f>HYPERLINK("https://twitter.com/TeamDonaldson/status/1218537655476129794","1218537655476129794")</f>
        <v>1218537655476129794</v>
      </c>
      <c r="F1529" s="11" t="s">
        <v>6717</v>
      </c>
      <c r="G1529" s="13"/>
      <c r="H1529" s="13"/>
      <c r="I1529" s="14">
        <v>0.0</v>
      </c>
      <c r="J1529" s="14">
        <v>1.0</v>
      </c>
      <c r="K1529" s="9" t="str">
        <f>HYPERLINK("https://www.hootsuite.com","Hootsuite Inc.")</f>
        <v>Hootsuite Inc.</v>
      </c>
      <c r="L1529" s="15">
        <v>919.0</v>
      </c>
      <c r="M1529" s="15">
        <v>1153.0</v>
      </c>
      <c r="N1529" s="15">
        <v>25.0</v>
      </c>
      <c r="O1529" s="16"/>
      <c r="P1529" s="17">
        <v>39806.927870370375</v>
      </c>
      <c r="Q1529" s="10" t="s">
        <v>5286</v>
      </c>
      <c r="R1529" s="10" t="s">
        <v>6718</v>
      </c>
      <c r="S1529" s="11" t="s">
        <v>6719</v>
      </c>
      <c r="T1529" s="13"/>
      <c r="U1529" s="18" t="str">
        <f>HYPERLINK("https://pbs.twimg.com/profile_images/1422208626/Copy_of_978935586265.jpg","View")</f>
        <v>View</v>
      </c>
      <c r="V1529" s="13"/>
      <c r="W1529" s="13"/>
      <c r="X1529" s="13"/>
      <c r="Y1529" s="13"/>
      <c r="Z1529" s="13"/>
    </row>
    <row r="1530">
      <c r="A1530" s="8">
        <v>43848.38579861111</v>
      </c>
      <c r="B1530" s="9" t="str">
        <f>HYPERLINK("https://twitter.com/DonelaLinas","@DonelaLinas")</f>
        <v>@DonelaLinas</v>
      </c>
      <c r="C1530" s="10" t="s">
        <v>1838</v>
      </c>
      <c r="D1530" s="10" t="s">
        <v>6720</v>
      </c>
      <c r="E1530" s="9" t="str">
        <f>HYPERLINK("https://twitter.com/DonelaLinas/status/1218537415184437248","1218537415184437248")</f>
        <v>1218537415184437248</v>
      </c>
      <c r="F1530" s="13"/>
      <c r="G1530" s="13"/>
      <c r="H1530" s="13"/>
      <c r="I1530" s="14">
        <v>0.0</v>
      </c>
      <c r="J1530" s="14">
        <v>0.0</v>
      </c>
      <c r="K1530" s="9" t="str">
        <f>HYPERLINK("http://twitter.com/download/android","Twitter for Android")</f>
        <v>Twitter for Android</v>
      </c>
      <c r="L1530" s="15">
        <v>34.0</v>
      </c>
      <c r="M1530" s="15">
        <v>57.0</v>
      </c>
      <c r="N1530" s="15">
        <v>0.0</v>
      </c>
      <c r="O1530" s="16"/>
      <c r="P1530" s="17">
        <v>42519.46498842593</v>
      </c>
      <c r="Q1530" s="10" t="s">
        <v>1840</v>
      </c>
      <c r="R1530" s="10" t="s">
        <v>1841</v>
      </c>
      <c r="S1530" s="13"/>
      <c r="T1530" s="13"/>
      <c r="U1530" s="18" t="str">
        <f>HYPERLINK("https://pbs.twimg.com/profile_images/737072476367269888/aenGDd9p.jpg","View")</f>
        <v>View</v>
      </c>
      <c r="V1530" s="13"/>
      <c r="W1530" s="13"/>
      <c r="X1530" s="13"/>
      <c r="Y1530" s="13"/>
      <c r="Z1530" s="13"/>
    </row>
    <row r="1531">
      <c r="A1531" s="8">
        <v>43848.38554398148</v>
      </c>
      <c r="B1531" s="9" t="str">
        <f>HYPERLINK("https://twitter.com/Ginnybailey","@Ginnybailey")</f>
        <v>@Ginnybailey</v>
      </c>
      <c r="C1531" s="10" t="s">
        <v>6721</v>
      </c>
      <c r="D1531" s="10" t="s">
        <v>238</v>
      </c>
      <c r="E1531" s="9" t="str">
        <f>HYPERLINK("https://twitter.com/Ginnybailey/status/1218537321978638337","1218537321978638337")</f>
        <v>1218537321978638337</v>
      </c>
      <c r="F1531" s="13"/>
      <c r="G1531" s="13"/>
      <c r="H1531" s="13"/>
      <c r="I1531" s="14">
        <v>1.0</v>
      </c>
      <c r="J1531" s="14">
        <v>0.0</v>
      </c>
      <c r="K1531" s="9" t="str">
        <f>HYPERLINK("https://mobile.twitter.com","Twitter Web App")</f>
        <v>Twitter Web App</v>
      </c>
      <c r="L1531" s="15">
        <v>175.0</v>
      </c>
      <c r="M1531" s="15">
        <v>985.0</v>
      </c>
      <c r="N1531" s="15">
        <v>1.0</v>
      </c>
      <c r="O1531" s="16"/>
      <c r="P1531" s="17">
        <v>39922.553564814814</v>
      </c>
      <c r="Q1531" s="13"/>
      <c r="R1531" s="10" t="s">
        <v>6722</v>
      </c>
      <c r="S1531" s="13"/>
      <c r="T1531" s="13"/>
      <c r="U1531" s="18" t="str">
        <f>HYPERLINK("https://pbs.twimg.com/profile_images/423564440525500416/JSe9V7gn.jpeg","View")</f>
        <v>View</v>
      </c>
      <c r="V1531" s="13"/>
      <c r="W1531" s="13"/>
      <c r="X1531" s="13"/>
      <c r="Y1531" s="13"/>
      <c r="Z1531" s="13"/>
    </row>
    <row r="1532">
      <c r="A1532" s="8">
        <v>43848.38548611111</v>
      </c>
      <c r="B1532" s="9" t="str">
        <f>HYPERLINK("https://twitter.com/djemal_ua","@djemal_ua")</f>
        <v>@djemal_ua</v>
      </c>
      <c r="C1532" s="10" t="s">
        <v>1161</v>
      </c>
      <c r="D1532" s="10" t="s">
        <v>6723</v>
      </c>
      <c r="E1532" s="9" t="str">
        <f>HYPERLINK("https://twitter.com/djemal_ua/status/1218537300742885377","1218537300742885377")</f>
        <v>1218537300742885377</v>
      </c>
      <c r="F1532" s="11" t="s">
        <v>6724</v>
      </c>
      <c r="G1532" s="13"/>
      <c r="H1532" s="13"/>
      <c r="I1532" s="14">
        <v>1.0</v>
      </c>
      <c r="J1532" s="14">
        <v>0.0</v>
      </c>
      <c r="K1532" s="9" t="str">
        <f>HYPERLINK("https://www.hootsuite.com","Hootsuite Inc.")</f>
        <v>Hootsuite Inc.</v>
      </c>
      <c r="L1532" s="15">
        <v>5127.0</v>
      </c>
      <c r="M1532" s="15">
        <v>4724.0</v>
      </c>
      <c r="N1532" s="15">
        <v>60.0</v>
      </c>
      <c r="O1532" s="16"/>
      <c r="P1532" s="17">
        <v>43530.25729166667</v>
      </c>
      <c r="Q1532" s="10" t="s">
        <v>95</v>
      </c>
      <c r="R1532" s="10" t="s">
        <v>1164</v>
      </c>
      <c r="S1532" s="11" t="s">
        <v>1165</v>
      </c>
      <c r="T1532" s="13"/>
      <c r="U1532" s="18" t="str">
        <f>HYPERLINK("https://pbs.twimg.com/profile_images/1202978381106761728/aqUhVSTO.jpg","View")</f>
        <v>View</v>
      </c>
      <c r="V1532" s="13"/>
      <c r="W1532" s="13"/>
      <c r="X1532" s="13"/>
      <c r="Y1532" s="13"/>
      <c r="Z1532" s="13"/>
    </row>
    <row r="1533">
      <c r="A1533" s="8">
        <v>43848.385092592594</v>
      </c>
      <c r="B1533" s="9" t="str">
        <f>HYPERLINK("https://twitter.com/HommeFatale3141","@HommeFatale3141")</f>
        <v>@HommeFatale3141</v>
      </c>
      <c r="C1533" s="10" t="s">
        <v>6725</v>
      </c>
      <c r="D1533" s="10" t="s">
        <v>6726</v>
      </c>
      <c r="E1533" s="9" t="str">
        <f>HYPERLINK("https://twitter.com/HommeFatale3141/status/1218537158828531712","1218537158828531712")</f>
        <v>1218537158828531712</v>
      </c>
      <c r="F1533" s="11" t="s">
        <v>6727</v>
      </c>
      <c r="G1533" s="13"/>
      <c r="H1533" s="13"/>
      <c r="I1533" s="14">
        <v>3.0</v>
      </c>
      <c r="J1533" s="14">
        <v>3.0</v>
      </c>
      <c r="K1533" s="9" t="str">
        <f>HYPERLINK("https://mobile.twitter.com","Twitter Web App")</f>
        <v>Twitter Web App</v>
      </c>
      <c r="L1533" s="15">
        <v>98.0</v>
      </c>
      <c r="M1533" s="15">
        <v>176.0</v>
      </c>
      <c r="N1533" s="15">
        <v>0.0</v>
      </c>
      <c r="O1533" s="16"/>
      <c r="P1533" s="17">
        <v>43557.63401620371</v>
      </c>
      <c r="Q1533" s="10" t="s">
        <v>6728</v>
      </c>
      <c r="R1533" s="10" t="s">
        <v>6729</v>
      </c>
      <c r="S1533" s="11" t="s">
        <v>6730</v>
      </c>
      <c r="T1533" s="13"/>
      <c r="U1533" s="18" t="str">
        <f>HYPERLINK("https://pbs.twimg.com/profile_images/1214670081315217408/A38BhCKt.jpg","View")</f>
        <v>View</v>
      </c>
      <c r="V1533" s="13"/>
      <c r="W1533" s="13"/>
      <c r="X1533" s="13"/>
      <c r="Y1533" s="13"/>
      <c r="Z1533" s="13"/>
    </row>
    <row r="1534">
      <c r="A1534" s="8">
        <v>43848.38483796296</v>
      </c>
      <c r="B1534" s="9" t="str">
        <f>HYPERLINK("https://twitter.com/w_scott_brown","@w_scott_brown")</f>
        <v>@w_scott_brown</v>
      </c>
      <c r="C1534" s="10" t="s">
        <v>2583</v>
      </c>
      <c r="D1534" s="10" t="s">
        <v>6731</v>
      </c>
      <c r="E1534" s="9" t="str">
        <f>HYPERLINK("https://twitter.com/w_scott_brown/status/1218537065119244290","1218537065119244290")</f>
        <v>1218537065119244290</v>
      </c>
      <c r="F1534" s="11" t="s">
        <v>6732</v>
      </c>
      <c r="G1534" s="13"/>
      <c r="H1534" s="13"/>
      <c r="I1534" s="14">
        <v>1.0</v>
      </c>
      <c r="J1534" s="14">
        <v>0.0</v>
      </c>
      <c r="K1534" s="9" t="str">
        <f>HYPERLINK("http://instagram.com","Instagram")</f>
        <v>Instagram</v>
      </c>
      <c r="L1534" s="15">
        <v>626.0</v>
      </c>
      <c r="M1534" s="15">
        <v>487.0</v>
      </c>
      <c r="N1534" s="15">
        <v>11.0</v>
      </c>
      <c r="O1534" s="16"/>
      <c r="P1534" s="17">
        <v>40019.6827662037</v>
      </c>
      <c r="Q1534" s="10" t="s">
        <v>2586</v>
      </c>
      <c r="R1534" s="10" t="s">
        <v>2587</v>
      </c>
      <c r="S1534" s="11" t="s">
        <v>2588</v>
      </c>
      <c r="T1534" s="13"/>
      <c r="U1534" s="18" t="str">
        <f>HYPERLINK("https://pbs.twimg.com/profile_images/1207007801463234560/eVtBrhx2.jpg","View")</f>
        <v>View</v>
      </c>
      <c r="V1534" s="13"/>
      <c r="W1534" s="13"/>
      <c r="X1534" s="13"/>
      <c r="Y1534" s="13"/>
      <c r="Z1534" s="13"/>
    </row>
    <row r="1535">
      <c r="A1535" s="8">
        <v>43848.384826388894</v>
      </c>
      <c r="B1535" s="9" t="str">
        <f>HYPERLINK("https://twitter.com/robinwindy","@robinwindy")</f>
        <v>@robinwindy</v>
      </c>
      <c r="C1535" s="10" t="s">
        <v>6733</v>
      </c>
      <c r="D1535" s="10" t="s">
        <v>6734</v>
      </c>
      <c r="E1535" s="9" t="str">
        <f>HYPERLINK("https://twitter.com/robinwindy/status/1218537063731122176","1218537063731122176")</f>
        <v>1218537063731122176</v>
      </c>
      <c r="F1535" s="11" t="s">
        <v>6735</v>
      </c>
      <c r="G1535" s="13"/>
      <c r="H1535" s="13"/>
      <c r="I1535" s="14">
        <v>2.0</v>
      </c>
      <c r="J1535" s="14">
        <v>1.0</v>
      </c>
      <c r="K1535" s="9" t="str">
        <f>HYPERLINK("http://twitter.com","Twitter Web Client")</f>
        <v>Twitter Web Client</v>
      </c>
      <c r="L1535" s="15">
        <v>322.0</v>
      </c>
      <c r="M1535" s="15">
        <v>842.0</v>
      </c>
      <c r="N1535" s="15">
        <v>0.0</v>
      </c>
      <c r="O1535" s="16"/>
      <c r="P1535" s="17">
        <v>39899.00548611111</v>
      </c>
      <c r="Q1535" s="13"/>
      <c r="R1535" s="11" t="s">
        <v>6736</v>
      </c>
      <c r="S1535" s="11" t="s">
        <v>6737</v>
      </c>
      <c r="T1535" s="13"/>
      <c r="U1535" s="18" t="str">
        <f>HYPERLINK("https://pbs.twimg.com/profile_images/779144260260098048/_1s3iFM-.jpg","View")</f>
        <v>View</v>
      </c>
      <c r="V1535" s="13"/>
      <c r="W1535" s="13"/>
      <c r="X1535" s="13"/>
      <c r="Y1535" s="13"/>
      <c r="Z1535" s="13"/>
    </row>
    <row r="1536">
      <c r="A1536" s="8">
        <v>43848.38428240741</v>
      </c>
      <c r="B1536" s="9" t="str">
        <f>HYPERLINK("https://twitter.com/SonOfHywel","@SonOfHywel")</f>
        <v>@SonOfHywel</v>
      </c>
      <c r="C1536" s="10" t="s">
        <v>6738</v>
      </c>
      <c r="D1536" s="10" t="s">
        <v>6739</v>
      </c>
      <c r="E1536" s="9" t="str">
        <f>HYPERLINK("https://twitter.com/SonOfHywel/status/1218536865835421696","1218536865835421696")</f>
        <v>1218536865835421696</v>
      </c>
      <c r="F1536" s="13"/>
      <c r="G1536" s="11" t="s">
        <v>6740</v>
      </c>
      <c r="H1536" s="13"/>
      <c r="I1536" s="14">
        <v>0.0</v>
      </c>
      <c r="J1536" s="14">
        <v>3.0</v>
      </c>
      <c r="K1536" s="9" t="str">
        <f>HYPERLINK("http://twitter.com/download/android","Twitter for Android")</f>
        <v>Twitter for Android</v>
      </c>
      <c r="L1536" s="15">
        <v>1466.0</v>
      </c>
      <c r="M1536" s="15">
        <v>1277.0</v>
      </c>
      <c r="N1536" s="15">
        <v>273.0</v>
      </c>
      <c r="O1536" s="16"/>
      <c r="P1536" s="17">
        <v>41682.73164351852</v>
      </c>
      <c r="Q1536" s="10" t="s">
        <v>6741</v>
      </c>
      <c r="R1536" s="10" t="s">
        <v>6742</v>
      </c>
      <c r="S1536" s="13"/>
      <c r="T1536" s="13"/>
      <c r="U1536" s="18" t="str">
        <f>HYPERLINK("https://pbs.twimg.com/profile_images/1218635999665737728/zTbo5hQn.jpg","View")</f>
        <v>View</v>
      </c>
      <c r="V1536" s="13"/>
      <c r="W1536" s="13"/>
      <c r="X1536" s="13"/>
      <c r="Y1536" s="13"/>
      <c r="Z1536" s="13"/>
    </row>
    <row r="1537">
      <c r="A1537" s="8">
        <v>43848.384259259255</v>
      </c>
      <c r="B1537" s="9" t="str">
        <f>HYPERLINK("https://twitter.com/chikogwu__","@chikogwu__")</f>
        <v>@chikogwu__</v>
      </c>
      <c r="C1537" s="10" t="s">
        <v>6743</v>
      </c>
      <c r="D1537" s="10" t="s">
        <v>238</v>
      </c>
      <c r="E1537" s="9" t="str">
        <f>HYPERLINK("https://twitter.com/chikogwu__/status/1218536856004046849","1218536856004046849")</f>
        <v>1218536856004046849</v>
      </c>
      <c r="F1537" s="13"/>
      <c r="G1537" s="13"/>
      <c r="H1537" s="13"/>
      <c r="I1537" s="14">
        <v>0.0</v>
      </c>
      <c r="J1537" s="14">
        <v>0.0</v>
      </c>
      <c r="K1537" s="9" t="str">
        <f t="shared" ref="K1537:K1538" si="184">HYPERLINK("http://twitter.com/download/iphone","Twitter for iPhone")</f>
        <v>Twitter for iPhone</v>
      </c>
      <c r="L1537" s="15">
        <v>132.0</v>
      </c>
      <c r="M1537" s="15">
        <v>129.0</v>
      </c>
      <c r="N1537" s="15">
        <v>0.0</v>
      </c>
      <c r="O1537" s="16"/>
      <c r="P1537" s="17">
        <v>43313.30905092593</v>
      </c>
      <c r="Q1537" s="10" t="s">
        <v>6744</v>
      </c>
      <c r="R1537" s="10" t="s">
        <v>6745</v>
      </c>
      <c r="S1537" s="13"/>
      <c r="T1537" s="13"/>
      <c r="U1537" s="18" t="str">
        <f>HYPERLINK("https://pbs.twimg.com/profile_images/1207277784940367882/REnkJubv.jpg","View")</f>
        <v>View</v>
      </c>
      <c r="V1537" s="13"/>
      <c r="W1537" s="13"/>
      <c r="X1537" s="13"/>
      <c r="Y1537" s="13"/>
      <c r="Z1537" s="13"/>
    </row>
    <row r="1538">
      <c r="A1538" s="8">
        <v>43848.38412037037</v>
      </c>
      <c r="B1538" s="9" t="str">
        <f>HYPERLINK("https://twitter.com/ClaudioCamm","@ClaudioCamm")</f>
        <v>@ClaudioCamm</v>
      </c>
      <c r="C1538" s="10" t="s">
        <v>6746</v>
      </c>
      <c r="D1538" s="10" t="s">
        <v>238</v>
      </c>
      <c r="E1538" s="9" t="str">
        <f>HYPERLINK("https://twitter.com/ClaudioCamm/status/1218536804770615296","1218536804770615296")</f>
        <v>1218536804770615296</v>
      </c>
      <c r="F1538" s="13"/>
      <c r="G1538" s="13"/>
      <c r="H1538" s="13"/>
      <c r="I1538" s="14">
        <v>0.0</v>
      </c>
      <c r="J1538" s="14">
        <v>0.0</v>
      </c>
      <c r="K1538" s="9" t="str">
        <f t="shared" si="184"/>
        <v>Twitter for iPhone</v>
      </c>
      <c r="L1538" s="15">
        <v>343.0</v>
      </c>
      <c r="M1538" s="15">
        <v>342.0</v>
      </c>
      <c r="N1538" s="15">
        <v>17.0</v>
      </c>
      <c r="O1538" s="16"/>
      <c r="P1538" s="17">
        <v>39534.95497685185</v>
      </c>
      <c r="Q1538" s="10" t="s">
        <v>6747</v>
      </c>
      <c r="R1538" s="10" t="s">
        <v>6748</v>
      </c>
      <c r="S1538" s="11" t="s">
        <v>6749</v>
      </c>
      <c r="T1538" s="13"/>
      <c r="U1538" s="18" t="str">
        <f>HYPERLINK("https://pbs.twimg.com/profile_images/1148274943710375936/21_AzGt2.png","View")</f>
        <v>View</v>
      </c>
      <c r="V1538" s="13"/>
      <c r="W1538" s="13"/>
      <c r="X1538" s="13"/>
      <c r="Y1538" s="13"/>
      <c r="Z1538" s="13"/>
    </row>
    <row r="1539">
      <c r="A1539" s="8">
        <v>43848.38401620371</v>
      </c>
      <c r="B1539" s="9" t="str">
        <f>HYPERLINK("https://twitter.com/CheckpleaseUK","@CheckpleaseUK")</f>
        <v>@CheckpleaseUK</v>
      </c>
      <c r="C1539" s="10" t="s">
        <v>6750</v>
      </c>
      <c r="D1539" s="10" t="s">
        <v>6751</v>
      </c>
      <c r="E1539" s="9" t="str">
        <f>HYPERLINK("https://twitter.com/CheckpleaseUK/status/1218536768011526150","1218536768011526150")</f>
        <v>1218536768011526150</v>
      </c>
      <c r="F1539" s="13"/>
      <c r="G1539" s="13"/>
      <c r="H1539" s="13"/>
      <c r="I1539" s="14">
        <v>0.0</v>
      </c>
      <c r="J1539" s="14">
        <v>0.0</v>
      </c>
      <c r="K1539" s="9" t="str">
        <f>HYPERLINK("http://twitter.com/download/android","Twitter for Android")</f>
        <v>Twitter for Android</v>
      </c>
      <c r="L1539" s="15">
        <v>31.0</v>
      </c>
      <c r="M1539" s="15">
        <v>159.0</v>
      </c>
      <c r="N1539" s="15">
        <v>0.0</v>
      </c>
      <c r="O1539" s="16"/>
      <c r="P1539" s="17">
        <v>43717.44024305556</v>
      </c>
      <c r="Q1539" s="13"/>
      <c r="R1539" s="10" t="s">
        <v>6752</v>
      </c>
      <c r="S1539" s="13"/>
      <c r="T1539" s="13"/>
      <c r="U1539" s="18" t="str">
        <f>HYPERLINK("https://pbs.twimg.com/profile_images/1171069428580147200/HifRhsAK.jpg","View")</f>
        <v>View</v>
      </c>
      <c r="V1539" s="13"/>
      <c r="W1539" s="13"/>
      <c r="X1539" s="13"/>
      <c r="Y1539" s="13"/>
      <c r="Z1539" s="13"/>
    </row>
    <row r="1540">
      <c r="A1540" s="8">
        <v>43848.38385416666</v>
      </c>
      <c r="B1540" s="9" t="str">
        <f>HYPERLINK("https://twitter.com/BarnesGeorge7","@BarnesGeorge7")</f>
        <v>@BarnesGeorge7</v>
      </c>
      <c r="C1540" s="10" t="s">
        <v>4496</v>
      </c>
      <c r="D1540" s="10" t="s">
        <v>6753</v>
      </c>
      <c r="E1540" s="9" t="str">
        <f>HYPERLINK("https://twitter.com/BarnesGeorge7/status/1218536708599353350","1218536708599353350")</f>
        <v>1218536708599353350</v>
      </c>
      <c r="F1540" s="11" t="s">
        <v>6754</v>
      </c>
      <c r="G1540" s="11" t="s">
        <v>6755</v>
      </c>
      <c r="H1540" s="13"/>
      <c r="I1540" s="14">
        <v>0.0</v>
      </c>
      <c r="J1540" s="14">
        <v>0.0</v>
      </c>
      <c r="K1540" s="9" t="str">
        <f t="shared" ref="K1540:K1541" si="185">HYPERLINK("https://mobile.twitter.com","Twitter Web App")</f>
        <v>Twitter Web App</v>
      </c>
      <c r="L1540" s="15">
        <v>5.0</v>
      </c>
      <c r="M1540" s="15">
        <v>6.0</v>
      </c>
      <c r="N1540" s="15">
        <v>0.0</v>
      </c>
      <c r="O1540" s="16"/>
      <c r="P1540" s="17">
        <v>43844.3974537037</v>
      </c>
      <c r="Q1540" s="10" t="s">
        <v>2323</v>
      </c>
      <c r="R1540" s="10" t="s">
        <v>4500</v>
      </c>
      <c r="S1540" s="11" t="s">
        <v>4501</v>
      </c>
      <c r="T1540" s="13"/>
      <c r="U1540" s="18" t="str">
        <f>HYPERLINK("https://pbs.twimg.com/profile_images/1217092596247465985/M4LUqFcc.jpg","View")</f>
        <v>View</v>
      </c>
      <c r="V1540" s="13"/>
      <c r="W1540" s="13"/>
      <c r="X1540" s="13"/>
      <c r="Y1540" s="13"/>
      <c r="Z1540" s="13"/>
    </row>
    <row r="1541">
      <c r="A1541" s="8">
        <v>43848.38329861111</v>
      </c>
      <c r="B1541" s="9" t="str">
        <f>HYPERLINK("https://twitter.com/RFQuis","@RFQuis")</f>
        <v>@RFQuis</v>
      </c>
      <c r="C1541" s="10" t="s">
        <v>6451</v>
      </c>
      <c r="D1541" s="10" t="s">
        <v>6756</v>
      </c>
      <c r="E1541" s="9" t="str">
        <f>HYPERLINK("https://twitter.com/RFQuis/status/1218536506018516993","1218536506018516993")</f>
        <v>1218536506018516993</v>
      </c>
      <c r="F1541" s="11" t="s">
        <v>6453</v>
      </c>
      <c r="G1541" s="13"/>
      <c r="H1541" s="13"/>
      <c r="I1541" s="14">
        <v>1.0</v>
      </c>
      <c r="J1541" s="14">
        <v>0.0</v>
      </c>
      <c r="K1541" s="9" t="str">
        <f t="shared" si="185"/>
        <v>Twitter Web App</v>
      </c>
      <c r="L1541" s="15">
        <v>357.0</v>
      </c>
      <c r="M1541" s="15">
        <v>404.0</v>
      </c>
      <c r="N1541" s="15">
        <v>197.0</v>
      </c>
      <c r="O1541" s="16"/>
      <c r="P1541" s="17">
        <v>40925.63665509259</v>
      </c>
      <c r="Q1541" s="10" t="s">
        <v>6454</v>
      </c>
      <c r="R1541" s="10" t="s">
        <v>6455</v>
      </c>
      <c r="S1541" s="11" t="s">
        <v>6456</v>
      </c>
      <c r="T1541" s="13"/>
      <c r="U1541" s="18" t="str">
        <f>HYPERLINK("https://pbs.twimg.com/profile_images/2453616059/i3bps4x85mounmcujxwp.jpeg","View")</f>
        <v>View</v>
      </c>
      <c r="V1541" s="13"/>
      <c r="W1541" s="13"/>
      <c r="X1541" s="13"/>
      <c r="Y1541" s="13"/>
      <c r="Z1541" s="13"/>
    </row>
    <row r="1542">
      <c r="A1542" s="8">
        <v>43848.382638888885</v>
      </c>
      <c r="B1542" s="9" t="str">
        <f>HYPERLINK("https://twitter.com/ApresLIVE","@ApresLIVE")</f>
        <v>@ApresLIVE</v>
      </c>
      <c r="C1542" s="10" t="s">
        <v>6757</v>
      </c>
      <c r="D1542" s="10" t="s">
        <v>6758</v>
      </c>
      <c r="E1542" s="9" t="str">
        <f>HYPERLINK("https://twitter.com/ApresLIVE/status/1218536267849392134","1218536267849392134")</f>
        <v>1218536267849392134</v>
      </c>
      <c r="F1542" s="11" t="s">
        <v>6759</v>
      </c>
      <c r="G1542" s="11" t="s">
        <v>6760</v>
      </c>
      <c r="H1542" s="13"/>
      <c r="I1542" s="14">
        <v>1.0</v>
      </c>
      <c r="J1542" s="14">
        <v>0.0</v>
      </c>
      <c r="K1542" s="9" t="str">
        <f>HYPERLINK("https://about.twitter.com/products/tweetdeck","TweetDeck")</f>
        <v>TweetDeck</v>
      </c>
      <c r="L1542" s="15">
        <v>799.0</v>
      </c>
      <c r="M1542" s="15">
        <v>496.0</v>
      </c>
      <c r="N1542" s="15">
        <v>108.0</v>
      </c>
      <c r="O1542" s="16"/>
      <c r="P1542" s="17">
        <v>41568.72081018519</v>
      </c>
      <c r="Q1542" s="10" t="s">
        <v>1493</v>
      </c>
      <c r="R1542" s="10" t="s">
        <v>6761</v>
      </c>
      <c r="S1542" s="11" t="s">
        <v>6762</v>
      </c>
      <c r="T1542" s="13"/>
      <c r="U1542" s="18" t="str">
        <f>HYPERLINK("https://pbs.twimg.com/profile_images/779343655421169665/7F4TJK6k.jpg","View")</f>
        <v>View</v>
      </c>
      <c r="V1542" s="13"/>
      <c r="W1542" s="13"/>
      <c r="X1542" s="13"/>
      <c r="Y1542" s="13"/>
      <c r="Z1542" s="13"/>
    </row>
    <row r="1543">
      <c r="A1543" s="8">
        <v>43848.38258101852</v>
      </c>
      <c r="B1543" s="9" t="str">
        <f>HYPERLINK("https://twitter.com/EREAWAL","@EREAWAL")</f>
        <v>@EREAWAL</v>
      </c>
      <c r="C1543" s="10" t="s">
        <v>6763</v>
      </c>
      <c r="D1543" s="10" t="s">
        <v>238</v>
      </c>
      <c r="E1543" s="9" t="str">
        <f>HYPERLINK("https://twitter.com/EREAWAL/status/1218536249545428994","1218536249545428994")</f>
        <v>1218536249545428994</v>
      </c>
      <c r="F1543" s="13"/>
      <c r="G1543" s="13"/>
      <c r="H1543" s="13"/>
      <c r="I1543" s="14">
        <v>0.0</v>
      </c>
      <c r="J1543" s="14">
        <v>0.0</v>
      </c>
      <c r="K1543" s="9" t="str">
        <f>HYPERLINK("http://twitter.com/download/android","Twitter for Android")</f>
        <v>Twitter for Android</v>
      </c>
      <c r="L1543" s="15">
        <v>34.0</v>
      </c>
      <c r="M1543" s="15">
        <v>289.0</v>
      </c>
      <c r="N1543" s="15">
        <v>0.0</v>
      </c>
      <c r="O1543" s="16"/>
      <c r="P1543" s="17">
        <v>41715.29366898148</v>
      </c>
      <c r="Q1543" s="10" t="s">
        <v>6764</v>
      </c>
      <c r="R1543" s="13"/>
      <c r="S1543" s="13"/>
      <c r="T1543" s="13"/>
      <c r="U1543" s="18" t="str">
        <f>HYPERLINK("https://pbs.twimg.com/profile_images/875067208069783552/whzoAIlP.jpg","View")</f>
        <v>View</v>
      </c>
      <c r="V1543" s="13"/>
      <c r="W1543" s="13"/>
      <c r="X1543" s="13"/>
      <c r="Y1543" s="13"/>
      <c r="Z1543" s="13"/>
    </row>
    <row r="1544">
      <c r="A1544" s="8">
        <v>43848.38255787037</v>
      </c>
      <c r="B1544" s="9" t="str">
        <f>HYPERLINK("https://twitter.com/djemal_ua","@djemal_ua")</f>
        <v>@djemal_ua</v>
      </c>
      <c r="C1544" s="10" t="s">
        <v>1161</v>
      </c>
      <c r="D1544" s="10" t="s">
        <v>6765</v>
      </c>
      <c r="E1544" s="9" t="str">
        <f>HYPERLINK("https://twitter.com/djemal_ua/status/1218536240573812736","1218536240573812736")</f>
        <v>1218536240573812736</v>
      </c>
      <c r="F1544" s="11" t="s">
        <v>6724</v>
      </c>
      <c r="G1544" s="13"/>
      <c r="H1544" s="13"/>
      <c r="I1544" s="14">
        <v>0.0</v>
      </c>
      <c r="J1544" s="14">
        <v>0.0</v>
      </c>
      <c r="K1544" s="9" t="str">
        <f>HYPERLINK("http://twitter.com","Twitter Web Client")</f>
        <v>Twitter Web Client</v>
      </c>
      <c r="L1544" s="15">
        <v>5127.0</v>
      </c>
      <c r="M1544" s="15">
        <v>4724.0</v>
      </c>
      <c r="N1544" s="15">
        <v>60.0</v>
      </c>
      <c r="O1544" s="16"/>
      <c r="P1544" s="17">
        <v>43530.25729166667</v>
      </c>
      <c r="Q1544" s="10" t="s">
        <v>95</v>
      </c>
      <c r="R1544" s="10" t="s">
        <v>1164</v>
      </c>
      <c r="S1544" s="11" t="s">
        <v>1165</v>
      </c>
      <c r="T1544" s="13"/>
      <c r="U1544" s="18" t="str">
        <f>HYPERLINK("https://pbs.twimg.com/profile_images/1202978381106761728/aqUhVSTO.jpg","View")</f>
        <v>View</v>
      </c>
      <c r="V1544" s="13"/>
      <c r="W1544" s="13"/>
      <c r="X1544" s="13"/>
      <c r="Y1544" s="13"/>
      <c r="Z1544" s="13"/>
    </row>
    <row r="1545">
      <c r="A1545" s="8">
        <v>43848.381990740745</v>
      </c>
      <c r="B1545" s="9" t="str">
        <f>HYPERLINK("https://twitter.com/frazc90","@frazc90")</f>
        <v>@frazc90</v>
      </c>
      <c r="C1545" s="10" t="s">
        <v>6766</v>
      </c>
      <c r="D1545" s="10" t="s">
        <v>6767</v>
      </c>
      <c r="E1545" s="9" t="str">
        <f>HYPERLINK("https://twitter.com/frazc90/status/1218536034797002752","1218536034797002752")</f>
        <v>1218536034797002752</v>
      </c>
      <c r="F1545" s="13"/>
      <c r="G1545" s="13"/>
      <c r="H1545" s="13"/>
      <c r="I1545" s="14">
        <v>0.0</v>
      </c>
      <c r="J1545" s="14">
        <v>0.0</v>
      </c>
      <c r="K1545" s="9" t="str">
        <f t="shared" ref="K1545:K1546" si="186">HYPERLINK("http://twitter.com/download/iphone","Twitter for iPhone")</f>
        <v>Twitter for iPhone</v>
      </c>
      <c r="L1545" s="15">
        <v>12.0</v>
      </c>
      <c r="M1545" s="15">
        <v>78.0</v>
      </c>
      <c r="N1545" s="15">
        <v>0.0</v>
      </c>
      <c r="O1545" s="16"/>
      <c r="P1545" s="17">
        <v>43504.16576388889</v>
      </c>
      <c r="Q1545" s="10" t="s">
        <v>6768</v>
      </c>
      <c r="R1545" s="10" t="s">
        <v>6769</v>
      </c>
      <c r="S1545" s="11" t="s">
        <v>6770</v>
      </c>
      <c r="T1545" s="13"/>
      <c r="U1545" s="18" t="str">
        <f>HYPERLINK("https://pbs.twimg.com/profile_images/1168867058869768192/5iR7SHi4.jpg","View")</f>
        <v>View</v>
      </c>
      <c r="V1545" s="13"/>
      <c r="W1545" s="13"/>
      <c r="X1545" s="13"/>
      <c r="Y1545" s="13"/>
      <c r="Z1545" s="13"/>
    </row>
    <row r="1546">
      <c r="A1546" s="8">
        <v>43848.38165509259</v>
      </c>
      <c r="B1546" s="9" t="str">
        <f>HYPERLINK("https://twitter.com/KylieHolmes","@KylieHolmes")</f>
        <v>@KylieHolmes</v>
      </c>
      <c r="C1546" s="10" t="s">
        <v>6771</v>
      </c>
      <c r="D1546" s="10" t="s">
        <v>6772</v>
      </c>
      <c r="E1546" s="9" t="str">
        <f>HYPERLINK("https://twitter.com/KylieHolmes/status/1218535912709218304","1218535912709218304")</f>
        <v>1218535912709218304</v>
      </c>
      <c r="F1546" s="13"/>
      <c r="G1546" s="13"/>
      <c r="H1546" s="13"/>
      <c r="I1546" s="14">
        <v>0.0</v>
      </c>
      <c r="J1546" s="14">
        <v>0.0</v>
      </c>
      <c r="K1546" s="9" t="str">
        <f t="shared" si="186"/>
        <v>Twitter for iPhone</v>
      </c>
      <c r="L1546" s="15">
        <v>1962.0</v>
      </c>
      <c r="M1546" s="15">
        <v>1801.0</v>
      </c>
      <c r="N1546" s="15">
        <v>43.0</v>
      </c>
      <c r="O1546" s="16"/>
      <c r="P1546" s="17">
        <v>39742.436215277776</v>
      </c>
      <c r="Q1546" s="10" t="s">
        <v>6773</v>
      </c>
      <c r="R1546" s="10" t="s">
        <v>6774</v>
      </c>
      <c r="S1546" s="13"/>
      <c r="T1546" s="13"/>
      <c r="U1546" s="18" t="str">
        <f>HYPERLINK("https://pbs.twimg.com/profile_images/1175113087923494918/zdswBmny.jpg","View")</f>
        <v>View</v>
      </c>
      <c r="V1546" s="13"/>
      <c r="W1546" s="13"/>
      <c r="X1546" s="13"/>
      <c r="Y1546" s="13"/>
      <c r="Z1546" s="13"/>
    </row>
    <row r="1547">
      <c r="A1547" s="8">
        <v>43848.38146990741</v>
      </c>
      <c r="B1547" s="9" t="str">
        <f>HYPERLINK("https://twitter.com/DShorb","@DShorb")</f>
        <v>@DShorb</v>
      </c>
      <c r="C1547" s="10" t="s">
        <v>21</v>
      </c>
      <c r="D1547" s="10" t="s">
        <v>1864</v>
      </c>
      <c r="E1547" s="9" t="str">
        <f>HYPERLINK("https://twitter.com/DShorb/status/1218535847303303168","1218535847303303168")</f>
        <v>1218535847303303168</v>
      </c>
      <c r="F1547" s="11" t="s">
        <v>6775</v>
      </c>
      <c r="G1547" s="13"/>
      <c r="H1547" s="13"/>
      <c r="I1547" s="14">
        <v>0.0</v>
      </c>
      <c r="J1547" s="14">
        <v>0.0</v>
      </c>
      <c r="K1547" s="9" t="str">
        <f>HYPERLINK("https://www.smedian.com","Penname")</f>
        <v>Penname</v>
      </c>
      <c r="L1547" s="15">
        <v>3871.0</v>
      </c>
      <c r="M1547" s="15">
        <v>4543.0</v>
      </c>
      <c r="N1547" s="15">
        <v>185.0</v>
      </c>
      <c r="O1547" s="16"/>
      <c r="P1547" s="17">
        <v>40991.739027777774</v>
      </c>
      <c r="Q1547" s="10" t="s">
        <v>24</v>
      </c>
      <c r="R1547" s="10" t="s">
        <v>25</v>
      </c>
      <c r="S1547" s="11" t="s">
        <v>26</v>
      </c>
      <c r="T1547" s="13"/>
      <c r="U1547" s="18" t="str">
        <f>HYPERLINK("https://pbs.twimg.com/profile_images/1134459629478408192/VnPf0dlm.jpg","View")</f>
        <v>View</v>
      </c>
      <c r="V1547" s="13"/>
      <c r="W1547" s="13"/>
      <c r="X1547" s="13"/>
      <c r="Y1547" s="13"/>
      <c r="Z1547" s="13"/>
    </row>
    <row r="1548">
      <c r="A1548" s="8">
        <v>43848.38130787037</v>
      </c>
      <c r="B1548" s="9" t="str">
        <f>HYPERLINK("https://twitter.com/AndrewJames18","@AndrewJames18")</f>
        <v>@AndrewJames18</v>
      </c>
      <c r="C1548" s="10" t="s">
        <v>6776</v>
      </c>
      <c r="D1548" s="10" t="s">
        <v>6777</v>
      </c>
      <c r="E1548" s="9" t="str">
        <f>HYPERLINK("https://twitter.com/AndrewJames18/status/1218535788406870016","1218535788406870016")</f>
        <v>1218535788406870016</v>
      </c>
      <c r="F1548" s="13"/>
      <c r="G1548" s="11" t="s">
        <v>6778</v>
      </c>
      <c r="H1548" s="13"/>
      <c r="I1548" s="14">
        <v>2.0</v>
      </c>
      <c r="J1548" s="14">
        <v>19.0</v>
      </c>
      <c r="K1548" s="9" t="str">
        <f>HYPERLINK("http://twitter.com/download/android","Twitter for Android")</f>
        <v>Twitter for Android</v>
      </c>
      <c r="L1548" s="15">
        <v>258.0</v>
      </c>
      <c r="M1548" s="15">
        <v>402.0</v>
      </c>
      <c r="N1548" s="15">
        <v>8.0</v>
      </c>
      <c r="O1548" s="16"/>
      <c r="P1548" s="17">
        <v>41431.3734375</v>
      </c>
      <c r="Q1548" s="10" t="s">
        <v>6779</v>
      </c>
      <c r="R1548" s="10" t="s">
        <v>6780</v>
      </c>
      <c r="S1548" s="13"/>
      <c r="T1548" s="13"/>
      <c r="U1548" s="18" t="str">
        <f>HYPERLINK("https://pbs.twimg.com/profile_images/1136964855498457089/pPVcgp34.jpg","View")</f>
        <v>View</v>
      </c>
      <c r="V1548" s="13"/>
      <c r="W1548" s="13"/>
      <c r="X1548" s="13"/>
      <c r="Y1548" s="13"/>
      <c r="Z1548" s="13"/>
    </row>
    <row r="1549">
      <c r="A1549" s="8">
        <v>43848.381273148145</v>
      </c>
      <c r="B1549" s="9" t="str">
        <f>HYPERLINK("https://twitter.com/musicfightevil","@musicfightevil")</f>
        <v>@musicfightevil</v>
      </c>
      <c r="C1549" s="10" t="s">
        <v>6781</v>
      </c>
      <c r="D1549" s="10" t="s">
        <v>6782</v>
      </c>
      <c r="E1549" s="9" t="str">
        <f>HYPERLINK("https://twitter.com/musicfightevil/status/1218535772518780928","1218535772518780928")</f>
        <v>1218535772518780928</v>
      </c>
      <c r="F1549" s="11" t="s">
        <v>6783</v>
      </c>
      <c r="G1549" s="11" t="s">
        <v>6784</v>
      </c>
      <c r="H1549" s="13"/>
      <c r="I1549" s="14">
        <v>0.0</v>
      </c>
      <c r="J1549" s="14">
        <v>2.0</v>
      </c>
      <c r="K1549" s="9" t="str">
        <f>HYPERLINK("https://buffer.com","Buffer")</f>
        <v>Buffer</v>
      </c>
      <c r="L1549" s="15">
        <v>3132.0</v>
      </c>
      <c r="M1549" s="15">
        <v>4692.0</v>
      </c>
      <c r="N1549" s="15">
        <v>39.0</v>
      </c>
      <c r="O1549" s="16"/>
      <c r="P1549" s="17">
        <v>42801.48962962963</v>
      </c>
      <c r="Q1549" s="10" t="s">
        <v>6785</v>
      </c>
      <c r="R1549" s="10" t="s">
        <v>6786</v>
      </c>
      <c r="S1549" s="11" t="s">
        <v>6787</v>
      </c>
      <c r="T1549" s="13"/>
      <c r="U1549" s="18" t="str">
        <f>HYPERLINK("https://pbs.twimg.com/profile_images/839176073329836032/T-xecAUq.jpg","View")</f>
        <v>View</v>
      </c>
      <c r="V1549" s="13"/>
      <c r="W1549" s="13"/>
      <c r="X1549" s="13"/>
      <c r="Y1549" s="13"/>
      <c r="Z1549" s="13"/>
    </row>
    <row r="1550">
      <c r="A1550" s="8">
        <v>43848.38125</v>
      </c>
      <c r="B1550" s="9" t="str">
        <f>HYPERLINK("https://twitter.com/NHSSFCCG","@NHSSFCCG")</f>
        <v>@NHSSFCCG</v>
      </c>
      <c r="C1550" s="10" t="s">
        <v>6788</v>
      </c>
      <c r="D1550" s="10" t="s">
        <v>6789</v>
      </c>
      <c r="E1550" s="9" t="str">
        <f>HYPERLINK("https://twitter.com/NHSSFCCG/status/1218535764528594946","1218535764528594946")</f>
        <v>1218535764528594946</v>
      </c>
      <c r="F1550" s="11" t="s">
        <v>6790</v>
      </c>
      <c r="G1550" s="11" t="s">
        <v>6791</v>
      </c>
      <c r="H1550" s="13"/>
      <c r="I1550" s="14">
        <v>0.0</v>
      </c>
      <c r="J1550" s="14">
        <v>0.0</v>
      </c>
      <c r="K1550" s="9" t="str">
        <f>HYPERLINK("https://studio.twitter.com","Twitter Media Studio")</f>
        <v>Twitter Media Studio</v>
      </c>
      <c r="L1550" s="15">
        <v>1278.0</v>
      </c>
      <c r="M1550" s="15">
        <v>1096.0</v>
      </c>
      <c r="N1550" s="15">
        <v>28.0</v>
      </c>
      <c r="O1550" s="16"/>
      <c r="P1550" s="17">
        <v>42390.19310185185</v>
      </c>
      <c r="Q1550" s="10" t="s">
        <v>6792</v>
      </c>
      <c r="R1550" s="10" t="s">
        <v>6793</v>
      </c>
      <c r="S1550" s="11" t="s">
        <v>6794</v>
      </c>
      <c r="T1550" s="13"/>
      <c r="U1550" s="18" t="str">
        <f>HYPERLINK("https://pbs.twimg.com/profile_images/749953730175463424/di5zzUn0.jpg","View")</f>
        <v>View</v>
      </c>
      <c r="V1550" s="13"/>
      <c r="W1550" s="13"/>
      <c r="X1550" s="13"/>
      <c r="Y1550" s="13"/>
      <c r="Z1550" s="13"/>
    </row>
    <row r="1551">
      <c r="A1551" s="8">
        <v>43848.38056712963</v>
      </c>
      <c r="B1551" s="9" t="str">
        <f>HYPERLINK("https://twitter.com/Sleepio","@Sleepio")</f>
        <v>@Sleepio</v>
      </c>
      <c r="C1551" s="10" t="s">
        <v>6795</v>
      </c>
      <c r="D1551" s="10" t="s">
        <v>6796</v>
      </c>
      <c r="E1551" s="9" t="str">
        <f>HYPERLINK("https://twitter.com/Sleepio/status/1218535517853188096","1218535517853188096")</f>
        <v>1218535517853188096</v>
      </c>
      <c r="F1551" s="11" t="s">
        <v>6797</v>
      </c>
      <c r="G1551" s="13"/>
      <c r="H1551" s="13"/>
      <c r="I1551" s="14">
        <v>0.0</v>
      </c>
      <c r="J1551" s="14">
        <v>1.0</v>
      </c>
      <c r="K1551" s="9" t="str">
        <f>HYPERLINK("https://sproutsocial.com","Sprout Social")</f>
        <v>Sprout Social</v>
      </c>
      <c r="L1551" s="15">
        <v>3073.0</v>
      </c>
      <c r="M1551" s="15">
        <v>661.0</v>
      </c>
      <c r="N1551" s="15">
        <v>95.0</v>
      </c>
      <c r="O1551" s="16"/>
      <c r="P1551" s="17">
        <v>39710.40787037037</v>
      </c>
      <c r="Q1551" s="13"/>
      <c r="R1551" s="10" t="s">
        <v>6798</v>
      </c>
      <c r="S1551" s="11" t="s">
        <v>6799</v>
      </c>
      <c r="T1551" s="13"/>
      <c r="U1551" s="18" t="str">
        <f>HYPERLINK("https://pbs.twimg.com/profile_images/512738045997481984/H6tkdYFU.png","View")</f>
        <v>View</v>
      </c>
      <c r="V1551" s="13"/>
      <c r="W1551" s="13"/>
      <c r="X1551" s="13"/>
      <c r="Y1551" s="13"/>
      <c r="Z1551" s="13"/>
    </row>
    <row r="1552">
      <c r="A1552" s="8">
        <v>43848.38055555556</v>
      </c>
      <c r="B1552" s="9" t="str">
        <f>HYPERLINK("https://twitter.com/therapytoronto","@therapytoronto")</f>
        <v>@therapytoronto</v>
      </c>
      <c r="C1552" s="10" t="s">
        <v>6800</v>
      </c>
      <c r="D1552" s="10" t="s">
        <v>6801</v>
      </c>
      <c r="E1552" s="9" t="str">
        <f>HYPERLINK("https://twitter.com/therapytoronto/status/1218535512983601158","1218535512983601158")</f>
        <v>1218535512983601158</v>
      </c>
      <c r="F1552" s="11" t="s">
        <v>6802</v>
      </c>
      <c r="G1552" s="13"/>
      <c r="H1552" s="13"/>
      <c r="I1552" s="14">
        <v>1.0</v>
      </c>
      <c r="J1552" s="14">
        <v>0.0</v>
      </c>
      <c r="K1552" s="9" t="str">
        <f>HYPERLINK("https://about.twitter.com/products/tweetdeck","TweetDeck")</f>
        <v>TweetDeck</v>
      </c>
      <c r="L1552" s="15">
        <v>629.0</v>
      </c>
      <c r="M1552" s="15">
        <v>154.0</v>
      </c>
      <c r="N1552" s="15">
        <v>48.0</v>
      </c>
      <c r="O1552" s="16"/>
      <c r="P1552" s="17">
        <v>40354.71115740741</v>
      </c>
      <c r="Q1552" s="10" t="s">
        <v>73</v>
      </c>
      <c r="R1552" s="10" t="s">
        <v>6803</v>
      </c>
      <c r="S1552" s="11" t="s">
        <v>6804</v>
      </c>
      <c r="T1552" s="13"/>
      <c r="U1552" s="18" t="str">
        <f>HYPERLINK("https://pbs.twimg.com/profile_images/1133182802290192384/nFneLNAp.jpg","View")</f>
        <v>View</v>
      </c>
      <c r="V1552" s="13"/>
      <c r="W1552" s="13"/>
      <c r="X1552" s="13"/>
      <c r="Y1552" s="13"/>
      <c r="Z1552" s="13"/>
    </row>
    <row r="1553">
      <c r="A1553" s="8">
        <v>43848.38041666667</v>
      </c>
      <c r="B1553" s="9" t="str">
        <f>HYPERLINK("https://twitter.com/GOHPodcast","@GOHPodcast")</f>
        <v>@GOHPodcast</v>
      </c>
      <c r="C1553" s="10" t="s">
        <v>6805</v>
      </c>
      <c r="D1553" s="10" t="s">
        <v>6806</v>
      </c>
      <c r="E1553" s="9" t="str">
        <f>HYPERLINK("https://twitter.com/GOHPodcast/status/1218535462408802304","1218535462408802304")</f>
        <v>1218535462408802304</v>
      </c>
      <c r="F1553" s="13"/>
      <c r="G1553" s="13"/>
      <c r="H1553" s="13"/>
      <c r="I1553" s="14">
        <v>0.0</v>
      </c>
      <c r="J1553" s="14">
        <v>0.0</v>
      </c>
      <c r="K1553" s="9" t="str">
        <f>HYPERLINK("http://twitter.com/download/android","Twitter for Android")</f>
        <v>Twitter for Android</v>
      </c>
      <c r="L1553" s="15">
        <v>53.0</v>
      </c>
      <c r="M1553" s="15">
        <v>372.0</v>
      </c>
      <c r="N1553" s="15">
        <v>0.0</v>
      </c>
      <c r="O1553" s="16"/>
      <c r="P1553" s="17">
        <v>43651.586736111116</v>
      </c>
      <c r="Q1553" s="13"/>
      <c r="R1553" s="10" t="s">
        <v>6807</v>
      </c>
      <c r="S1553" s="13"/>
      <c r="T1553" s="13"/>
      <c r="U1553" s="18" t="str">
        <f>HYPERLINK("https://pbs.twimg.com/profile_images/1147204824628416513/Lp9Moyz_.jpg","View")</f>
        <v>View</v>
      </c>
      <c r="V1553" s="13"/>
      <c r="W1553" s="13"/>
      <c r="X1553" s="13"/>
      <c r="Y1553" s="13"/>
      <c r="Z1553" s="13"/>
    </row>
    <row r="1554">
      <c r="A1554" s="8">
        <v>43848.3803125</v>
      </c>
      <c r="B1554" s="9" t="str">
        <f>HYPERLINK("https://twitter.com/ShawnParker2013","@ShawnParker2013")</f>
        <v>@ShawnParker2013</v>
      </c>
      <c r="C1554" s="10" t="s">
        <v>472</v>
      </c>
      <c r="D1554" s="10" t="s">
        <v>6808</v>
      </c>
      <c r="E1554" s="9" t="str">
        <f>HYPERLINK("https://twitter.com/ShawnParker2013/status/1218535423946842112","1218535423946842112")</f>
        <v>1218535423946842112</v>
      </c>
      <c r="F1554" s="11" t="s">
        <v>6809</v>
      </c>
      <c r="G1554" s="13"/>
      <c r="H1554" s="13"/>
      <c r="I1554" s="14">
        <v>0.0</v>
      </c>
      <c r="J1554" s="14">
        <v>0.0</v>
      </c>
      <c r="K1554" s="9" t="str">
        <f>HYPERLINK("http://plus.google.com/116032873101429204265","Zolushka4Sean")</f>
        <v>Zolushka4Sean</v>
      </c>
      <c r="L1554" s="15">
        <v>8583.0</v>
      </c>
      <c r="M1554" s="15">
        <v>3773.0</v>
      </c>
      <c r="N1554" s="15">
        <v>423.0</v>
      </c>
      <c r="O1554" s="16"/>
      <c r="P1554" s="17">
        <v>41334.926898148144</v>
      </c>
      <c r="Q1554" s="10" t="s">
        <v>474</v>
      </c>
      <c r="R1554" s="10" t="s">
        <v>475</v>
      </c>
      <c r="S1554" s="11" t="s">
        <v>476</v>
      </c>
      <c r="T1554" s="13"/>
      <c r="U1554" s="18" t="str">
        <f>HYPERLINK("https://pbs.twimg.com/profile_images/378800000506530098/83c03de093473f92e6c4dae97abff100.jpeg","View")</f>
        <v>View</v>
      </c>
      <c r="V1554" s="13"/>
      <c r="W1554" s="13"/>
      <c r="X1554" s="13"/>
      <c r="Y1554" s="13"/>
      <c r="Z1554" s="13"/>
    </row>
    <row r="1555">
      <c r="A1555" s="8">
        <v>43848.380277777775</v>
      </c>
      <c r="B1555" s="9" t="str">
        <f>HYPERLINK("https://twitter.com/BAME_ForenPsych","@BAME_ForenPsych")</f>
        <v>@BAME_ForenPsych</v>
      </c>
      <c r="C1555" s="10" t="s">
        <v>6810</v>
      </c>
      <c r="D1555" s="10" t="s">
        <v>6811</v>
      </c>
      <c r="E1555" s="9" t="str">
        <f>HYPERLINK("https://twitter.com/BAME_ForenPsych/status/1218535414870528002","1218535414870528002")</f>
        <v>1218535414870528002</v>
      </c>
      <c r="F1555" s="10" t="s">
        <v>6812</v>
      </c>
      <c r="G1555" s="13"/>
      <c r="H1555" s="13"/>
      <c r="I1555" s="14">
        <v>5.0</v>
      </c>
      <c r="J1555" s="14">
        <v>3.0</v>
      </c>
      <c r="K1555" s="9" t="str">
        <f>HYPERLINK("http://twitter.com/download/iphone","Twitter for iPhone")</f>
        <v>Twitter for iPhone</v>
      </c>
      <c r="L1555" s="15">
        <v>190.0</v>
      </c>
      <c r="M1555" s="15">
        <v>162.0</v>
      </c>
      <c r="N1555" s="15">
        <v>1.0</v>
      </c>
      <c r="O1555" s="16"/>
      <c r="P1555" s="17">
        <v>43660.43810185185</v>
      </c>
      <c r="Q1555" s="10" t="s">
        <v>1324</v>
      </c>
      <c r="R1555" s="10" t="s">
        <v>6813</v>
      </c>
      <c r="S1555" s="13"/>
      <c r="T1555" s="13"/>
      <c r="U1555" s="18" t="str">
        <f>HYPERLINK("https://pbs.twimg.com/profile_images/1152637919104053250/DyiIygmU.jpg","View")</f>
        <v>View</v>
      </c>
      <c r="V1555" s="13"/>
      <c r="W1555" s="13"/>
      <c r="X1555" s="13"/>
      <c r="Y1555" s="13"/>
      <c r="Z1555" s="13"/>
    </row>
    <row r="1556">
      <c r="A1556" s="8">
        <v>43848.38011574074</v>
      </c>
      <c r="B1556" s="9" t="str">
        <f>HYPERLINK("https://twitter.com/ChairmanBoab","@ChairmanBoab")</f>
        <v>@ChairmanBoab</v>
      </c>
      <c r="C1556" s="10" t="s">
        <v>6814</v>
      </c>
      <c r="D1556" s="10" t="s">
        <v>6815</v>
      </c>
      <c r="E1556" s="9" t="str">
        <f>HYPERLINK("https://twitter.com/ChairmanBoab/status/1218535355214958593","1218535355214958593")</f>
        <v>1218535355214958593</v>
      </c>
      <c r="F1556" s="13"/>
      <c r="G1556" s="13"/>
      <c r="H1556" s="13"/>
      <c r="I1556" s="14">
        <v>0.0</v>
      </c>
      <c r="J1556" s="14">
        <v>0.0</v>
      </c>
      <c r="K1556" s="9" t="str">
        <f>HYPERLINK("http://twitter.com/download/android","Twitter for Android")</f>
        <v>Twitter for Android</v>
      </c>
      <c r="L1556" s="15">
        <v>880.0</v>
      </c>
      <c r="M1556" s="15">
        <v>3657.0</v>
      </c>
      <c r="N1556" s="15">
        <v>92.0</v>
      </c>
      <c r="O1556" s="16"/>
      <c r="P1556" s="17">
        <v>40775.50712962963</v>
      </c>
      <c r="Q1556" s="10" t="s">
        <v>6816</v>
      </c>
      <c r="R1556" s="10" t="s">
        <v>6817</v>
      </c>
      <c r="S1556" s="13"/>
      <c r="T1556" s="13"/>
      <c r="U1556" s="18" t="str">
        <f>HYPERLINK("https://pbs.twimg.com/profile_images/1218682618054504448/4oCQIHeJ.jpg","View")</f>
        <v>View</v>
      </c>
      <c r="V1556" s="13"/>
      <c r="W1556" s="13"/>
      <c r="X1556" s="13"/>
      <c r="Y1556" s="13"/>
      <c r="Z1556" s="13"/>
    </row>
    <row r="1557">
      <c r="A1557" s="8">
        <v>43848.379907407405</v>
      </c>
      <c r="B1557" s="9" t="str">
        <f>HYPERLINK("https://twitter.com/_RCOnline_","@_RCOnline_")</f>
        <v>@_RCOnline_</v>
      </c>
      <c r="C1557" s="10" t="s">
        <v>6818</v>
      </c>
      <c r="D1557" s="10" t="s">
        <v>6819</v>
      </c>
      <c r="E1557" s="9" t="str">
        <f>HYPERLINK("https://twitter.com/_RCOnline_/status/1218535279549648898","1218535279549648898")</f>
        <v>1218535279549648898</v>
      </c>
      <c r="F1557" s="11" t="s">
        <v>6820</v>
      </c>
      <c r="G1557" s="11" t="s">
        <v>6821</v>
      </c>
      <c r="H1557" s="13"/>
      <c r="I1557" s="14">
        <v>0.0</v>
      </c>
      <c r="J1557" s="14">
        <v>0.0</v>
      </c>
      <c r="K1557" s="9" t="str">
        <f>HYPERLINK("https://twittimer.com","Twittimer")</f>
        <v>Twittimer</v>
      </c>
      <c r="L1557" s="15">
        <v>305.0</v>
      </c>
      <c r="M1557" s="15">
        <v>336.0</v>
      </c>
      <c r="N1557" s="15">
        <v>2.0</v>
      </c>
      <c r="O1557" s="16"/>
      <c r="P1557" s="17">
        <v>42846.216307870374</v>
      </c>
      <c r="Q1557" s="10" t="s">
        <v>1324</v>
      </c>
      <c r="R1557" s="10" t="s">
        <v>6822</v>
      </c>
      <c r="S1557" s="11" t="s">
        <v>6823</v>
      </c>
      <c r="T1557" s="13"/>
      <c r="U1557" s="18" t="str">
        <f>HYPERLINK("https://pbs.twimg.com/profile_images/855356362888499200/P7SUfTvh.jpg","View")</f>
        <v>View</v>
      </c>
      <c r="V1557" s="13"/>
      <c r="W1557" s="13"/>
      <c r="X1557" s="13"/>
      <c r="Y1557" s="13"/>
      <c r="Z1557" s="13"/>
    </row>
    <row r="1558">
      <c r="A1558" s="8">
        <v>43848.37986111111</v>
      </c>
      <c r="B1558" s="9" t="str">
        <f>HYPERLINK("https://twitter.com/MDMagazine","@MDMagazine")</f>
        <v>@MDMagazine</v>
      </c>
      <c r="C1558" s="10" t="s">
        <v>6824</v>
      </c>
      <c r="D1558" s="10" t="s">
        <v>6825</v>
      </c>
      <c r="E1558" s="9" t="str">
        <f>HYPERLINK("https://twitter.com/MDMagazine/status/1218535261702959105","1218535261702959105")</f>
        <v>1218535261702959105</v>
      </c>
      <c r="F1558" s="11" t="s">
        <v>6826</v>
      </c>
      <c r="G1558" s="13"/>
      <c r="H1558" s="13"/>
      <c r="I1558" s="14">
        <v>0.0</v>
      </c>
      <c r="J1558" s="14">
        <v>1.0</v>
      </c>
      <c r="K1558" s="9" t="str">
        <f>HYPERLINK("https://about.twitter.com/products/tweetdeck","TweetDeck")</f>
        <v>TweetDeck</v>
      </c>
      <c r="L1558" s="15">
        <v>6908.0</v>
      </c>
      <c r="M1558" s="15">
        <v>857.0</v>
      </c>
      <c r="N1558" s="15">
        <v>401.0</v>
      </c>
      <c r="O1558" s="21" t="s">
        <v>522</v>
      </c>
      <c r="P1558" s="17">
        <v>39833.652592592596</v>
      </c>
      <c r="Q1558" s="10" t="s">
        <v>24</v>
      </c>
      <c r="R1558" s="10" t="s">
        <v>6827</v>
      </c>
      <c r="S1558" s="11" t="s">
        <v>6828</v>
      </c>
      <c r="T1558" s="13"/>
      <c r="U1558" s="18" t="str">
        <f>HYPERLINK("https://pbs.twimg.com/profile_images/674970967521685505/nt-sNPle.jpg","View")</f>
        <v>View</v>
      </c>
      <c r="V1558" s="13"/>
      <c r="W1558" s="13"/>
      <c r="X1558" s="13"/>
      <c r="Y1558" s="13"/>
      <c r="Z1558" s="13"/>
    </row>
    <row r="1559">
      <c r="A1559" s="8">
        <v>43848.379849537036</v>
      </c>
      <c r="B1559" s="9" t="str">
        <f>HYPERLINK("https://twitter.com/GaianTherapy","@GaianTherapy")</f>
        <v>@GaianTherapy</v>
      </c>
      <c r="C1559" s="10" t="s">
        <v>6829</v>
      </c>
      <c r="D1559" s="10" t="s">
        <v>6830</v>
      </c>
      <c r="E1559" s="9" t="str">
        <f>HYPERLINK("https://twitter.com/GaianTherapy/status/1218535259462979584","1218535259462979584")</f>
        <v>1218535259462979584</v>
      </c>
      <c r="F1559" s="13"/>
      <c r="G1559" s="11" t="s">
        <v>6831</v>
      </c>
      <c r="H1559" s="13"/>
      <c r="I1559" s="14">
        <v>0.0</v>
      </c>
      <c r="J1559" s="14">
        <v>2.0</v>
      </c>
      <c r="K1559" s="9" t="str">
        <f>HYPERLINK("http://postplanner.com","Post Planner Inc.")</f>
        <v>Post Planner Inc.</v>
      </c>
      <c r="L1559" s="15">
        <v>337.0</v>
      </c>
      <c r="M1559" s="15">
        <v>824.0</v>
      </c>
      <c r="N1559" s="15">
        <v>0.0</v>
      </c>
      <c r="O1559" s="16"/>
      <c r="P1559" s="17">
        <v>43371.03839120371</v>
      </c>
      <c r="Q1559" s="10" t="s">
        <v>6832</v>
      </c>
      <c r="R1559" s="10" t="s">
        <v>6833</v>
      </c>
      <c r="S1559" s="11" t="s">
        <v>6834</v>
      </c>
      <c r="T1559" s="13"/>
      <c r="U1559" s="18" t="str">
        <f>HYPERLINK("https://pbs.twimg.com/profile_images/1174195108738191360/Y67-MMgH.jpg","View")</f>
        <v>View</v>
      </c>
      <c r="V1559" s="13"/>
      <c r="W1559" s="13"/>
      <c r="X1559" s="13"/>
      <c r="Y1559" s="13"/>
      <c r="Z1559" s="13"/>
    </row>
    <row r="1560">
      <c r="A1560" s="8">
        <v>43848.379849537036</v>
      </c>
      <c r="B1560" s="9" t="str">
        <f>HYPERLINK("https://twitter.com/Harik0o","@Harik0o")</f>
        <v>@Harik0o</v>
      </c>
      <c r="C1560" s="10" t="s">
        <v>6835</v>
      </c>
      <c r="D1560" s="10" t="s">
        <v>6836</v>
      </c>
      <c r="E1560" s="9" t="str">
        <f>HYPERLINK("https://twitter.com/Harik0o/status/1218535258481733632","1218535258481733632")</f>
        <v>1218535258481733632</v>
      </c>
      <c r="F1560" s="13"/>
      <c r="G1560" s="13"/>
      <c r="H1560" s="13"/>
      <c r="I1560" s="14">
        <v>0.0</v>
      </c>
      <c r="J1560" s="14">
        <v>0.0</v>
      </c>
      <c r="K1560" s="9" t="str">
        <f>HYPERLINK("https://mobile.twitter.com","Twitter Web App")</f>
        <v>Twitter Web App</v>
      </c>
      <c r="L1560" s="15">
        <v>117.0</v>
      </c>
      <c r="M1560" s="15">
        <v>241.0</v>
      </c>
      <c r="N1560" s="15">
        <v>0.0</v>
      </c>
      <c r="O1560" s="16"/>
      <c r="P1560" s="17">
        <v>41363.71072916667</v>
      </c>
      <c r="Q1560" s="10" t="s">
        <v>95</v>
      </c>
      <c r="R1560" s="10" t="s">
        <v>6837</v>
      </c>
      <c r="S1560" s="11" t="s">
        <v>6838</v>
      </c>
      <c r="T1560" s="13"/>
      <c r="U1560" s="18" t="str">
        <f>HYPERLINK("https://pbs.twimg.com/profile_images/1065893836399042560/NuABv7jG.jpg","View")</f>
        <v>View</v>
      </c>
      <c r="V1560" s="13"/>
      <c r="W1560" s="13"/>
      <c r="X1560" s="13"/>
      <c r="Y1560" s="13"/>
      <c r="Z1560" s="13"/>
    </row>
    <row r="1561">
      <c r="A1561" s="8">
        <v>43848.379375000004</v>
      </c>
      <c r="B1561" s="9" t="str">
        <f>HYPERLINK("https://twitter.com/KylieHolmes","@KylieHolmes")</f>
        <v>@KylieHolmes</v>
      </c>
      <c r="C1561" s="10" t="s">
        <v>6771</v>
      </c>
      <c r="D1561" s="10" t="s">
        <v>6839</v>
      </c>
      <c r="E1561" s="9" t="str">
        <f>HYPERLINK("https://twitter.com/KylieHolmes/status/1218535086263558144","1218535086263558144")</f>
        <v>1218535086263558144</v>
      </c>
      <c r="F1561" s="13"/>
      <c r="G1561" s="13"/>
      <c r="H1561" s="13"/>
      <c r="I1561" s="14">
        <v>0.0</v>
      </c>
      <c r="J1561" s="14">
        <v>0.0</v>
      </c>
      <c r="K1561" s="9" t="str">
        <f>HYPERLINK("http://twitter.com/download/iphone","Twitter for iPhone")</f>
        <v>Twitter for iPhone</v>
      </c>
      <c r="L1561" s="15">
        <v>1962.0</v>
      </c>
      <c r="M1561" s="15">
        <v>1801.0</v>
      </c>
      <c r="N1561" s="15">
        <v>43.0</v>
      </c>
      <c r="O1561" s="16"/>
      <c r="P1561" s="17">
        <v>39742.436215277776</v>
      </c>
      <c r="Q1561" s="10" t="s">
        <v>6773</v>
      </c>
      <c r="R1561" s="10" t="s">
        <v>6774</v>
      </c>
      <c r="S1561" s="13"/>
      <c r="T1561" s="13"/>
      <c r="U1561" s="18" t="str">
        <f>HYPERLINK("https://pbs.twimg.com/profile_images/1175113087923494918/zdswBmny.jpg","View")</f>
        <v>View</v>
      </c>
      <c r="V1561" s="13"/>
      <c r="W1561" s="13"/>
      <c r="X1561" s="13"/>
      <c r="Y1561" s="13"/>
      <c r="Z1561" s="13"/>
    </row>
    <row r="1562">
      <c r="A1562" s="8">
        <v>43848.37924768518</v>
      </c>
      <c r="B1562" s="9" t="str">
        <f>HYPERLINK("https://twitter.com/laconic_cowboy","@laconic_cowboy")</f>
        <v>@laconic_cowboy</v>
      </c>
      <c r="C1562" s="10" t="s">
        <v>6840</v>
      </c>
      <c r="D1562" s="10" t="s">
        <v>238</v>
      </c>
      <c r="E1562" s="9" t="str">
        <f>HYPERLINK("https://twitter.com/laconic_cowboy/status/1218535041363513346","1218535041363513346")</f>
        <v>1218535041363513346</v>
      </c>
      <c r="F1562" s="13"/>
      <c r="G1562" s="13"/>
      <c r="H1562" s="13"/>
      <c r="I1562" s="14">
        <v>0.0</v>
      </c>
      <c r="J1562" s="14">
        <v>0.0</v>
      </c>
      <c r="K1562" s="9" t="str">
        <f>HYPERLINK("http://twitter.com/download/android","Twitter for Android")</f>
        <v>Twitter for Android</v>
      </c>
      <c r="L1562" s="15">
        <v>23.0</v>
      </c>
      <c r="M1562" s="15">
        <v>126.0</v>
      </c>
      <c r="N1562" s="15">
        <v>0.0</v>
      </c>
      <c r="O1562" s="16"/>
      <c r="P1562" s="17">
        <v>42337.96125</v>
      </c>
      <c r="Q1562" s="10" t="s">
        <v>6841</v>
      </c>
      <c r="R1562" s="10" t="s">
        <v>6842</v>
      </c>
      <c r="S1562" s="13"/>
      <c r="T1562" s="13"/>
      <c r="U1562" s="18" t="str">
        <f>HYPERLINK("https://pbs.twimg.com/profile_images/1183904817053392897/3GGEakor.jpg","View")</f>
        <v>View</v>
      </c>
      <c r="V1562" s="13"/>
      <c r="W1562" s="13"/>
      <c r="X1562" s="13"/>
      <c r="Y1562" s="13"/>
      <c r="Z1562" s="13"/>
    </row>
    <row r="1563">
      <c r="A1563" s="8">
        <v>43848.37873842593</v>
      </c>
      <c r="B1563" s="9" t="str">
        <f>HYPERLINK("https://twitter.com/mentalhealth57","@mentalhealth57")</f>
        <v>@mentalhealth57</v>
      </c>
      <c r="C1563" s="10" t="s">
        <v>795</v>
      </c>
      <c r="D1563" s="10" t="s">
        <v>6843</v>
      </c>
      <c r="E1563" s="9" t="str">
        <f>HYPERLINK("https://twitter.com/mentalhealth57/status/1218534855807586304","1218534855807586304")</f>
        <v>1218534855807586304</v>
      </c>
      <c r="F1563" s="13"/>
      <c r="G1563" s="11" t="s">
        <v>6844</v>
      </c>
      <c r="H1563" s="13"/>
      <c r="I1563" s="14">
        <v>4.0</v>
      </c>
      <c r="J1563" s="14">
        <v>17.0</v>
      </c>
      <c r="K1563" s="9" t="str">
        <f t="shared" ref="K1563:K1564" si="187">HYPERLINK("http://twitter.com/download/iphone","Twitter for iPhone")</f>
        <v>Twitter for iPhone</v>
      </c>
      <c r="L1563" s="15">
        <v>574.0</v>
      </c>
      <c r="M1563" s="15">
        <v>662.0</v>
      </c>
      <c r="N1563" s="15">
        <v>1.0</v>
      </c>
      <c r="O1563" s="16"/>
      <c r="P1563" s="17">
        <v>43778.54798611111</v>
      </c>
      <c r="Q1563" s="13"/>
      <c r="R1563" s="10" t="s">
        <v>798</v>
      </c>
      <c r="S1563" s="13"/>
      <c r="T1563" s="13"/>
      <c r="U1563" s="18" t="str">
        <f>HYPERLINK("https://pbs.twimg.com/profile_images/1206581434682630144/yJrWPoVb.jpg","View")</f>
        <v>View</v>
      </c>
      <c r="V1563" s="13"/>
      <c r="W1563" s="13"/>
      <c r="X1563" s="13"/>
      <c r="Y1563" s="13"/>
      <c r="Z1563" s="13"/>
    </row>
    <row r="1564">
      <c r="A1564" s="8">
        <v>43848.378703703704</v>
      </c>
      <c r="B1564" s="9" t="str">
        <f>HYPERLINK("https://twitter.com/Retro_GT","@Retro_GT")</f>
        <v>@Retro_GT</v>
      </c>
      <c r="C1564" s="10" t="s">
        <v>6845</v>
      </c>
      <c r="D1564" s="10" t="s">
        <v>6846</v>
      </c>
      <c r="E1564" s="9" t="str">
        <f>HYPERLINK("https://twitter.com/Retro_GT/status/1218534841572040704","1218534841572040704")</f>
        <v>1218534841572040704</v>
      </c>
      <c r="F1564" s="11" t="s">
        <v>6847</v>
      </c>
      <c r="G1564" s="11" t="s">
        <v>6848</v>
      </c>
      <c r="H1564" s="13"/>
      <c r="I1564" s="14">
        <v>1.0</v>
      </c>
      <c r="J1564" s="14">
        <v>2.0</v>
      </c>
      <c r="K1564" s="9" t="str">
        <f t="shared" si="187"/>
        <v>Twitter for iPhone</v>
      </c>
      <c r="L1564" s="15">
        <v>372.0</v>
      </c>
      <c r="M1564" s="15">
        <v>409.0</v>
      </c>
      <c r="N1564" s="15">
        <v>10.0</v>
      </c>
      <c r="O1564" s="16"/>
      <c r="P1564" s="17">
        <v>40369.37207175926</v>
      </c>
      <c r="Q1564" s="10" t="s">
        <v>1595</v>
      </c>
      <c r="R1564" s="10" t="s">
        <v>6849</v>
      </c>
      <c r="S1564" s="11" t="s">
        <v>6850</v>
      </c>
      <c r="T1564" s="13"/>
      <c r="U1564" s="18" t="str">
        <f>HYPERLINK("https://pbs.twimg.com/profile_images/1193991441439186944/GrQiUmP5.jpg","View")</f>
        <v>View</v>
      </c>
      <c r="V1564" s="13"/>
      <c r="W1564" s="13"/>
      <c r="X1564" s="13"/>
      <c r="Y1564" s="13"/>
      <c r="Z1564" s="13"/>
    </row>
    <row r="1565">
      <c r="A1565" s="8">
        <v>43848.37861111111</v>
      </c>
      <c r="B1565" s="9" t="str">
        <f>HYPERLINK("https://twitter.com/easyblinds","@easyblinds")</f>
        <v>@easyblinds</v>
      </c>
      <c r="C1565" s="10" t="s">
        <v>6851</v>
      </c>
      <c r="D1565" s="10" t="s">
        <v>6852</v>
      </c>
      <c r="E1565" s="9" t="str">
        <f>HYPERLINK("https://twitter.com/easyblinds/status/1218534809997365249","1218534809997365249")</f>
        <v>1218534809997365249</v>
      </c>
      <c r="F1565" s="11" t="s">
        <v>6853</v>
      </c>
      <c r="G1565" s="13"/>
      <c r="H1565" s="13"/>
      <c r="I1565" s="14">
        <v>0.0</v>
      </c>
      <c r="J1565" s="14">
        <v>0.0</v>
      </c>
      <c r="K1565" s="9" t="str">
        <f t="shared" ref="K1565:K1566" si="188">HYPERLINK("https://www.hootsuite.com","Hootsuite Inc.")</f>
        <v>Hootsuite Inc.</v>
      </c>
      <c r="L1565" s="15">
        <v>4007.0</v>
      </c>
      <c r="M1565" s="15">
        <v>297.0</v>
      </c>
      <c r="N1565" s="15">
        <v>40.0</v>
      </c>
      <c r="O1565" s="16"/>
      <c r="P1565" s="17">
        <v>40218.31778935185</v>
      </c>
      <c r="Q1565" s="10" t="s">
        <v>1547</v>
      </c>
      <c r="R1565" s="10" t="s">
        <v>6854</v>
      </c>
      <c r="S1565" s="11" t="s">
        <v>6855</v>
      </c>
      <c r="T1565" s="13"/>
      <c r="U1565" s="18" t="str">
        <f>HYPERLINK("https://pbs.twimg.com/profile_images/941408578749034498/PMMEtGKv.jpg","View")</f>
        <v>View</v>
      </c>
      <c r="V1565" s="13"/>
      <c r="W1565" s="13"/>
      <c r="X1565" s="13"/>
      <c r="Y1565" s="13"/>
      <c r="Z1565" s="13"/>
    </row>
    <row r="1566">
      <c r="A1566" s="8">
        <v>43848.378530092596</v>
      </c>
      <c r="B1566" s="9" t="str">
        <f>HYPERLINK("https://twitter.com/flawlessgrats","@flawlessgrats")</f>
        <v>@flawlessgrats</v>
      </c>
      <c r="C1566" s="10" t="s">
        <v>4781</v>
      </c>
      <c r="D1566" s="10" t="s">
        <v>6856</v>
      </c>
      <c r="E1566" s="9" t="str">
        <f>HYPERLINK("https://twitter.com/flawlessgrats/status/1218534779794096128","1218534779794096128")</f>
        <v>1218534779794096128</v>
      </c>
      <c r="F1566" s="11" t="s">
        <v>6857</v>
      </c>
      <c r="G1566" s="11" t="s">
        <v>139</v>
      </c>
      <c r="H1566" s="13"/>
      <c r="I1566" s="14">
        <v>1.0</v>
      </c>
      <c r="J1566" s="14">
        <v>2.0</v>
      </c>
      <c r="K1566" s="9" t="str">
        <f t="shared" si="188"/>
        <v>Hootsuite Inc.</v>
      </c>
      <c r="L1566" s="15">
        <v>24940.0</v>
      </c>
      <c r="M1566" s="15">
        <v>2370.0</v>
      </c>
      <c r="N1566" s="15">
        <v>209.0</v>
      </c>
      <c r="O1566" s="16"/>
      <c r="P1566" s="17">
        <v>40015.93653935185</v>
      </c>
      <c r="Q1566" s="10" t="s">
        <v>3116</v>
      </c>
      <c r="R1566" s="10" t="s">
        <v>4784</v>
      </c>
      <c r="S1566" s="11" t="s">
        <v>4785</v>
      </c>
      <c r="T1566" s="13"/>
      <c r="U1566" s="18" t="str">
        <f>HYPERLINK("https://pbs.twimg.com/profile_images/604389323467677697/Mb0IUjsb.png","View")</f>
        <v>View</v>
      </c>
      <c r="V1566" s="13"/>
      <c r="W1566" s="13"/>
      <c r="X1566" s="13"/>
      <c r="Y1566" s="13"/>
      <c r="Z1566" s="13"/>
    </row>
    <row r="1567">
      <c r="A1567" s="8">
        <v>43848.37851851852</v>
      </c>
      <c r="B1567" s="9" t="str">
        <f>HYPERLINK("https://twitter.com/OneBody10","@OneBody10")</f>
        <v>@OneBody10</v>
      </c>
      <c r="C1567" s="10" t="s">
        <v>6858</v>
      </c>
      <c r="D1567" s="10" t="s">
        <v>6859</v>
      </c>
      <c r="E1567" s="9" t="str">
        <f>HYPERLINK("https://twitter.com/OneBody10/status/1218534775683735554","1218534775683735554")</f>
        <v>1218534775683735554</v>
      </c>
      <c r="F1567" s="11" t="s">
        <v>6860</v>
      </c>
      <c r="G1567" s="13"/>
      <c r="H1567" s="13"/>
      <c r="I1567" s="14">
        <v>0.0</v>
      </c>
      <c r="J1567" s="14">
        <v>1.0</v>
      </c>
      <c r="K1567" s="9" t="str">
        <f>HYPERLINK("http://instagram.com","Instagram")</f>
        <v>Instagram</v>
      </c>
      <c r="L1567" s="15">
        <v>37.0</v>
      </c>
      <c r="M1567" s="15">
        <v>118.0</v>
      </c>
      <c r="N1567" s="15">
        <v>0.0</v>
      </c>
      <c r="O1567" s="16"/>
      <c r="P1567" s="17">
        <v>43187.65452546296</v>
      </c>
      <c r="Q1567" s="10" t="s">
        <v>145</v>
      </c>
      <c r="R1567" s="10" t="s">
        <v>6861</v>
      </c>
      <c r="S1567" s="13"/>
      <c r="T1567" s="13"/>
      <c r="U1567" s="18" t="str">
        <f>HYPERLINK("https://pbs.twimg.com/profile_images/979683756209524738/6t_rlKXZ.jpg","View")</f>
        <v>View</v>
      </c>
      <c r="V1567" s="13"/>
      <c r="W1567" s="13"/>
      <c r="X1567" s="13"/>
      <c r="Y1567" s="13"/>
      <c r="Z1567" s="13"/>
    </row>
    <row r="1568">
      <c r="A1568" s="8">
        <v>43848.37789351852</v>
      </c>
      <c r="B1568" s="9" t="str">
        <f>HYPERLINK("https://twitter.com/UserDirnsa","@UserDirnsa")</f>
        <v>@UserDirnsa</v>
      </c>
      <c r="C1568" s="10" t="s">
        <v>6862</v>
      </c>
      <c r="D1568" s="10" t="s">
        <v>238</v>
      </c>
      <c r="E1568" s="9" t="str">
        <f>HYPERLINK("https://twitter.com/UserDirnsa/status/1218534548247666688","1218534548247666688")</f>
        <v>1218534548247666688</v>
      </c>
      <c r="F1568" s="13"/>
      <c r="G1568" s="13"/>
      <c r="H1568" s="13"/>
      <c r="I1568" s="14">
        <v>1.0</v>
      </c>
      <c r="J1568" s="14">
        <v>0.0</v>
      </c>
      <c r="K1568" s="9" t="str">
        <f>HYPERLINK("https://mobile.twitter.com","Twitter Web App")</f>
        <v>Twitter Web App</v>
      </c>
      <c r="L1568" s="15">
        <v>164.0</v>
      </c>
      <c r="M1568" s="15">
        <v>67.0</v>
      </c>
      <c r="N1568" s="15">
        <v>2.0</v>
      </c>
      <c r="O1568" s="16"/>
      <c r="P1568" s="17">
        <v>43236.07400462963</v>
      </c>
      <c r="Q1568" s="10" t="s">
        <v>6863</v>
      </c>
      <c r="R1568" s="10" t="s">
        <v>6864</v>
      </c>
      <c r="S1568" s="11" t="s">
        <v>6865</v>
      </c>
      <c r="T1568" s="13"/>
      <c r="U1568" s="18" t="str">
        <f>HYPERLINK("https://pbs.twimg.com/profile_images/1161682392555360256/N53m6HwT.jpg","View")</f>
        <v>View</v>
      </c>
      <c r="V1568" s="13"/>
      <c r="W1568" s="13"/>
      <c r="X1568" s="13"/>
      <c r="Y1568" s="13"/>
      <c r="Z1568" s="13"/>
    </row>
    <row r="1569">
      <c r="A1569" s="8">
        <v>43848.377430555556</v>
      </c>
      <c r="B1569" s="9" t="str">
        <f>HYPERLINK("https://twitter.com/danningtyas","@danningtyas")</f>
        <v>@danningtyas</v>
      </c>
      <c r="C1569" s="10" t="s">
        <v>6866</v>
      </c>
      <c r="D1569" s="10" t="s">
        <v>6867</v>
      </c>
      <c r="E1569" s="9" t="str">
        <f>HYPERLINK("https://twitter.com/danningtyas/status/1218534382098509824","1218534382098509824")</f>
        <v>1218534382098509824</v>
      </c>
      <c r="F1569" s="11" t="s">
        <v>6868</v>
      </c>
      <c r="G1569" s="13"/>
      <c r="H1569" s="13"/>
      <c r="I1569" s="14">
        <v>0.0</v>
      </c>
      <c r="J1569" s="14">
        <v>0.0</v>
      </c>
      <c r="K1569" s="9" t="str">
        <f>HYPERLINK("http://twitter.com/download/android","Twitter for Android")</f>
        <v>Twitter for Android</v>
      </c>
      <c r="L1569" s="15">
        <v>170.0</v>
      </c>
      <c r="M1569" s="15">
        <v>213.0</v>
      </c>
      <c r="N1569" s="15">
        <v>2.0</v>
      </c>
      <c r="O1569" s="16"/>
      <c r="P1569" s="17">
        <v>40076.14650462963</v>
      </c>
      <c r="Q1569" s="10" t="s">
        <v>6869</v>
      </c>
      <c r="R1569" s="10" t="s">
        <v>6870</v>
      </c>
      <c r="S1569" s="11" t="s">
        <v>6871</v>
      </c>
      <c r="T1569" s="13"/>
      <c r="U1569" s="18" t="str">
        <f>HYPERLINK("https://pbs.twimg.com/profile_images/1213398203912974336/AVVNU4mG.jpg","View")</f>
        <v>View</v>
      </c>
      <c r="V1569" s="13"/>
      <c r="W1569" s="13"/>
      <c r="X1569" s="13"/>
      <c r="Y1569" s="13"/>
      <c r="Z1569" s="13"/>
    </row>
    <row r="1570">
      <c r="A1570" s="8">
        <v>43848.377291666664</v>
      </c>
      <c r="B1570" s="9" t="str">
        <f>HYPERLINK("https://twitter.com/Alshepmcr","@Alshepmcr")</f>
        <v>@Alshepmcr</v>
      </c>
      <c r="C1570" s="10" t="s">
        <v>5471</v>
      </c>
      <c r="D1570" s="10" t="s">
        <v>6872</v>
      </c>
      <c r="E1570" s="9" t="str">
        <f>HYPERLINK("https://twitter.com/Alshepmcr/status/1218534329485230080","1218534329485230080")</f>
        <v>1218534329485230080</v>
      </c>
      <c r="F1570" s="13"/>
      <c r="G1570" s="11" t="s">
        <v>6873</v>
      </c>
      <c r="H1570" s="13"/>
      <c r="I1570" s="14">
        <v>1.0</v>
      </c>
      <c r="J1570" s="14">
        <v>12.0</v>
      </c>
      <c r="K1570" s="9" t="str">
        <f>HYPERLINK("http://twitter.com/download/iphone","Twitter for iPhone")</f>
        <v>Twitter for iPhone</v>
      </c>
      <c r="L1570" s="15">
        <v>2485.0</v>
      </c>
      <c r="M1570" s="15">
        <v>4642.0</v>
      </c>
      <c r="N1570" s="15">
        <v>29.0</v>
      </c>
      <c r="O1570" s="16"/>
      <c r="P1570" s="17">
        <v>41341.60810185185</v>
      </c>
      <c r="Q1570" s="10" t="s">
        <v>5474</v>
      </c>
      <c r="R1570" s="10" t="s">
        <v>5475</v>
      </c>
      <c r="S1570" s="13"/>
      <c r="T1570" s="13"/>
      <c r="U1570" s="18" t="str">
        <f>HYPERLINK("https://pbs.twimg.com/profile_images/3354480200/4e7c6a3ad50b65d6c3611c68a8db09af.jpeg","View")</f>
        <v>View</v>
      </c>
      <c r="V1570" s="13"/>
      <c r="W1570" s="13"/>
      <c r="X1570" s="13"/>
      <c r="Y1570" s="13"/>
      <c r="Z1570" s="13"/>
    </row>
    <row r="1571">
      <c r="A1571" s="8">
        <v>43848.37662037037</v>
      </c>
      <c r="B1571" s="9" t="str">
        <f>HYPERLINK("https://twitter.com/DepthnWeight","@DepthnWeight")</f>
        <v>@DepthnWeight</v>
      </c>
      <c r="C1571" s="10" t="s">
        <v>6874</v>
      </c>
      <c r="D1571" s="10" t="s">
        <v>6875</v>
      </c>
      <c r="E1571" s="9" t="str">
        <f>HYPERLINK("https://twitter.com/DepthnWeight/status/1218534088367378434","1218534088367378434")</f>
        <v>1218534088367378434</v>
      </c>
      <c r="F1571" s="11" t="s">
        <v>6876</v>
      </c>
      <c r="G1571" s="13"/>
      <c r="H1571" s="13"/>
      <c r="I1571" s="14">
        <v>1.0</v>
      </c>
      <c r="J1571" s="14">
        <v>2.0</v>
      </c>
      <c r="K1571" s="9" t="str">
        <f>HYPERLINK("http://instagram.com","Instagram")</f>
        <v>Instagram</v>
      </c>
      <c r="L1571" s="15">
        <v>42.0</v>
      </c>
      <c r="M1571" s="15">
        <v>178.0</v>
      </c>
      <c r="N1571" s="15">
        <v>0.0</v>
      </c>
      <c r="O1571" s="16"/>
      <c r="P1571" s="17">
        <v>42925.744108796294</v>
      </c>
      <c r="Q1571" s="10" t="s">
        <v>24</v>
      </c>
      <c r="R1571" s="10" t="s">
        <v>6877</v>
      </c>
      <c r="S1571" s="11" t="s">
        <v>6878</v>
      </c>
      <c r="T1571" s="13"/>
      <c r="U1571" s="18" t="str">
        <f>HYPERLINK("https://pbs.twimg.com/profile_images/1104491733696630785/79FeTrlP.jpg","View")</f>
        <v>View</v>
      </c>
      <c r="V1571" s="13"/>
      <c r="W1571" s="13"/>
      <c r="X1571" s="13"/>
      <c r="Y1571" s="13"/>
      <c r="Z1571" s="13"/>
    </row>
    <row r="1572">
      <c r="A1572" s="8">
        <v>43848.37627314815</v>
      </c>
      <c r="B1572" s="9" t="str">
        <f>HYPERLINK("https://twitter.com/speaksout_world","@speaksout_world")</f>
        <v>@speaksout_world</v>
      </c>
      <c r="C1572" s="10" t="s">
        <v>6879</v>
      </c>
      <c r="D1572" s="10" t="s">
        <v>6880</v>
      </c>
      <c r="E1572" s="9" t="str">
        <f>HYPERLINK("https://twitter.com/speaksout_world/status/1218533960592056328","1218533960592056328")</f>
        <v>1218533960592056328</v>
      </c>
      <c r="F1572" s="13"/>
      <c r="G1572" s="11" t="s">
        <v>6881</v>
      </c>
      <c r="H1572" s="13"/>
      <c r="I1572" s="14">
        <v>0.0</v>
      </c>
      <c r="J1572" s="14">
        <v>0.0</v>
      </c>
      <c r="K1572" s="9" t="str">
        <f t="shared" ref="K1572:K1574" si="189">HYPERLINK("https://www.hootsuite.com","Hootsuite Inc.")</f>
        <v>Hootsuite Inc.</v>
      </c>
      <c r="L1572" s="15">
        <v>92.0</v>
      </c>
      <c r="M1572" s="15">
        <v>33.0</v>
      </c>
      <c r="N1572" s="15">
        <v>0.0</v>
      </c>
      <c r="O1572" s="16"/>
      <c r="P1572" s="17">
        <v>43515.357939814814</v>
      </c>
      <c r="Q1572" s="13"/>
      <c r="R1572" s="13"/>
      <c r="S1572" s="13"/>
      <c r="T1572" s="13"/>
      <c r="U1572" s="18" t="str">
        <f>HYPERLINK("https://pbs.twimg.com/profile_images/1105645346976346112/sOq7Q75D.png","View")</f>
        <v>View</v>
      </c>
      <c r="V1572" s="13"/>
      <c r="W1572" s="13"/>
      <c r="X1572" s="13"/>
      <c r="Y1572" s="13"/>
      <c r="Z1572" s="13"/>
    </row>
    <row r="1573">
      <c r="A1573" s="8">
        <v>43848.37605324074</v>
      </c>
      <c r="B1573" s="9" t="str">
        <f>HYPERLINK("https://twitter.com/ProPhysioLondon","@ProPhysioLondon")</f>
        <v>@ProPhysioLondon</v>
      </c>
      <c r="C1573" s="10" t="s">
        <v>6882</v>
      </c>
      <c r="D1573" s="10" t="s">
        <v>6883</v>
      </c>
      <c r="E1573" s="9" t="str">
        <f>HYPERLINK("https://twitter.com/ProPhysioLondon/status/1218533884419301376","1218533884419301376")</f>
        <v>1218533884419301376</v>
      </c>
      <c r="F1573" s="13"/>
      <c r="G1573" s="11" t="s">
        <v>6884</v>
      </c>
      <c r="H1573" s="13"/>
      <c r="I1573" s="14">
        <v>0.0</v>
      </c>
      <c r="J1573" s="14">
        <v>0.0</v>
      </c>
      <c r="K1573" s="9" t="str">
        <f t="shared" si="189"/>
        <v>Hootsuite Inc.</v>
      </c>
      <c r="L1573" s="15">
        <v>1142.0</v>
      </c>
      <c r="M1573" s="15">
        <v>2305.0</v>
      </c>
      <c r="N1573" s="15">
        <v>24.0</v>
      </c>
      <c r="O1573" s="16"/>
      <c r="P1573" s="17">
        <v>40057.29584490741</v>
      </c>
      <c r="Q1573" s="10" t="s">
        <v>6885</v>
      </c>
      <c r="R1573" s="10" t="s">
        <v>6886</v>
      </c>
      <c r="S1573" s="11" t="s">
        <v>6887</v>
      </c>
      <c r="T1573" s="13"/>
      <c r="U1573" s="18" t="str">
        <f>HYPERLINK("https://pbs.twimg.com/profile_images/1053605693507469312/TCaciG3j.jpg","View")</f>
        <v>View</v>
      </c>
      <c r="V1573" s="13"/>
      <c r="W1573" s="13"/>
      <c r="X1573" s="13"/>
      <c r="Y1573" s="13"/>
      <c r="Z1573" s="13"/>
    </row>
    <row r="1574">
      <c r="A1574" s="8">
        <v>43848.37599537037</v>
      </c>
      <c r="B1574" s="9" t="str">
        <f>HYPERLINK("https://twitter.com/PrioryGroup","@PrioryGroup")</f>
        <v>@PrioryGroup</v>
      </c>
      <c r="C1574" s="10" t="s">
        <v>6888</v>
      </c>
      <c r="D1574" s="10" t="s">
        <v>6889</v>
      </c>
      <c r="E1574" s="9" t="str">
        <f>HYPERLINK("https://twitter.com/PrioryGroup/status/1218533862936055814","1218533862936055814")</f>
        <v>1218533862936055814</v>
      </c>
      <c r="F1574" s="11" t="s">
        <v>6890</v>
      </c>
      <c r="G1574" s="11" t="s">
        <v>6891</v>
      </c>
      <c r="H1574" s="13"/>
      <c r="I1574" s="14">
        <v>0.0</v>
      </c>
      <c r="J1574" s="14">
        <v>0.0</v>
      </c>
      <c r="K1574" s="9" t="str">
        <f t="shared" si="189"/>
        <v>Hootsuite Inc.</v>
      </c>
      <c r="L1574" s="15">
        <v>6427.0</v>
      </c>
      <c r="M1574" s="15">
        <v>1343.0</v>
      </c>
      <c r="N1574" s="15">
        <v>140.0</v>
      </c>
      <c r="O1574" s="16"/>
      <c r="P1574" s="17">
        <v>40339.432847222226</v>
      </c>
      <c r="Q1574" s="10" t="s">
        <v>6892</v>
      </c>
      <c r="R1574" s="10" t="s">
        <v>6893</v>
      </c>
      <c r="S1574" s="11" t="s">
        <v>6894</v>
      </c>
      <c r="T1574" s="13"/>
      <c r="U1574" s="18" t="str">
        <f>HYPERLINK("https://pbs.twimg.com/profile_images/3502400679/2dd3ddb0809d407a92d534d5e07c48c4.jpeg","View")</f>
        <v>View</v>
      </c>
      <c r="V1574" s="13"/>
      <c r="W1574" s="13"/>
      <c r="X1574" s="13"/>
      <c r="Y1574" s="13"/>
      <c r="Z1574" s="13"/>
    </row>
    <row r="1575">
      <c r="A1575" s="8">
        <v>43848.37599537037</v>
      </c>
      <c r="B1575" s="9" t="str">
        <f>HYPERLINK("https://twitter.com/MapsofIndia","@MapsofIndia")</f>
        <v>@MapsofIndia</v>
      </c>
      <c r="C1575" s="10" t="s">
        <v>6384</v>
      </c>
      <c r="D1575" s="10" t="s">
        <v>6895</v>
      </c>
      <c r="E1575" s="9" t="str">
        <f>HYPERLINK("https://twitter.com/MapsofIndia/status/1218533862126411776","1218533862126411776")</f>
        <v>1218533862126411776</v>
      </c>
      <c r="F1575" s="11" t="s">
        <v>6896</v>
      </c>
      <c r="G1575" s="13"/>
      <c r="H1575" s="13"/>
      <c r="I1575" s="14">
        <v>0.0</v>
      </c>
      <c r="J1575" s="14">
        <v>0.0</v>
      </c>
      <c r="K1575" s="9" t="str">
        <f>HYPERLINK("https://mobile.twitter.com","Twitter Web App")</f>
        <v>Twitter Web App</v>
      </c>
      <c r="L1575" s="15">
        <v>3369.0</v>
      </c>
      <c r="M1575" s="15">
        <v>55.0</v>
      </c>
      <c r="N1575" s="15">
        <v>214.0</v>
      </c>
      <c r="O1575" s="16"/>
      <c r="P1575" s="17">
        <v>39799.18666666667</v>
      </c>
      <c r="Q1575" s="10" t="s">
        <v>35</v>
      </c>
      <c r="R1575" s="10" t="s">
        <v>6387</v>
      </c>
      <c r="S1575" s="11" t="s">
        <v>6388</v>
      </c>
      <c r="T1575" s="13"/>
      <c r="U1575" s="18" t="str">
        <f>HYPERLINK("https://pbs.twimg.com/profile_images/715353988/moi-icon.png","View")</f>
        <v>View</v>
      </c>
      <c r="V1575" s="13"/>
      <c r="W1575" s="13"/>
      <c r="X1575" s="13"/>
      <c r="Y1575" s="13"/>
      <c r="Z1575" s="13"/>
    </row>
    <row r="1576">
      <c r="A1576" s="8">
        <v>43848.37561342593</v>
      </c>
      <c r="B1576" s="9" t="str">
        <f>HYPERLINK("https://twitter.com/Acacia_CW","@Acacia_CW")</f>
        <v>@Acacia_CW</v>
      </c>
      <c r="C1576" s="10" t="s">
        <v>6897</v>
      </c>
      <c r="D1576" s="10" t="s">
        <v>6898</v>
      </c>
      <c r="E1576" s="9" t="str">
        <f>HYPERLINK("https://twitter.com/Acacia_CW/status/1218533725140635649","1218533725140635649")</f>
        <v>1218533725140635649</v>
      </c>
      <c r="F1576" s="13"/>
      <c r="G1576" s="11" t="s">
        <v>6899</v>
      </c>
      <c r="H1576" s="13"/>
      <c r="I1576" s="14">
        <v>0.0</v>
      </c>
      <c r="J1576" s="14">
        <v>0.0</v>
      </c>
      <c r="K1576" s="9" t="str">
        <f>HYPERLINK("https://www.hootsuite.com","Hootsuite Inc.")</f>
        <v>Hootsuite Inc.</v>
      </c>
      <c r="L1576" s="15">
        <v>86.0</v>
      </c>
      <c r="M1576" s="15">
        <v>210.0</v>
      </c>
      <c r="N1576" s="15">
        <v>2.0</v>
      </c>
      <c r="O1576" s="16"/>
      <c r="P1576" s="17">
        <v>41919.79876157407</v>
      </c>
      <c r="Q1576" s="10" t="s">
        <v>24</v>
      </c>
      <c r="R1576" s="10" t="s">
        <v>6900</v>
      </c>
      <c r="S1576" s="11" t="s">
        <v>6901</v>
      </c>
      <c r="T1576" s="13"/>
      <c r="U1576" s="18" t="str">
        <f>HYPERLINK("https://pbs.twimg.com/profile_images/1202677646343098369/wgUZIJ4u.jpg","View")</f>
        <v>View</v>
      </c>
      <c r="V1576" s="13"/>
      <c r="W1576" s="13"/>
      <c r="X1576" s="13"/>
      <c r="Y1576" s="13"/>
      <c r="Z1576" s="13"/>
    </row>
    <row r="1577">
      <c r="A1577" s="8">
        <v>43848.375543981485</v>
      </c>
      <c r="B1577" s="9" t="str">
        <f>HYPERLINK("https://twitter.com/kingwavy95","@kingwavy95")</f>
        <v>@kingwavy95</v>
      </c>
      <c r="C1577" s="10" t="s">
        <v>6902</v>
      </c>
      <c r="D1577" s="10" t="s">
        <v>238</v>
      </c>
      <c r="E1577" s="9" t="str">
        <f>HYPERLINK("https://twitter.com/kingwavy95/status/1218533697739161600","1218533697739161600")</f>
        <v>1218533697739161600</v>
      </c>
      <c r="F1577" s="13"/>
      <c r="G1577" s="13"/>
      <c r="H1577" s="13"/>
      <c r="I1577" s="14">
        <v>0.0</v>
      </c>
      <c r="J1577" s="14">
        <v>0.0</v>
      </c>
      <c r="K1577" s="9" t="str">
        <f>HYPERLINK("http://twitter.com/download/iphone","Twitter for iPhone")</f>
        <v>Twitter for iPhone</v>
      </c>
      <c r="L1577" s="15">
        <v>394.0</v>
      </c>
      <c r="M1577" s="15">
        <v>529.0</v>
      </c>
      <c r="N1577" s="15">
        <v>0.0</v>
      </c>
      <c r="O1577" s="16"/>
      <c r="P1577" s="17">
        <v>42876.20417824074</v>
      </c>
      <c r="Q1577" s="10" t="s">
        <v>6903</v>
      </c>
      <c r="R1577" s="10" t="s">
        <v>6904</v>
      </c>
      <c r="S1577" s="13"/>
      <c r="T1577" s="13"/>
      <c r="U1577" s="18" t="str">
        <f>HYPERLINK("https://pbs.twimg.com/profile_images/1197904601669873664/QKeyFlwB.jpg","View")</f>
        <v>View</v>
      </c>
      <c r="V1577" s="13"/>
      <c r="W1577" s="13"/>
      <c r="X1577" s="13"/>
      <c r="Y1577" s="13"/>
      <c r="Z1577" s="13"/>
    </row>
    <row r="1578">
      <c r="A1578" s="8">
        <v>43848.37550925926</v>
      </c>
      <c r="B1578" s="9" t="str">
        <f>HYPERLINK("https://twitter.com/empower_ga","@empower_ga")</f>
        <v>@empower_ga</v>
      </c>
      <c r="C1578" s="10" t="s">
        <v>6905</v>
      </c>
      <c r="D1578" s="10" t="s">
        <v>6906</v>
      </c>
      <c r="E1578" s="9" t="str">
        <f>HYPERLINK("https://twitter.com/empower_ga/status/1218533687156858880","1218533687156858880")</f>
        <v>1218533687156858880</v>
      </c>
      <c r="F1578" s="10" t="s">
        <v>6907</v>
      </c>
      <c r="G1578" s="11" t="s">
        <v>6908</v>
      </c>
      <c r="H1578" s="13"/>
      <c r="I1578" s="14">
        <v>0.0</v>
      </c>
      <c r="J1578" s="14">
        <v>0.0</v>
      </c>
      <c r="K1578" s="9" t="str">
        <f>HYPERLINK("https://oauth.io","Social Genie by Brighter Vision")</f>
        <v>Social Genie by Brighter Vision</v>
      </c>
      <c r="L1578" s="15">
        <v>3.0</v>
      </c>
      <c r="M1578" s="15">
        <v>8.0</v>
      </c>
      <c r="N1578" s="15">
        <v>0.0</v>
      </c>
      <c r="O1578" s="16"/>
      <c r="P1578" s="17">
        <v>43769.39226851852</v>
      </c>
      <c r="Q1578" s="10" t="s">
        <v>6909</v>
      </c>
      <c r="R1578" s="10" t="s">
        <v>6910</v>
      </c>
      <c r="S1578" s="11" t="s">
        <v>6911</v>
      </c>
      <c r="T1578" s="13"/>
      <c r="U1578" s="18" t="str">
        <f>HYPERLINK("https://pbs.twimg.com/profile_images/1189916867986706432/21hVGmqW.png","View")</f>
        <v>View</v>
      </c>
      <c r="V1578" s="13"/>
      <c r="W1578" s="13"/>
      <c r="X1578" s="13"/>
      <c r="Y1578" s="13"/>
      <c r="Z1578" s="13"/>
    </row>
    <row r="1579">
      <c r="A1579" s="8">
        <v>43848.37550925926</v>
      </c>
      <c r="B1579" s="9" t="str">
        <f>HYPERLINK("https://twitter.com/JoeAccardi","@JoeAccardi")</f>
        <v>@JoeAccardi</v>
      </c>
      <c r="C1579" s="10" t="s">
        <v>570</v>
      </c>
      <c r="D1579" s="10" t="s">
        <v>6912</v>
      </c>
      <c r="E1579" s="9" t="str">
        <f>HYPERLINK("https://twitter.com/JoeAccardi/status/1218533683289886723","1218533683289886723")</f>
        <v>1218533683289886723</v>
      </c>
      <c r="F1579" s="11" t="s">
        <v>6913</v>
      </c>
      <c r="G1579" s="13"/>
      <c r="H1579" s="13"/>
      <c r="I1579" s="14">
        <v>0.0</v>
      </c>
      <c r="J1579" s="14">
        <v>0.0</v>
      </c>
      <c r="K1579" s="9" t="str">
        <f>HYPERLINK("http://apps.twitter.com","Tweet4Joe")</f>
        <v>Tweet4Joe</v>
      </c>
      <c r="L1579" s="15">
        <v>7452.0</v>
      </c>
      <c r="M1579" s="15">
        <v>3963.0</v>
      </c>
      <c r="N1579" s="15">
        <v>180.0</v>
      </c>
      <c r="O1579" s="16"/>
      <c r="P1579" s="17">
        <v>41954.40488425926</v>
      </c>
      <c r="Q1579" s="10" t="s">
        <v>73</v>
      </c>
      <c r="R1579" s="10" t="s">
        <v>573</v>
      </c>
      <c r="S1579" s="11" t="s">
        <v>574</v>
      </c>
      <c r="T1579" s="13"/>
      <c r="U1579" s="18" t="str">
        <f>HYPERLINK("https://pbs.twimg.com/profile_images/532181977642721280/iVWYxAYE.jpeg","View")</f>
        <v>View</v>
      </c>
      <c r="V1579" s="13"/>
      <c r="W1579" s="13"/>
      <c r="X1579" s="13"/>
      <c r="Y1579" s="13"/>
      <c r="Z1579" s="13"/>
    </row>
    <row r="1580">
      <c r="A1580" s="8">
        <v>43848.37533564815</v>
      </c>
      <c r="B1580" s="9" t="str">
        <f>HYPERLINK("https://twitter.com/tidlssw","@tidlssw")</f>
        <v>@tidlssw</v>
      </c>
      <c r="C1580" s="10" t="s">
        <v>6914</v>
      </c>
      <c r="D1580" s="10" t="s">
        <v>6915</v>
      </c>
      <c r="E1580" s="9" t="str">
        <f>HYPERLINK("https://twitter.com/tidlssw/status/1218533620966744068","1218533620966744068")</f>
        <v>1218533620966744068</v>
      </c>
      <c r="F1580" s="11" t="s">
        <v>6916</v>
      </c>
      <c r="G1580" s="11" t="s">
        <v>6917</v>
      </c>
      <c r="H1580" s="13"/>
      <c r="I1580" s="14">
        <v>3.0</v>
      </c>
      <c r="J1580" s="14">
        <v>4.0</v>
      </c>
      <c r="K1580" s="9" t="str">
        <f>HYPERLINK("https://www.hootsuite.com","Hootsuite Inc.")</f>
        <v>Hootsuite Inc.</v>
      </c>
      <c r="L1580" s="15">
        <v>28.0</v>
      </c>
      <c r="M1580" s="15">
        <v>68.0</v>
      </c>
      <c r="N1580" s="15">
        <v>0.0</v>
      </c>
      <c r="O1580" s="16"/>
      <c r="P1580" s="17">
        <v>42948.67736111111</v>
      </c>
      <c r="Q1580" s="10" t="s">
        <v>6918</v>
      </c>
      <c r="R1580" s="10" t="s">
        <v>6919</v>
      </c>
      <c r="S1580" s="11" t="s">
        <v>6920</v>
      </c>
      <c r="T1580" s="13"/>
      <c r="U1580" s="18" t="str">
        <f>HYPERLINK("https://pbs.twimg.com/profile_images/953724735912923139/lBfmzje6.jpg","View")</f>
        <v>View</v>
      </c>
      <c r="V1580" s="13"/>
      <c r="W1580" s="13"/>
      <c r="X1580" s="13"/>
      <c r="Y1580" s="13"/>
      <c r="Z1580" s="13"/>
    </row>
    <row r="1581">
      <c r="A1581" s="8">
        <v>43848.37521990741</v>
      </c>
      <c r="B1581" s="9" t="str">
        <f>HYPERLINK("https://twitter.com/IASS_Network","@IASS_Network")</f>
        <v>@IASS_Network</v>
      </c>
      <c r="C1581" s="10" t="s">
        <v>6921</v>
      </c>
      <c r="D1581" s="10" t="s">
        <v>6922</v>
      </c>
      <c r="E1581" s="9" t="str">
        <f>HYPERLINK("https://twitter.com/IASS_Network/status/1218533582114893824","1218533582114893824")</f>
        <v>1218533582114893824</v>
      </c>
      <c r="F1581" s="11" t="s">
        <v>6923</v>
      </c>
      <c r="G1581" s="11" t="s">
        <v>6924</v>
      </c>
      <c r="H1581" s="13"/>
      <c r="I1581" s="14">
        <v>0.0</v>
      </c>
      <c r="J1581" s="14">
        <v>0.0</v>
      </c>
      <c r="K1581" s="9" t="str">
        <f>HYPERLINK("https://sproutsocial.com","Sprout Social")</f>
        <v>Sprout Social</v>
      </c>
      <c r="L1581" s="15">
        <v>9210.0</v>
      </c>
      <c r="M1581" s="15">
        <v>810.0</v>
      </c>
      <c r="N1581" s="15">
        <v>85.0</v>
      </c>
      <c r="O1581" s="16"/>
      <c r="P1581" s="17">
        <v>40724.46732638889</v>
      </c>
      <c r="Q1581" s="10" t="s">
        <v>2323</v>
      </c>
      <c r="R1581" s="10" t="s">
        <v>6925</v>
      </c>
      <c r="S1581" s="11" t="s">
        <v>6926</v>
      </c>
      <c r="T1581" s="13"/>
      <c r="U1581" s="18" t="str">
        <f>HYPERLINK("https://pbs.twimg.com/profile_images/683944673153527809/DzWlrJLX.jpg","View")</f>
        <v>View</v>
      </c>
      <c r="V1581" s="13"/>
      <c r="W1581" s="13"/>
      <c r="X1581" s="13"/>
      <c r="Y1581" s="13"/>
      <c r="Z1581" s="13"/>
    </row>
    <row r="1582">
      <c r="A1582" s="8">
        <v>43848.37414351852</v>
      </c>
      <c r="B1582" s="9" t="str">
        <f>HYPERLINK("https://twitter.com/yourfriendmags","@yourfriendmags")</f>
        <v>@yourfriendmags</v>
      </c>
      <c r="C1582" s="10" t="s">
        <v>6927</v>
      </c>
      <c r="D1582" s="10" t="s">
        <v>6928</v>
      </c>
      <c r="E1582" s="9" t="str">
        <f>HYPERLINK("https://twitter.com/yourfriendmags/status/1218533189205024768","1218533189205024768")</f>
        <v>1218533189205024768</v>
      </c>
      <c r="F1582" s="11" t="s">
        <v>6929</v>
      </c>
      <c r="G1582" s="13"/>
      <c r="H1582" s="13"/>
      <c r="I1582" s="14">
        <v>0.0</v>
      </c>
      <c r="J1582" s="14">
        <v>0.0</v>
      </c>
      <c r="K1582" s="9" t="str">
        <f t="shared" ref="K1582:K1584" si="190">HYPERLINK("http://twitter.com/download/iphone","Twitter for iPhone")</f>
        <v>Twitter for iPhone</v>
      </c>
      <c r="L1582" s="15">
        <v>98.0</v>
      </c>
      <c r="M1582" s="15">
        <v>448.0</v>
      </c>
      <c r="N1582" s="15">
        <v>0.0</v>
      </c>
      <c r="O1582" s="16"/>
      <c r="P1582" s="17">
        <v>42683.03128472222</v>
      </c>
      <c r="Q1582" s="10" t="s">
        <v>6930</v>
      </c>
      <c r="R1582" s="10" t="s">
        <v>6931</v>
      </c>
      <c r="S1582" s="13"/>
      <c r="T1582" s="13"/>
      <c r="U1582" s="18" t="str">
        <f>HYPERLINK("https://pbs.twimg.com/profile_images/1048079482630881280/PO09KJyT.jpg","View")</f>
        <v>View</v>
      </c>
      <c r="V1582" s="13"/>
      <c r="W1582" s="13"/>
      <c r="X1582" s="13"/>
      <c r="Y1582" s="13"/>
      <c r="Z1582" s="13"/>
    </row>
    <row r="1583">
      <c r="A1583" s="8">
        <v>43848.374131944445</v>
      </c>
      <c r="B1583" s="9" t="str">
        <f>HYPERLINK("https://twitter.com/AbdelwahabBob","@AbdelwahabBob")</f>
        <v>@AbdelwahabBob</v>
      </c>
      <c r="C1583" s="10" t="s">
        <v>6932</v>
      </c>
      <c r="D1583" s="10" t="s">
        <v>238</v>
      </c>
      <c r="E1583" s="9" t="str">
        <f>HYPERLINK("https://twitter.com/AbdelwahabBob/status/1218533188122939392","1218533188122939392")</f>
        <v>1218533188122939392</v>
      </c>
      <c r="F1583" s="13"/>
      <c r="G1583" s="13"/>
      <c r="H1583" s="13"/>
      <c r="I1583" s="14">
        <v>0.0</v>
      </c>
      <c r="J1583" s="14">
        <v>0.0</v>
      </c>
      <c r="K1583" s="9" t="str">
        <f t="shared" si="190"/>
        <v>Twitter for iPhone</v>
      </c>
      <c r="L1583" s="15">
        <v>680.0</v>
      </c>
      <c r="M1583" s="15">
        <v>598.0</v>
      </c>
      <c r="N1583" s="15">
        <v>1.0</v>
      </c>
      <c r="O1583" s="16"/>
      <c r="P1583" s="17">
        <v>40945.315405092595</v>
      </c>
      <c r="Q1583" s="10" t="s">
        <v>6933</v>
      </c>
      <c r="R1583" s="13"/>
      <c r="S1583" s="13"/>
      <c r="T1583" s="13"/>
      <c r="U1583" s="18" t="str">
        <f>HYPERLINK("https://pbs.twimg.com/profile_images/1212894391972569088/X7za4L4E.jpg","View")</f>
        <v>View</v>
      </c>
      <c r="V1583" s="13"/>
      <c r="W1583" s="13"/>
      <c r="X1583" s="13"/>
      <c r="Y1583" s="13"/>
      <c r="Z1583" s="13"/>
    </row>
    <row r="1584">
      <c r="A1584" s="8">
        <v>43848.37385416667</v>
      </c>
      <c r="B1584" s="9" t="str">
        <f>HYPERLINK("https://twitter.com/jessrowleyTEP","@jessrowleyTEP")</f>
        <v>@jessrowleyTEP</v>
      </c>
      <c r="C1584" s="10" t="s">
        <v>6934</v>
      </c>
      <c r="D1584" s="10" t="s">
        <v>6935</v>
      </c>
      <c r="E1584" s="9" t="str">
        <f>HYPERLINK("https://twitter.com/jessrowleyTEP/status/1218533086687825922","1218533086687825922")</f>
        <v>1218533086687825922</v>
      </c>
      <c r="F1584" s="11" t="s">
        <v>6936</v>
      </c>
      <c r="G1584" s="11" t="s">
        <v>6937</v>
      </c>
      <c r="H1584" s="13"/>
      <c r="I1584" s="14">
        <v>0.0</v>
      </c>
      <c r="J1584" s="14">
        <v>0.0</v>
      </c>
      <c r="K1584" s="9" t="str">
        <f t="shared" si="190"/>
        <v>Twitter for iPhone</v>
      </c>
      <c r="L1584" s="15">
        <v>102.0</v>
      </c>
      <c r="M1584" s="15">
        <v>155.0</v>
      </c>
      <c r="N1584" s="15">
        <v>2.0</v>
      </c>
      <c r="O1584" s="16"/>
      <c r="P1584" s="17">
        <v>43697.67563657407</v>
      </c>
      <c r="Q1584" s="13"/>
      <c r="R1584" s="10" t="s">
        <v>6938</v>
      </c>
      <c r="S1584" s="13"/>
      <c r="T1584" s="13"/>
      <c r="U1584" s="18" t="str">
        <f>HYPERLINK("https://pbs.twimg.com/profile_images/1163906918101999617/pu1cDGEb.jpg","View")</f>
        <v>View</v>
      </c>
      <c r="V1584" s="13"/>
      <c r="W1584" s="13"/>
      <c r="X1584" s="13"/>
      <c r="Y1584" s="13"/>
      <c r="Z1584" s="13"/>
    </row>
    <row r="1585">
      <c r="A1585" s="8">
        <v>43848.37361111111</v>
      </c>
      <c r="B1585" s="9" t="str">
        <f>HYPERLINK("https://twitter.com/TASCharity","@TASCharity")</f>
        <v>@TASCharity</v>
      </c>
      <c r="C1585" s="10" t="s">
        <v>6939</v>
      </c>
      <c r="D1585" s="10" t="s">
        <v>6940</v>
      </c>
      <c r="E1585" s="9" t="str">
        <f>HYPERLINK("https://twitter.com/TASCharity/status/1218532996615028738","1218532996615028738")</f>
        <v>1218532996615028738</v>
      </c>
      <c r="F1585" s="11" t="s">
        <v>6941</v>
      </c>
      <c r="G1585" s="11" t="s">
        <v>6942</v>
      </c>
      <c r="H1585" s="13"/>
      <c r="I1585" s="14">
        <v>1.0</v>
      </c>
      <c r="J1585" s="14">
        <v>2.0</v>
      </c>
      <c r="K1585" s="9" t="str">
        <f>HYPERLINK("https://about.twitter.com/products/tweetdeck","TweetDeck")</f>
        <v>TweetDeck</v>
      </c>
      <c r="L1585" s="15">
        <v>1976.0</v>
      </c>
      <c r="M1585" s="15">
        <v>491.0</v>
      </c>
      <c r="N1585" s="15">
        <v>9.0</v>
      </c>
      <c r="O1585" s="16"/>
      <c r="P1585" s="17">
        <v>42045.633831018524</v>
      </c>
      <c r="Q1585" s="10" t="s">
        <v>6943</v>
      </c>
      <c r="R1585" s="10" t="s">
        <v>6944</v>
      </c>
      <c r="S1585" s="11" t="s">
        <v>6945</v>
      </c>
      <c r="T1585" s="13"/>
      <c r="U1585" s="18" t="str">
        <f>HYPERLINK("https://pbs.twimg.com/profile_images/1196394092432969729/IyJcYG3w.png","View")</f>
        <v>View</v>
      </c>
      <c r="V1585" s="13"/>
      <c r="W1585" s="13"/>
      <c r="X1585" s="13"/>
      <c r="Y1585" s="13"/>
      <c r="Z1585" s="13"/>
    </row>
    <row r="1586">
      <c r="A1586" s="8">
        <v>43848.37315972222</v>
      </c>
      <c r="B1586" s="9" t="str">
        <f>HYPERLINK("https://twitter.com/oludareJohnson","@oludareJohnson")</f>
        <v>@oludareJohnson</v>
      </c>
      <c r="C1586" s="10" t="s">
        <v>6946</v>
      </c>
      <c r="D1586" s="10" t="s">
        <v>238</v>
      </c>
      <c r="E1586" s="9" t="str">
        <f>HYPERLINK("https://twitter.com/oludareJohnson/status/1218532834794708995","1218532834794708995")</f>
        <v>1218532834794708995</v>
      </c>
      <c r="F1586" s="13"/>
      <c r="G1586" s="13"/>
      <c r="H1586" s="13"/>
      <c r="I1586" s="14">
        <v>0.0</v>
      </c>
      <c r="J1586" s="14">
        <v>0.0</v>
      </c>
      <c r="K1586" s="9" t="str">
        <f t="shared" ref="K1586:K1587" si="191">HYPERLINK("https://mobile.twitter.com","Twitter Web App")</f>
        <v>Twitter Web App</v>
      </c>
      <c r="L1586" s="15">
        <v>854.0</v>
      </c>
      <c r="M1586" s="15">
        <v>734.0</v>
      </c>
      <c r="N1586" s="15">
        <v>14.0</v>
      </c>
      <c r="O1586" s="16"/>
      <c r="P1586" s="17">
        <v>40400.61787037037</v>
      </c>
      <c r="Q1586" s="10" t="s">
        <v>3593</v>
      </c>
      <c r="R1586" s="10" t="s">
        <v>6947</v>
      </c>
      <c r="S1586" s="13"/>
      <c r="T1586" s="13"/>
      <c r="U1586" s="18" t="str">
        <f>HYPERLINK("https://pbs.twimg.com/profile_images/715454193155383298/0B_7UAzC.jpg","View")</f>
        <v>View</v>
      </c>
      <c r="V1586" s="13"/>
      <c r="W1586" s="13"/>
      <c r="X1586" s="13"/>
      <c r="Y1586" s="13"/>
      <c r="Z1586" s="13"/>
    </row>
    <row r="1587">
      <c r="A1587" s="8">
        <v>43848.372569444444</v>
      </c>
      <c r="B1587" s="9" t="str">
        <f>HYPERLINK("https://twitter.com/MidwestViews","@MidwestViews")</f>
        <v>@MidwestViews</v>
      </c>
      <c r="C1587" s="10" t="s">
        <v>6948</v>
      </c>
      <c r="D1587" s="10" t="s">
        <v>6949</v>
      </c>
      <c r="E1587" s="9" t="str">
        <f>HYPERLINK("https://twitter.com/MidwestViews/status/1218532618888675329","1218532618888675329")</f>
        <v>1218532618888675329</v>
      </c>
      <c r="F1587" s="11" t="s">
        <v>6950</v>
      </c>
      <c r="G1587" s="13"/>
      <c r="H1587" s="13"/>
      <c r="I1587" s="14">
        <v>0.0</v>
      </c>
      <c r="J1587" s="14">
        <v>0.0</v>
      </c>
      <c r="K1587" s="9" t="str">
        <f t="shared" si="191"/>
        <v>Twitter Web App</v>
      </c>
      <c r="L1587" s="15">
        <v>203.0</v>
      </c>
      <c r="M1587" s="15">
        <v>359.0</v>
      </c>
      <c r="N1587" s="15">
        <v>25.0</v>
      </c>
      <c r="O1587" s="16"/>
      <c r="P1587" s="17">
        <v>41170.41951388889</v>
      </c>
      <c r="Q1587" s="10" t="s">
        <v>6951</v>
      </c>
      <c r="R1587" s="10" t="s">
        <v>6952</v>
      </c>
      <c r="S1587" s="13"/>
      <c r="T1587" s="13"/>
      <c r="U1587" s="18" t="str">
        <f>HYPERLINK("https://pbs.twimg.com/profile_images/2623024519/midwest_shot.jpg","View")</f>
        <v>View</v>
      </c>
      <c r="V1587" s="13"/>
      <c r="W1587" s="13"/>
      <c r="X1587" s="13"/>
      <c r="Y1587" s="13"/>
      <c r="Z1587" s="13"/>
    </row>
    <row r="1588">
      <c r="A1588" s="8">
        <v>43848.37252314815</v>
      </c>
      <c r="B1588" s="9" t="str">
        <f>HYPERLINK("https://twitter.com/nicoletta_lekka","@nicoletta_lekka")</f>
        <v>@nicoletta_lekka</v>
      </c>
      <c r="C1588" s="10" t="s">
        <v>5398</v>
      </c>
      <c r="D1588" s="10" t="s">
        <v>6953</v>
      </c>
      <c r="E1588" s="9" t="str">
        <f>HYPERLINK("https://twitter.com/nicoletta_lekka/status/1218532603994824711","1218532603994824711")</f>
        <v>1218532603994824711</v>
      </c>
      <c r="F1588" s="11" t="s">
        <v>6954</v>
      </c>
      <c r="G1588" s="13"/>
      <c r="H1588" s="13"/>
      <c r="I1588" s="14">
        <v>0.0</v>
      </c>
      <c r="J1588" s="14">
        <v>3.0</v>
      </c>
      <c r="K1588" s="9" t="str">
        <f t="shared" ref="K1588:K1589" si="192">HYPERLINK("http://twitter.com/download/iphone","Twitter for iPhone")</f>
        <v>Twitter for iPhone</v>
      </c>
      <c r="L1588" s="15">
        <v>352.0</v>
      </c>
      <c r="M1588" s="15">
        <v>144.0</v>
      </c>
      <c r="N1588" s="15">
        <v>1.0</v>
      </c>
      <c r="O1588" s="16"/>
      <c r="P1588" s="17">
        <v>43384.70064814815</v>
      </c>
      <c r="Q1588" s="10" t="s">
        <v>161</v>
      </c>
      <c r="R1588" s="10" t="s">
        <v>5401</v>
      </c>
      <c r="S1588" s="11" t="s">
        <v>5402</v>
      </c>
      <c r="T1588" s="13"/>
      <c r="U1588" s="18" t="str">
        <f>HYPERLINK("https://pbs.twimg.com/profile_images/1140404914474094592/aAa-HiZH.jpg","View")</f>
        <v>View</v>
      </c>
      <c r="V1588" s="13"/>
      <c r="W1588" s="13"/>
      <c r="X1588" s="13"/>
      <c r="Y1588" s="13"/>
      <c r="Z1588" s="13"/>
    </row>
    <row r="1589">
      <c r="A1589" s="8">
        <v>43848.37206018518</v>
      </c>
      <c r="B1589" s="9" t="str">
        <f>HYPERLINK("https://twitter.com/CaribeIps","@CaribeIps")</f>
        <v>@CaribeIps</v>
      </c>
      <c r="C1589" s="10" t="s">
        <v>6955</v>
      </c>
      <c r="D1589" s="10" t="s">
        <v>238</v>
      </c>
      <c r="E1589" s="9" t="str">
        <f>HYPERLINK("https://twitter.com/CaribeIps/status/1218532435295686656","1218532435295686656")</f>
        <v>1218532435295686656</v>
      </c>
      <c r="F1589" s="13"/>
      <c r="G1589" s="13"/>
      <c r="H1589" s="13"/>
      <c r="I1589" s="14">
        <v>0.0</v>
      </c>
      <c r="J1589" s="14">
        <v>0.0</v>
      </c>
      <c r="K1589" s="9" t="str">
        <f t="shared" si="192"/>
        <v>Twitter for iPhone</v>
      </c>
      <c r="L1589" s="15">
        <v>12.0</v>
      </c>
      <c r="M1589" s="15">
        <v>20.0</v>
      </c>
      <c r="N1589" s="15">
        <v>0.0</v>
      </c>
      <c r="O1589" s="16"/>
      <c r="P1589" s="17">
        <v>43496.47189814815</v>
      </c>
      <c r="Q1589" s="10" t="s">
        <v>6956</v>
      </c>
      <c r="R1589" s="10" t="s">
        <v>6957</v>
      </c>
      <c r="S1589" s="13"/>
      <c r="T1589" s="13"/>
      <c r="U1589" s="18" t="str">
        <f>HYPERLINK("https://pbs.twimg.com/profile_images/1091008168572960768/o6_ksRER.png","View")</f>
        <v>View</v>
      </c>
      <c r="V1589" s="13"/>
      <c r="W1589" s="13"/>
      <c r="X1589" s="13"/>
      <c r="Y1589" s="13"/>
      <c r="Z1589" s="13"/>
    </row>
    <row r="1590">
      <c r="A1590" s="8">
        <v>43848.37178240741</v>
      </c>
      <c r="B1590" s="9" t="str">
        <f>HYPERLINK("https://twitter.com/marcigeller","@marcigeller")</f>
        <v>@marcigeller</v>
      </c>
      <c r="C1590" s="10" t="s">
        <v>6958</v>
      </c>
      <c r="D1590" s="10" t="s">
        <v>6959</v>
      </c>
      <c r="E1590" s="9" t="str">
        <f>HYPERLINK("https://twitter.com/marcigeller/status/1218532336066859008","1218532336066859008")</f>
        <v>1218532336066859008</v>
      </c>
      <c r="F1590" s="11" t="s">
        <v>6960</v>
      </c>
      <c r="G1590" s="11" t="s">
        <v>6961</v>
      </c>
      <c r="H1590" s="13"/>
      <c r="I1590" s="14">
        <v>0.0</v>
      </c>
      <c r="J1590" s="14">
        <v>0.0</v>
      </c>
      <c r="K1590" s="9" t="str">
        <f>HYPERLINK("https://ifttt.com","IFTTT")</f>
        <v>IFTTT</v>
      </c>
      <c r="L1590" s="15">
        <v>15257.0</v>
      </c>
      <c r="M1590" s="15">
        <v>13134.0</v>
      </c>
      <c r="N1590" s="15">
        <v>269.0</v>
      </c>
      <c r="O1590" s="16"/>
      <c r="P1590" s="17">
        <v>39598.492002314815</v>
      </c>
      <c r="Q1590" s="10" t="s">
        <v>6962</v>
      </c>
      <c r="R1590" s="10" t="s">
        <v>6963</v>
      </c>
      <c r="S1590" s="11" t="s">
        <v>6964</v>
      </c>
      <c r="T1590" s="13"/>
      <c r="U1590" s="18" t="str">
        <f>HYPERLINK("https://pbs.twimg.com/profile_images/689489507578568705/ZDHIn1am.jpg","View")</f>
        <v>View</v>
      </c>
      <c r="V1590" s="13"/>
      <c r="W1590" s="13"/>
      <c r="X1590" s="13"/>
      <c r="Y1590" s="13"/>
      <c r="Z1590" s="13"/>
    </row>
    <row r="1591">
      <c r="A1591" s="8">
        <v>43848.371296296296</v>
      </c>
      <c r="B1591" s="9" t="str">
        <f>HYPERLINK("https://twitter.com/HelenRoberts_1","@HelenRoberts_1")</f>
        <v>@HelenRoberts_1</v>
      </c>
      <c r="C1591" s="10" t="s">
        <v>6965</v>
      </c>
      <c r="D1591" s="10" t="s">
        <v>6966</v>
      </c>
      <c r="E1591" s="9" t="str">
        <f>HYPERLINK("https://twitter.com/HelenRoberts_1/status/1218532157423005696","1218532157423005696")</f>
        <v>1218532157423005696</v>
      </c>
      <c r="F1591" s="13"/>
      <c r="G1591" s="13"/>
      <c r="H1591" s="13"/>
      <c r="I1591" s="14">
        <v>0.0</v>
      </c>
      <c r="J1591" s="14">
        <v>1.0</v>
      </c>
      <c r="K1591" s="9" t="str">
        <f t="shared" ref="K1591:K1592" si="193">HYPERLINK("http://twitter.com/download/iphone","Twitter for iPhone")</f>
        <v>Twitter for iPhone</v>
      </c>
      <c r="L1591" s="15">
        <v>561.0</v>
      </c>
      <c r="M1591" s="15">
        <v>495.0</v>
      </c>
      <c r="N1591" s="15">
        <v>17.0</v>
      </c>
      <c r="O1591" s="16"/>
      <c r="P1591" s="17">
        <v>41035.42936342592</v>
      </c>
      <c r="Q1591" s="13"/>
      <c r="R1591" s="10" t="s">
        <v>6967</v>
      </c>
      <c r="S1591" s="13"/>
      <c r="T1591" s="13"/>
      <c r="U1591" s="18" t="str">
        <f>HYPERLINK("https://pbs.twimg.com/profile_images/719970711977254917/V7QyrYQw.jpg","View")</f>
        <v>View</v>
      </c>
      <c r="V1591" s="13"/>
      <c r="W1591" s="13"/>
      <c r="X1591" s="13"/>
      <c r="Y1591" s="13"/>
      <c r="Z1591" s="13"/>
    </row>
    <row r="1592">
      <c r="A1592" s="8">
        <v>43848.369988425926</v>
      </c>
      <c r="B1592" s="9" t="str">
        <f>HYPERLINK("https://twitter.com/JayHollingshed","@JayHollingshed")</f>
        <v>@JayHollingshed</v>
      </c>
      <c r="C1592" s="10" t="s">
        <v>592</v>
      </c>
      <c r="D1592" s="10" t="s">
        <v>593</v>
      </c>
      <c r="E1592" s="9" t="str">
        <f>HYPERLINK("https://twitter.com/JayHollingshed/status/1218531685270200320","1218531685270200320")</f>
        <v>1218531685270200320</v>
      </c>
      <c r="F1592" s="13"/>
      <c r="G1592" s="11" t="s">
        <v>6968</v>
      </c>
      <c r="H1592" s="13"/>
      <c r="I1592" s="14">
        <v>0.0</v>
      </c>
      <c r="J1592" s="14">
        <v>0.0</v>
      </c>
      <c r="K1592" s="9" t="str">
        <f t="shared" si="193"/>
        <v>Twitter for iPhone</v>
      </c>
      <c r="L1592" s="15">
        <v>900.0</v>
      </c>
      <c r="M1592" s="15">
        <v>1448.0</v>
      </c>
      <c r="N1592" s="15">
        <v>47.0</v>
      </c>
      <c r="O1592" s="16"/>
      <c r="P1592" s="17">
        <v>42066.47707175926</v>
      </c>
      <c r="Q1592" s="10" t="s">
        <v>595</v>
      </c>
      <c r="R1592" s="10" t="s">
        <v>596</v>
      </c>
      <c r="S1592" s="11" t="s">
        <v>597</v>
      </c>
      <c r="T1592" s="13"/>
      <c r="U1592" s="18" t="str">
        <f>HYPERLINK("https://pbs.twimg.com/profile_images/1145534655560585216/-J1bWgqf.jpg","View")</f>
        <v>View</v>
      </c>
      <c r="V1592" s="13"/>
      <c r="W1592" s="13"/>
      <c r="X1592" s="13"/>
      <c r="Y1592" s="13"/>
      <c r="Z1592" s="13"/>
    </row>
    <row r="1593">
      <c r="A1593" s="8">
        <v>43848.368252314816</v>
      </c>
      <c r="B1593" s="9" t="str">
        <f>HYPERLINK("https://twitter.com/flannelrainbows","@flannelrainbows")</f>
        <v>@flannelrainbows</v>
      </c>
      <c r="C1593" s="10" t="s">
        <v>1334</v>
      </c>
      <c r="D1593" s="10" t="s">
        <v>6969</v>
      </c>
      <c r="E1593" s="9" t="str">
        <f>HYPERLINK("https://twitter.com/flannelrainbows/status/1218531055071846402","1218531055071846402")</f>
        <v>1218531055071846402</v>
      </c>
      <c r="F1593" s="13"/>
      <c r="G1593" s="11" t="s">
        <v>6970</v>
      </c>
      <c r="H1593" s="13"/>
      <c r="I1593" s="14">
        <v>5.0</v>
      </c>
      <c r="J1593" s="14">
        <v>21.0</v>
      </c>
      <c r="K1593" s="9" t="str">
        <f>HYPERLINK("http://twitter.com/download/android","Twitter for Android")</f>
        <v>Twitter for Android</v>
      </c>
      <c r="L1593" s="15">
        <v>7554.0</v>
      </c>
      <c r="M1593" s="15">
        <v>6890.0</v>
      </c>
      <c r="N1593" s="15">
        <v>7.0</v>
      </c>
      <c r="O1593" s="16"/>
      <c r="P1593" s="17">
        <v>43485.49912037037</v>
      </c>
      <c r="Q1593" s="10" t="s">
        <v>1336</v>
      </c>
      <c r="R1593" s="10" t="s">
        <v>1337</v>
      </c>
      <c r="S1593" s="13"/>
      <c r="T1593" s="13"/>
      <c r="U1593" s="18" t="str">
        <f>HYPERLINK("https://pbs.twimg.com/profile_images/1216161835071574017/JD66ww9Y.jpg","View")</f>
        <v>View</v>
      </c>
      <c r="V1593" s="13"/>
      <c r="W1593" s="13"/>
      <c r="X1593" s="13"/>
      <c r="Y1593" s="13"/>
      <c r="Z1593" s="13"/>
    </row>
    <row r="1594">
      <c r="A1594" s="8">
        <v>43848.368113425924</v>
      </c>
      <c r="B1594" s="9" t="str">
        <f>HYPERLINK("https://twitter.com/Paula_Piccard","@Paula_Piccard")</f>
        <v>@Paula_Piccard</v>
      </c>
      <c r="C1594" s="10" t="s">
        <v>6971</v>
      </c>
      <c r="D1594" s="10" t="s">
        <v>6972</v>
      </c>
      <c r="E1594" s="9" t="str">
        <f>HYPERLINK("https://twitter.com/Paula_Piccard/status/1218531006157918208","1218531006157918208")</f>
        <v>1218531006157918208</v>
      </c>
      <c r="F1594" s="11" t="s">
        <v>6973</v>
      </c>
      <c r="G1594" s="13"/>
      <c r="H1594" s="13"/>
      <c r="I1594" s="14">
        <v>6.0</v>
      </c>
      <c r="J1594" s="14">
        <v>5.0</v>
      </c>
      <c r="K1594" s="9" t="str">
        <f>HYPERLINK("https://www.hootsuite.com","Hootsuite Inc.")</f>
        <v>Hootsuite Inc.</v>
      </c>
      <c r="L1594" s="15">
        <v>48329.0</v>
      </c>
      <c r="M1594" s="15">
        <v>9762.0</v>
      </c>
      <c r="N1594" s="15">
        <v>1356.0</v>
      </c>
      <c r="O1594" s="16"/>
      <c r="P1594" s="17">
        <v>40665.57462962963</v>
      </c>
      <c r="Q1594" s="10" t="s">
        <v>166</v>
      </c>
      <c r="R1594" s="10" t="s">
        <v>6974</v>
      </c>
      <c r="S1594" s="11" t="s">
        <v>6975</v>
      </c>
      <c r="T1594" s="13"/>
      <c r="U1594" s="18" t="str">
        <f>HYPERLINK("https://pbs.twimg.com/profile_images/1007344781050048512/tThzjCI_.jpg","View")</f>
        <v>View</v>
      </c>
      <c r="V1594" s="13"/>
      <c r="W1594" s="13"/>
      <c r="X1594" s="13"/>
      <c r="Y1594" s="13"/>
      <c r="Z1594" s="13"/>
    </row>
    <row r="1595">
      <c r="A1595" s="8">
        <v>43848.36776620371</v>
      </c>
      <c r="B1595" s="9" t="str">
        <f>HYPERLINK("https://twitter.com/gabyvparker","@gabyvparker")</f>
        <v>@gabyvparker</v>
      </c>
      <c r="C1595" s="10" t="s">
        <v>6976</v>
      </c>
      <c r="D1595" s="10" t="s">
        <v>6977</v>
      </c>
      <c r="E1595" s="9" t="str">
        <f>HYPERLINK("https://twitter.com/gabyvparker/status/1218530878424604673","1218530878424604673")</f>
        <v>1218530878424604673</v>
      </c>
      <c r="F1595" s="13"/>
      <c r="G1595" s="11" t="s">
        <v>6978</v>
      </c>
      <c r="H1595" s="13"/>
      <c r="I1595" s="14">
        <v>0.0</v>
      </c>
      <c r="J1595" s="14">
        <v>1.0</v>
      </c>
      <c r="K1595" s="9" t="str">
        <f>HYPERLINK("http://twitter.com/download/iphone","Twitter for iPhone")</f>
        <v>Twitter for iPhone</v>
      </c>
      <c r="L1595" s="15">
        <v>465.0</v>
      </c>
      <c r="M1595" s="15">
        <v>791.0</v>
      </c>
      <c r="N1595" s="15">
        <v>3.0</v>
      </c>
      <c r="O1595" s="16"/>
      <c r="P1595" s="17">
        <v>41347.69436342592</v>
      </c>
      <c r="Q1595" s="13"/>
      <c r="R1595" s="10" t="s">
        <v>6979</v>
      </c>
      <c r="S1595" s="13"/>
      <c r="T1595" s="13"/>
      <c r="U1595" s="18" t="str">
        <f>HYPERLINK("https://pbs.twimg.com/profile_images/1110209610194006016/rz09tz3A.jpg","View")</f>
        <v>View</v>
      </c>
      <c r="V1595" s="13"/>
      <c r="W1595" s="13"/>
      <c r="X1595" s="13"/>
      <c r="Y1595" s="13"/>
      <c r="Z1595" s="13"/>
    </row>
    <row r="1596">
      <c r="A1596" s="8">
        <v>43848.367627314816</v>
      </c>
      <c r="B1596" s="9" t="str">
        <f>HYPERLINK("https://twitter.com/_xXmemequeenXx_","@_xXmemequeenXx_")</f>
        <v>@_xXmemequeenXx_</v>
      </c>
      <c r="C1596" s="10" t="s">
        <v>6980</v>
      </c>
      <c r="D1596" s="10" t="s">
        <v>6981</v>
      </c>
      <c r="E1596" s="9" t="str">
        <f>HYPERLINK("https://twitter.com/_xXmemequeenXx_/status/1218530829145714689","1218530829145714689")</f>
        <v>1218530829145714689</v>
      </c>
      <c r="F1596" s="11" t="s">
        <v>6982</v>
      </c>
      <c r="G1596" s="13"/>
      <c r="H1596" s="13"/>
      <c r="I1596" s="14">
        <v>0.0</v>
      </c>
      <c r="J1596" s="14">
        <v>0.0</v>
      </c>
      <c r="K1596" s="9" t="str">
        <f>HYPERLINK("http://instagram.com","Instagram")</f>
        <v>Instagram</v>
      </c>
      <c r="L1596" s="15">
        <v>0.0</v>
      </c>
      <c r="M1596" s="15">
        <v>20.0</v>
      </c>
      <c r="N1596" s="15">
        <v>0.0</v>
      </c>
      <c r="O1596" s="16"/>
      <c r="P1596" s="17">
        <v>43847.25202546296</v>
      </c>
      <c r="Q1596" s="13"/>
      <c r="R1596" s="10" t="s">
        <v>6983</v>
      </c>
      <c r="S1596" s="13"/>
      <c r="T1596" s="13"/>
      <c r="U1596" s="18" t="str">
        <f>HYPERLINK("https://pbs.twimg.com/profile_images/1218126618243293185/pFKKIeKI.jpg","View")</f>
        <v>View</v>
      </c>
      <c r="V1596" s="13"/>
      <c r="W1596" s="13"/>
      <c r="X1596" s="13"/>
      <c r="Y1596" s="13"/>
      <c r="Z1596" s="13"/>
    </row>
    <row r="1597">
      <c r="A1597" s="8">
        <v>43848.3675</v>
      </c>
      <c r="B1597" s="9" t="str">
        <f>HYPERLINK("https://twitter.com/FundacionLlinas","@FundacionLlinas")</f>
        <v>@FundacionLlinas</v>
      </c>
      <c r="C1597" s="10" t="s">
        <v>6984</v>
      </c>
      <c r="D1597" s="10" t="s">
        <v>238</v>
      </c>
      <c r="E1597" s="9" t="str">
        <f>HYPERLINK("https://twitter.com/FundacionLlinas/status/1218530783696162816","1218530783696162816")</f>
        <v>1218530783696162816</v>
      </c>
      <c r="F1597" s="13"/>
      <c r="G1597" s="13"/>
      <c r="H1597" s="13"/>
      <c r="I1597" s="14">
        <v>0.0</v>
      </c>
      <c r="J1597" s="14">
        <v>0.0</v>
      </c>
      <c r="K1597" s="9" t="str">
        <f>HYPERLINK("http://twitter.com/download/iphone","Twitter for iPhone")</f>
        <v>Twitter for iPhone</v>
      </c>
      <c r="L1597" s="15">
        <v>1470.0</v>
      </c>
      <c r="M1597" s="15">
        <v>158.0</v>
      </c>
      <c r="N1597" s="15">
        <v>8.0</v>
      </c>
      <c r="O1597" s="16"/>
      <c r="P1597" s="17">
        <v>42847.57398148148</v>
      </c>
      <c r="Q1597" s="10" t="s">
        <v>6985</v>
      </c>
      <c r="R1597" s="10" t="s">
        <v>6986</v>
      </c>
      <c r="S1597" s="13"/>
      <c r="T1597" s="13"/>
      <c r="U1597" s="18" t="str">
        <f>HYPERLINK("https://pbs.twimg.com/profile_images/1008343266557939712/kIqXWPjP.jpg","View")</f>
        <v>View</v>
      </c>
      <c r="V1597" s="13"/>
      <c r="W1597" s="13"/>
      <c r="X1597" s="13"/>
      <c r="Y1597" s="13"/>
      <c r="Z1597" s="13"/>
    </row>
    <row r="1598">
      <c r="A1598" s="8">
        <v>43848.367256944446</v>
      </c>
      <c r="B1598" s="9" t="str">
        <f>HYPERLINK("https://twitter.com/KurdyakP","@KurdyakP")</f>
        <v>@KurdyakP</v>
      </c>
      <c r="C1598" s="10" t="s">
        <v>6987</v>
      </c>
      <c r="D1598" s="10" t="s">
        <v>6988</v>
      </c>
      <c r="E1598" s="9" t="str">
        <f>HYPERLINK("https://twitter.com/KurdyakP/status/1218530696240738305","1218530696240738305")</f>
        <v>1218530696240738305</v>
      </c>
      <c r="F1598" s="11" t="s">
        <v>4094</v>
      </c>
      <c r="G1598" s="13"/>
      <c r="H1598" s="13"/>
      <c r="I1598" s="14">
        <v>19.0</v>
      </c>
      <c r="J1598" s="14">
        <v>48.0</v>
      </c>
      <c r="K1598" s="9" t="str">
        <f>HYPERLINK("http://twitter.com","Twitter Web Client")</f>
        <v>Twitter Web Client</v>
      </c>
      <c r="L1598" s="15">
        <v>2007.0</v>
      </c>
      <c r="M1598" s="15">
        <v>799.0</v>
      </c>
      <c r="N1598" s="15">
        <v>32.0</v>
      </c>
      <c r="O1598" s="16"/>
      <c r="P1598" s="17">
        <v>41066.466516203705</v>
      </c>
      <c r="Q1598" s="13"/>
      <c r="R1598" s="10" t="s">
        <v>6989</v>
      </c>
      <c r="S1598" s="13"/>
      <c r="T1598" s="13"/>
      <c r="U1598" s="18" t="str">
        <f>HYPERLINK("https://pbs.twimg.com/profile_images/695999030967603200/9ixAlP8_.jpg","View")</f>
        <v>View</v>
      </c>
      <c r="V1598" s="13"/>
      <c r="W1598" s="13"/>
      <c r="X1598" s="13"/>
      <c r="Y1598" s="13"/>
      <c r="Z1598" s="13"/>
    </row>
    <row r="1599">
      <c r="A1599" s="8">
        <v>43848.367256944446</v>
      </c>
      <c r="B1599" s="9" t="str">
        <f>HYPERLINK("https://twitter.com/chrissyscott17","@chrissyscott17")</f>
        <v>@chrissyscott17</v>
      </c>
      <c r="C1599" s="10" t="s">
        <v>6990</v>
      </c>
      <c r="D1599" s="10" t="s">
        <v>238</v>
      </c>
      <c r="E1599" s="9" t="str">
        <f>HYPERLINK("https://twitter.com/chrissyscott17/status/1218530693346660354","1218530693346660354")</f>
        <v>1218530693346660354</v>
      </c>
      <c r="F1599" s="13"/>
      <c r="G1599" s="13"/>
      <c r="H1599" s="13"/>
      <c r="I1599" s="14">
        <v>0.0</v>
      </c>
      <c r="J1599" s="14">
        <v>1.0</v>
      </c>
      <c r="K1599" s="9" t="str">
        <f>HYPERLINK("http://twitter.com/download/android","Twitter for Android")</f>
        <v>Twitter for Android</v>
      </c>
      <c r="L1599" s="15">
        <v>723.0</v>
      </c>
      <c r="M1599" s="15">
        <v>61.0</v>
      </c>
      <c r="N1599" s="15">
        <v>0.0</v>
      </c>
      <c r="O1599" s="16"/>
      <c r="P1599" s="17">
        <v>42836.60181712963</v>
      </c>
      <c r="Q1599" s="13"/>
      <c r="R1599" s="13"/>
      <c r="S1599" s="13"/>
      <c r="T1599" s="13"/>
      <c r="U1599" s="18" t="str">
        <f>HYPERLINK("https://pbs.twimg.com/profile_images/900766342583922688/GxQ7i8FC.jpg","View")</f>
        <v>View</v>
      </c>
      <c r="V1599" s="13"/>
      <c r="W1599" s="13"/>
      <c r="X1599" s="13"/>
      <c r="Y1599" s="13"/>
      <c r="Z1599" s="13"/>
    </row>
    <row r="1600">
      <c r="A1600" s="8">
        <v>43848.36704861111</v>
      </c>
      <c r="B1600" s="9" t="str">
        <f>HYPERLINK("https://twitter.com/DShorb","@DShorb")</f>
        <v>@DShorb</v>
      </c>
      <c r="C1600" s="10" t="s">
        <v>21</v>
      </c>
      <c r="D1600" s="10" t="s">
        <v>2000</v>
      </c>
      <c r="E1600" s="9" t="str">
        <f>HYPERLINK("https://twitter.com/DShorb/status/1218530621104054273","1218530621104054273")</f>
        <v>1218530621104054273</v>
      </c>
      <c r="F1600" s="11" t="s">
        <v>6991</v>
      </c>
      <c r="G1600" s="13"/>
      <c r="H1600" s="13"/>
      <c r="I1600" s="14">
        <v>0.0</v>
      </c>
      <c r="J1600" s="14">
        <v>0.0</v>
      </c>
      <c r="K1600" s="9" t="str">
        <f>HYPERLINK("https://www.smedian.com","Penname")</f>
        <v>Penname</v>
      </c>
      <c r="L1600" s="15">
        <v>3871.0</v>
      </c>
      <c r="M1600" s="15">
        <v>4543.0</v>
      </c>
      <c r="N1600" s="15">
        <v>185.0</v>
      </c>
      <c r="O1600" s="16"/>
      <c r="P1600" s="17">
        <v>40991.739027777774</v>
      </c>
      <c r="Q1600" s="10" t="s">
        <v>24</v>
      </c>
      <c r="R1600" s="10" t="s">
        <v>25</v>
      </c>
      <c r="S1600" s="11" t="s">
        <v>26</v>
      </c>
      <c r="T1600" s="13"/>
      <c r="U1600" s="18" t="str">
        <f>HYPERLINK("https://pbs.twimg.com/profile_images/1134459629478408192/VnPf0dlm.jpg","View")</f>
        <v>View</v>
      </c>
      <c r="V1600" s="13"/>
      <c r="W1600" s="13"/>
      <c r="X1600" s="13"/>
      <c r="Y1600" s="13"/>
      <c r="Z1600" s="13"/>
    </row>
    <row r="1601">
      <c r="A1601" s="8">
        <v>43848.36696759259</v>
      </c>
      <c r="B1601" s="9" t="str">
        <f>HYPERLINK("https://twitter.com/Joshomonukk","@Joshomonukk")</f>
        <v>@Joshomonukk</v>
      </c>
      <c r="C1601" s="10" t="s">
        <v>6992</v>
      </c>
      <c r="D1601" s="10" t="s">
        <v>238</v>
      </c>
      <c r="E1601" s="9" t="str">
        <f>HYPERLINK("https://twitter.com/Joshomonukk/status/1218530589562806273","1218530589562806273")</f>
        <v>1218530589562806273</v>
      </c>
      <c r="F1601" s="13"/>
      <c r="G1601" s="13"/>
      <c r="H1601" s="13"/>
      <c r="I1601" s="14">
        <v>0.0</v>
      </c>
      <c r="J1601" s="14">
        <v>0.0</v>
      </c>
      <c r="K1601" s="9" t="str">
        <f t="shared" ref="K1601:K1602" si="194">HYPERLINK("http://twitter.com/download/android","Twitter for Android")</f>
        <v>Twitter for Android</v>
      </c>
      <c r="L1601" s="15">
        <v>185.0</v>
      </c>
      <c r="M1601" s="15">
        <v>267.0</v>
      </c>
      <c r="N1601" s="15">
        <v>0.0</v>
      </c>
      <c r="O1601" s="16"/>
      <c r="P1601" s="17">
        <v>43230.47809027778</v>
      </c>
      <c r="Q1601" s="13"/>
      <c r="R1601" s="13"/>
      <c r="S1601" s="13"/>
      <c r="T1601" s="13"/>
      <c r="U1601" s="18" t="str">
        <f>HYPERLINK("https://pbs.twimg.com/profile_images/1193964975947231232/l59WhqgO.jpg","View")</f>
        <v>View</v>
      </c>
      <c r="V1601" s="13"/>
      <c r="W1601" s="13"/>
      <c r="X1601" s="13"/>
      <c r="Y1601" s="13"/>
      <c r="Z1601" s="13"/>
    </row>
    <row r="1602">
      <c r="A1602" s="8">
        <v>43848.36693287037</v>
      </c>
      <c r="B1602" s="9" t="str">
        <f>HYPERLINK("https://twitter.com/Sunflowerssand2","@Sunflowerssand2")</f>
        <v>@Sunflowerssand2</v>
      </c>
      <c r="C1602" s="10" t="s">
        <v>6993</v>
      </c>
      <c r="D1602" s="10" t="s">
        <v>6994</v>
      </c>
      <c r="E1602" s="9" t="str">
        <f>HYPERLINK("https://twitter.com/Sunflowerssand2/status/1218530577760034816","1218530577760034816")</f>
        <v>1218530577760034816</v>
      </c>
      <c r="F1602" s="13"/>
      <c r="G1602" s="11" t="s">
        <v>6995</v>
      </c>
      <c r="H1602" s="13"/>
      <c r="I1602" s="14">
        <v>2.0</v>
      </c>
      <c r="J1602" s="14">
        <v>0.0</v>
      </c>
      <c r="K1602" s="9" t="str">
        <f t="shared" si="194"/>
        <v>Twitter for Android</v>
      </c>
      <c r="L1602" s="15">
        <v>1556.0</v>
      </c>
      <c r="M1602" s="15">
        <v>162.0</v>
      </c>
      <c r="N1602" s="15">
        <v>4.0</v>
      </c>
      <c r="O1602" s="16"/>
      <c r="P1602" s="17">
        <v>43265.864849537036</v>
      </c>
      <c r="Q1602" s="10" t="s">
        <v>6996</v>
      </c>
      <c r="R1602" s="10" t="s">
        <v>6997</v>
      </c>
      <c r="S1602" s="13"/>
      <c r="T1602" s="13"/>
      <c r="U1602" s="18" t="str">
        <f>HYPERLINK("https://pbs.twimg.com/profile_images/1007427508545949696/TD2LF0VY.jpg","View")</f>
        <v>View</v>
      </c>
      <c r="V1602" s="13"/>
      <c r="W1602" s="13"/>
      <c r="X1602" s="13"/>
      <c r="Y1602" s="13"/>
      <c r="Z1602" s="13"/>
    </row>
    <row r="1603">
      <c r="A1603" s="8">
        <v>43848.3669212963</v>
      </c>
      <c r="B1603" s="9" t="str">
        <f>HYPERLINK("https://twitter.com/AdalbertoLlinas","@AdalbertoLlinas")</f>
        <v>@AdalbertoLlinas</v>
      </c>
      <c r="C1603" s="10" t="s">
        <v>6998</v>
      </c>
      <c r="D1603" s="10" t="s">
        <v>238</v>
      </c>
      <c r="E1603" s="9" t="str">
        <f>HYPERLINK("https://twitter.com/AdalbertoLlinas/status/1218530572856971265","1218530572856971265")</f>
        <v>1218530572856971265</v>
      </c>
      <c r="F1603" s="13"/>
      <c r="G1603" s="13"/>
      <c r="H1603" s="13"/>
      <c r="I1603" s="14">
        <v>1.0</v>
      </c>
      <c r="J1603" s="14">
        <v>2.0</v>
      </c>
      <c r="K1603" s="9" t="str">
        <f>HYPERLINK("http://twitter.com/download/iphone","Twitter for iPhone")</f>
        <v>Twitter for iPhone</v>
      </c>
      <c r="L1603" s="15">
        <v>31798.0</v>
      </c>
      <c r="M1603" s="15">
        <v>1890.0</v>
      </c>
      <c r="N1603" s="15">
        <v>39.0</v>
      </c>
      <c r="O1603" s="16"/>
      <c r="P1603" s="17">
        <v>40734.64712962963</v>
      </c>
      <c r="Q1603" s="10" t="s">
        <v>6999</v>
      </c>
      <c r="R1603" s="10" t="s">
        <v>7000</v>
      </c>
      <c r="S1603" s="13"/>
      <c r="T1603" s="13"/>
      <c r="U1603" s="18" t="str">
        <f>HYPERLINK("https://pbs.twimg.com/profile_images/1212528196819619840/9YdqpS2f.jpg","View")</f>
        <v>View</v>
      </c>
      <c r="V1603" s="13"/>
      <c r="W1603" s="13"/>
      <c r="X1603" s="13"/>
      <c r="Y1603" s="13"/>
      <c r="Z1603" s="13"/>
    </row>
    <row r="1604">
      <c r="A1604" s="8">
        <v>43848.365694444445</v>
      </c>
      <c r="B1604" s="9" t="str">
        <f>HYPERLINK("https://twitter.com/Abubakarginsau","@Abubakarginsau")</f>
        <v>@Abubakarginsau</v>
      </c>
      <c r="C1604" s="10" t="s">
        <v>7001</v>
      </c>
      <c r="D1604" s="10" t="s">
        <v>238</v>
      </c>
      <c r="E1604" s="9" t="str">
        <f>HYPERLINK("https://twitter.com/Abubakarginsau/status/1218530126763261952","1218530126763261952")</f>
        <v>1218530126763261952</v>
      </c>
      <c r="F1604" s="13"/>
      <c r="G1604" s="13"/>
      <c r="H1604" s="13"/>
      <c r="I1604" s="14">
        <v>0.0</v>
      </c>
      <c r="J1604" s="14">
        <v>0.0</v>
      </c>
      <c r="K1604" s="9" t="str">
        <f t="shared" ref="K1604:K1605" si="195">HYPERLINK("http://twitter.com/download/android","Twitter for Android")</f>
        <v>Twitter for Android</v>
      </c>
      <c r="L1604" s="15">
        <v>993.0</v>
      </c>
      <c r="M1604" s="15">
        <v>848.0</v>
      </c>
      <c r="N1604" s="15">
        <v>1.0</v>
      </c>
      <c r="O1604" s="16"/>
      <c r="P1604" s="17">
        <v>40859.07371527778</v>
      </c>
      <c r="Q1604" s="10" t="s">
        <v>7002</v>
      </c>
      <c r="R1604" s="10" t="s">
        <v>7003</v>
      </c>
      <c r="S1604" s="13"/>
      <c r="T1604" s="13"/>
      <c r="U1604" s="18" t="str">
        <f>HYPERLINK("https://pbs.twimg.com/profile_images/1207168867858079744/8Q4Oc2z4.jpg","View")</f>
        <v>View</v>
      </c>
      <c r="V1604" s="13"/>
      <c r="W1604" s="13"/>
      <c r="X1604" s="13"/>
      <c r="Y1604" s="13"/>
      <c r="Z1604" s="13"/>
    </row>
    <row r="1605">
      <c r="A1605" s="8">
        <v>43848.36454861111</v>
      </c>
      <c r="B1605" s="9" t="str">
        <f>HYPERLINK("https://twitter.com/BabyBear6889","@BabyBear6889")</f>
        <v>@BabyBear6889</v>
      </c>
      <c r="C1605" s="10" t="s">
        <v>3013</v>
      </c>
      <c r="D1605" s="10" t="s">
        <v>7004</v>
      </c>
      <c r="E1605" s="9" t="str">
        <f>HYPERLINK("https://twitter.com/BabyBear6889/status/1218529714001805312","1218529714001805312")</f>
        <v>1218529714001805312</v>
      </c>
      <c r="F1605" s="13"/>
      <c r="G1605" s="11" t="s">
        <v>7005</v>
      </c>
      <c r="H1605" s="13"/>
      <c r="I1605" s="14">
        <v>0.0</v>
      </c>
      <c r="J1605" s="14">
        <v>0.0</v>
      </c>
      <c r="K1605" s="9" t="str">
        <f t="shared" si="195"/>
        <v>Twitter for Android</v>
      </c>
      <c r="L1605" s="15">
        <v>227.0</v>
      </c>
      <c r="M1605" s="15">
        <v>547.0</v>
      </c>
      <c r="N1605" s="15">
        <v>0.0</v>
      </c>
      <c r="O1605" s="16"/>
      <c r="P1605" s="17">
        <v>43670.20446759259</v>
      </c>
      <c r="Q1605" s="10" t="s">
        <v>3016</v>
      </c>
      <c r="R1605" s="10" t="s">
        <v>3017</v>
      </c>
      <c r="S1605" s="11" t="s">
        <v>3018</v>
      </c>
      <c r="T1605" s="13"/>
      <c r="U1605" s="18" t="str">
        <f>HYPERLINK("https://pbs.twimg.com/profile_images/1217017246813323264/YC5TGG8b.jpg","View")</f>
        <v>View</v>
      </c>
      <c r="V1605" s="13"/>
      <c r="W1605" s="13"/>
      <c r="X1605" s="13"/>
      <c r="Y1605" s="13"/>
      <c r="Z1605" s="13"/>
    </row>
    <row r="1606">
      <c r="A1606" s="8">
        <v>43848.36452546297</v>
      </c>
      <c r="B1606" s="9" t="str">
        <f>HYPERLINK("https://twitter.com/DrGetaheadspace","@DrGetaheadspace")</f>
        <v>@DrGetaheadspace</v>
      </c>
      <c r="C1606" s="10" t="s">
        <v>7006</v>
      </c>
      <c r="D1606" s="10" t="s">
        <v>7007</v>
      </c>
      <c r="E1606" s="9" t="str">
        <f>HYPERLINK("https://twitter.com/DrGetaheadspace/status/1218529705919467522","1218529705919467522")</f>
        <v>1218529705919467522</v>
      </c>
      <c r="F1606" s="13"/>
      <c r="G1606" s="11" t="s">
        <v>7008</v>
      </c>
      <c r="H1606" s="13"/>
      <c r="I1606" s="14">
        <v>0.0</v>
      </c>
      <c r="J1606" s="14">
        <v>0.0</v>
      </c>
      <c r="K1606" s="9" t="str">
        <f t="shared" ref="K1606:K1607" si="196">HYPERLINK("http://twitter.com/download/iphone","Twitter for iPhone")</f>
        <v>Twitter for iPhone</v>
      </c>
      <c r="L1606" s="15">
        <v>321.0</v>
      </c>
      <c r="M1606" s="15">
        <v>502.0</v>
      </c>
      <c r="N1606" s="15">
        <v>4.0</v>
      </c>
      <c r="O1606" s="16"/>
      <c r="P1606" s="17">
        <v>42940.78947916666</v>
      </c>
      <c r="Q1606" s="10" t="s">
        <v>95</v>
      </c>
      <c r="R1606" s="10" t="s">
        <v>7009</v>
      </c>
      <c r="S1606" s="11" t="s">
        <v>7010</v>
      </c>
      <c r="T1606" s="13"/>
      <c r="U1606" s="18" t="str">
        <f>HYPERLINK("https://pbs.twimg.com/profile_images/1038107128941166593/M4wsOgsh.jpg","View")</f>
        <v>View</v>
      </c>
      <c r="V1606" s="13"/>
      <c r="W1606" s="13"/>
      <c r="X1606" s="13"/>
      <c r="Y1606" s="13"/>
      <c r="Z1606" s="13"/>
    </row>
    <row r="1607">
      <c r="A1607" s="8">
        <v>43848.36445601852</v>
      </c>
      <c r="B1607" s="9" t="str">
        <f>HYPERLINK("https://twitter.com/womensbrainpro","@womensbrainpro")</f>
        <v>@womensbrainpro</v>
      </c>
      <c r="C1607" s="10" t="s">
        <v>7011</v>
      </c>
      <c r="D1607" s="10" t="s">
        <v>7012</v>
      </c>
      <c r="E1607" s="9" t="str">
        <f>HYPERLINK("https://twitter.com/womensbrainpro/status/1218529681529626625","1218529681529626625")</f>
        <v>1218529681529626625</v>
      </c>
      <c r="F1607" s="13"/>
      <c r="G1607" s="11" t="s">
        <v>7013</v>
      </c>
      <c r="H1607" s="13"/>
      <c r="I1607" s="14">
        <v>3.0</v>
      </c>
      <c r="J1607" s="14">
        <v>7.0</v>
      </c>
      <c r="K1607" s="9" t="str">
        <f t="shared" si="196"/>
        <v>Twitter for iPhone</v>
      </c>
      <c r="L1607" s="15">
        <v>4136.0</v>
      </c>
      <c r="M1607" s="15">
        <v>5000.0</v>
      </c>
      <c r="N1607" s="15">
        <v>64.0</v>
      </c>
      <c r="O1607" s="16"/>
      <c r="P1607" s="17">
        <v>42779.67152777778</v>
      </c>
      <c r="Q1607" s="10" t="s">
        <v>7014</v>
      </c>
      <c r="R1607" s="10" t="s">
        <v>7015</v>
      </c>
      <c r="S1607" s="11" t="s">
        <v>7016</v>
      </c>
      <c r="T1607" s="13"/>
      <c r="U1607" s="18" t="str">
        <f>HYPERLINK("https://pbs.twimg.com/profile_images/831249224557875200/6sL7dKBO.jpg","View")</f>
        <v>View</v>
      </c>
      <c r="V1607" s="13"/>
      <c r="W1607" s="13"/>
      <c r="X1607" s="13"/>
      <c r="Y1607" s="13"/>
      <c r="Z1607" s="13"/>
    </row>
    <row r="1608">
      <c r="A1608" s="8">
        <v>43848.36444444444</v>
      </c>
      <c r="B1608" s="9" t="str">
        <f>HYPERLINK("https://twitter.com/SirPengin","@SirPengin")</f>
        <v>@SirPengin</v>
      </c>
      <c r="C1608" s="10" t="s">
        <v>7017</v>
      </c>
      <c r="D1608" s="10" t="s">
        <v>7018</v>
      </c>
      <c r="E1608" s="9" t="str">
        <f>HYPERLINK("https://twitter.com/SirPengin/status/1218529675934425089","1218529675934425089")</f>
        <v>1218529675934425089</v>
      </c>
      <c r="F1608" s="10" t="s">
        <v>7019</v>
      </c>
      <c r="G1608" s="11" t="s">
        <v>7020</v>
      </c>
      <c r="H1608" s="13"/>
      <c r="I1608" s="14">
        <v>0.0</v>
      </c>
      <c r="J1608" s="14">
        <v>3.0</v>
      </c>
      <c r="K1608" s="9" t="str">
        <f>HYPERLINK("https://mobile.twitter.com","Twitter Web App")</f>
        <v>Twitter Web App</v>
      </c>
      <c r="L1608" s="15">
        <v>204.0</v>
      </c>
      <c r="M1608" s="15">
        <v>317.0</v>
      </c>
      <c r="N1608" s="15">
        <v>7.0</v>
      </c>
      <c r="O1608" s="16"/>
      <c r="P1608" s="17">
        <v>41178.730150462965</v>
      </c>
      <c r="Q1608" s="13"/>
      <c r="R1608" s="10" t="s">
        <v>7021</v>
      </c>
      <c r="S1608" s="11" t="s">
        <v>7022</v>
      </c>
      <c r="T1608" s="13"/>
      <c r="U1608" s="18" t="str">
        <f>HYPERLINK("https://pbs.twimg.com/profile_images/1047570323967758338/u247hxsO.jpg","View")</f>
        <v>View</v>
      </c>
      <c r="V1608" s="13"/>
      <c r="W1608" s="13"/>
      <c r="X1608" s="13"/>
      <c r="Y1608" s="13"/>
      <c r="Z1608" s="13"/>
    </row>
    <row r="1609">
      <c r="A1609" s="8">
        <v>43848.36405092593</v>
      </c>
      <c r="B1609" s="9" t="str">
        <f>HYPERLINK("https://twitter.com/neesasunar","@neesasunar")</f>
        <v>@neesasunar</v>
      </c>
      <c r="C1609" s="10" t="s">
        <v>7023</v>
      </c>
      <c r="D1609" s="10" t="s">
        <v>7024</v>
      </c>
      <c r="E1609" s="9" t="str">
        <f>HYPERLINK("https://twitter.com/neesasunar/status/1218529531415465984","1218529531415465984")</f>
        <v>1218529531415465984</v>
      </c>
      <c r="F1609" s="11" t="s">
        <v>7025</v>
      </c>
      <c r="G1609" s="13"/>
      <c r="H1609" s="13"/>
      <c r="I1609" s="14">
        <v>0.0</v>
      </c>
      <c r="J1609" s="14">
        <v>0.0</v>
      </c>
      <c r="K1609" s="9" t="str">
        <f>HYPERLINK("http://twitter.com/download/iphone","Twitter for iPhone")</f>
        <v>Twitter for iPhone</v>
      </c>
      <c r="L1609" s="15">
        <v>3137.0</v>
      </c>
      <c r="M1609" s="15">
        <v>1962.0</v>
      </c>
      <c r="N1609" s="15">
        <v>104.0</v>
      </c>
      <c r="O1609" s="16"/>
      <c r="P1609" s="17">
        <v>39983.87185185185</v>
      </c>
      <c r="Q1609" s="10" t="s">
        <v>266</v>
      </c>
      <c r="R1609" s="10" t="s">
        <v>7026</v>
      </c>
      <c r="S1609" s="11" t="s">
        <v>7027</v>
      </c>
      <c r="T1609" s="13"/>
      <c r="U1609" s="18" t="str">
        <f>HYPERLINK("https://pbs.twimg.com/profile_images/945663022046912512/KP4hfBSW.jpg","View")</f>
        <v>View</v>
      </c>
      <c r="V1609" s="13"/>
      <c r="W1609" s="13"/>
      <c r="X1609" s="13"/>
      <c r="Y1609" s="13"/>
      <c r="Z1609" s="13"/>
    </row>
    <row r="1610">
      <c r="A1610" s="8">
        <v>43848.36394675926</v>
      </c>
      <c r="B1610" s="9" t="str">
        <f>HYPERLINK("https://twitter.com/HNEscapesCIC","@HNEscapesCIC")</f>
        <v>@HNEscapesCIC</v>
      </c>
      <c r="C1610" s="10" t="s">
        <v>7028</v>
      </c>
      <c r="D1610" s="10" t="s">
        <v>7029</v>
      </c>
      <c r="E1610" s="9" t="str">
        <f>HYPERLINK("https://twitter.com/HNEscapesCIC/status/1218529495046553600","1218529495046553600")</f>
        <v>1218529495046553600</v>
      </c>
      <c r="F1610" s="10" t="s">
        <v>7030</v>
      </c>
      <c r="G1610" s="11" t="s">
        <v>7031</v>
      </c>
      <c r="H1610" s="13"/>
      <c r="I1610" s="14">
        <v>0.0</v>
      </c>
      <c r="J1610" s="14">
        <v>0.0</v>
      </c>
      <c r="K1610" s="9" t="str">
        <f>HYPERLINK("http://twitter.com/#!/download/ipad","Twitter for iPad")</f>
        <v>Twitter for iPad</v>
      </c>
      <c r="L1610" s="15">
        <v>2078.0</v>
      </c>
      <c r="M1610" s="15">
        <v>2034.0</v>
      </c>
      <c r="N1610" s="15">
        <v>82.0</v>
      </c>
      <c r="O1610" s="16"/>
      <c r="P1610" s="17">
        <v>42410.65563657407</v>
      </c>
      <c r="Q1610" s="10" t="s">
        <v>7032</v>
      </c>
      <c r="R1610" s="10" t="s">
        <v>7033</v>
      </c>
      <c r="S1610" s="11" t="s">
        <v>7034</v>
      </c>
      <c r="T1610" s="13"/>
      <c r="U1610" s="18" t="str">
        <f>HYPERLINK("https://pbs.twimg.com/profile_images/989948363087937538/dyjMlzOk.jpg","View")</f>
        <v>View</v>
      </c>
      <c r="V1610" s="13"/>
      <c r="W1610" s="13"/>
      <c r="X1610" s="13"/>
      <c r="Y1610" s="13"/>
      <c r="Z1610" s="13"/>
    </row>
    <row r="1611">
      <c r="A1611" s="8">
        <v>43848.36349537037</v>
      </c>
      <c r="B1611" s="9" t="str">
        <f>HYPERLINK("https://twitter.com/be_iwko","@be_iwko")</f>
        <v>@be_iwko</v>
      </c>
      <c r="C1611" s="10" t="s">
        <v>7035</v>
      </c>
      <c r="D1611" s="10" t="s">
        <v>238</v>
      </c>
      <c r="E1611" s="9" t="str">
        <f>HYPERLINK("https://twitter.com/be_iwko/status/1218529332995481601","1218529332995481601")</f>
        <v>1218529332995481601</v>
      </c>
      <c r="F1611" s="13"/>
      <c r="G1611" s="13"/>
      <c r="H1611" s="13"/>
      <c r="I1611" s="14">
        <v>0.0</v>
      </c>
      <c r="J1611" s="14">
        <v>0.0</v>
      </c>
      <c r="K1611" s="9" t="str">
        <f>HYPERLINK("http://twitter.com/download/android","Twitter for Android")</f>
        <v>Twitter for Android</v>
      </c>
      <c r="L1611" s="15">
        <v>1010.0</v>
      </c>
      <c r="M1611" s="15">
        <v>1109.0</v>
      </c>
      <c r="N1611" s="15">
        <v>2.0</v>
      </c>
      <c r="O1611" s="16"/>
      <c r="P1611" s="17">
        <v>41341.56920138889</v>
      </c>
      <c r="Q1611" s="10" t="s">
        <v>7036</v>
      </c>
      <c r="R1611" s="10" t="s">
        <v>7037</v>
      </c>
      <c r="S1611" s="13"/>
      <c r="T1611" s="13"/>
      <c r="U1611" s="18" t="str">
        <f>HYPERLINK("https://pbs.twimg.com/profile_images/1094893689804124160/d0jvBJvC.jpg","View")</f>
        <v>View</v>
      </c>
      <c r="V1611" s="13"/>
      <c r="W1611" s="13"/>
      <c r="X1611" s="13"/>
      <c r="Y1611" s="13"/>
      <c r="Z1611" s="13"/>
    </row>
    <row r="1612">
      <c r="A1612" s="8">
        <v>43848.36273148148</v>
      </c>
      <c r="B1612" s="9" t="str">
        <f>HYPERLINK("https://twitter.com/HeadHeart_Chi","@HeadHeart_Chi")</f>
        <v>@HeadHeart_Chi</v>
      </c>
      <c r="C1612" s="10" t="s">
        <v>4943</v>
      </c>
      <c r="D1612" s="10" t="s">
        <v>7038</v>
      </c>
      <c r="E1612" s="9" t="str">
        <f>HYPERLINK("https://twitter.com/HeadHeart_Chi/status/1218529053961003008","1218529053961003008")</f>
        <v>1218529053961003008</v>
      </c>
      <c r="F1612" s="13"/>
      <c r="G1612" s="11" t="s">
        <v>7039</v>
      </c>
      <c r="H1612" s="13"/>
      <c r="I1612" s="14">
        <v>0.0</v>
      </c>
      <c r="J1612" s="14">
        <v>0.0</v>
      </c>
      <c r="K1612" s="9" t="str">
        <f>HYPERLINK("https://ifttt.com","IFTTT")</f>
        <v>IFTTT</v>
      </c>
      <c r="L1612" s="15">
        <v>272.0</v>
      </c>
      <c r="M1612" s="15">
        <v>592.0</v>
      </c>
      <c r="N1612" s="15">
        <v>4.0</v>
      </c>
      <c r="O1612" s="16"/>
      <c r="P1612" s="17">
        <v>41596.78396990741</v>
      </c>
      <c r="Q1612" s="10" t="s">
        <v>4946</v>
      </c>
      <c r="R1612" s="10" t="s">
        <v>4947</v>
      </c>
      <c r="S1612" s="11" t="s">
        <v>4948</v>
      </c>
      <c r="T1612" s="13"/>
      <c r="U1612" s="18" t="str">
        <f>HYPERLINK("https://pbs.twimg.com/profile_images/378800000759227578/9c7374cf1c74ff85cf1bb7a69be50916.jpeg","View")</f>
        <v>View</v>
      </c>
      <c r="V1612" s="13"/>
      <c r="W1612" s="13"/>
      <c r="X1612" s="13"/>
      <c r="Y1612" s="13"/>
      <c r="Z1612" s="13"/>
    </row>
    <row r="1613">
      <c r="A1613" s="8">
        <v>43848.36135416667</v>
      </c>
      <c r="B1613" s="9" t="str">
        <f>HYPERLINK("https://twitter.com/CompassionCuppa","@CompassionCuppa")</f>
        <v>@CompassionCuppa</v>
      </c>
      <c r="C1613" s="10" t="s">
        <v>6160</v>
      </c>
      <c r="D1613" s="10" t="s">
        <v>7040</v>
      </c>
      <c r="E1613" s="9" t="str">
        <f>HYPERLINK("https://twitter.com/CompassionCuppa/status/1218528554968928257","1218528554968928257")</f>
        <v>1218528554968928257</v>
      </c>
      <c r="F1613" s="13"/>
      <c r="G1613" s="11" t="s">
        <v>7041</v>
      </c>
      <c r="H1613" s="13"/>
      <c r="I1613" s="14">
        <v>2.0</v>
      </c>
      <c r="J1613" s="14">
        <v>8.0</v>
      </c>
      <c r="K1613" s="9" t="str">
        <f>HYPERLINK("http://twitter.com/download/android","Twitter for Android")</f>
        <v>Twitter for Android</v>
      </c>
      <c r="L1613" s="15">
        <v>159.0</v>
      </c>
      <c r="M1613" s="15">
        <v>147.0</v>
      </c>
      <c r="N1613" s="15">
        <v>1.0</v>
      </c>
      <c r="O1613" s="16"/>
      <c r="P1613" s="17">
        <v>43675.72059027778</v>
      </c>
      <c r="Q1613" s="10" t="s">
        <v>6163</v>
      </c>
      <c r="R1613" s="10" t="s">
        <v>6164</v>
      </c>
      <c r="S1613" s="11" t="s">
        <v>6165</v>
      </c>
      <c r="T1613" s="13"/>
      <c r="U1613" s="18" t="str">
        <f>HYPERLINK("https://pbs.twimg.com/profile_images/1175421839977451520/GmtrTyeN.jpg","View")</f>
        <v>View</v>
      </c>
      <c r="V1613" s="13"/>
      <c r="W1613" s="13"/>
      <c r="X1613" s="13"/>
      <c r="Y1613" s="13"/>
      <c r="Z1613" s="13"/>
    </row>
    <row r="1614">
      <c r="A1614" s="8">
        <v>43848.361180555556</v>
      </c>
      <c r="B1614" s="9" t="str">
        <f>HYPERLINK("https://twitter.com/Heads_Count","@Heads_Count")</f>
        <v>@Heads_Count</v>
      </c>
      <c r="C1614" s="10" t="s">
        <v>7042</v>
      </c>
      <c r="D1614" s="10" t="s">
        <v>7043</v>
      </c>
      <c r="E1614" s="9" t="str">
        <f>HYPERLINK("https://twitter.com/Heads_Count/status/1218528494604505089","1218528494604505089")</f>
        <v>1218528494604505089</v>
      </c>
      <c r="F1614" s="11" t="s">
        <v>7044</v>
      </c>
      <c r="G1614" s="11" t="s">
        <v>7045</v>
      </c>
      <c r="H1614" s="13"/>
      <c r="I1614" s="14">
        <v>1.0</v>
      </c>
      <c r="J1614" s="14">
        <v>0.0</v>
      </c>
      <c r="K1614" s="9" t="str">
        <f>HYPERLINK("https://www.hootsuite.com","Hootsuite Inc.")</f>
        <v>Hootsuite Inc.</v>
      </c>
      <c r="L1614" s="15">
        <v>729.0</v>
      </c>
      <c r="M1614" s="15">
        <v>940.0</v>
      </c>
      <c r="N1614" s="15">
        <v>19.0</v>
      </c>
      <c r="O1614" s="16"/>
      <c r="P1614" s="17">
        <v>40700.260092592594</v>
      </c>
      <c r="Q1614" s="10" t="s">
        <v>7046</v>
      </c>
      <c r="R1614" s="10" t="s">
        <v>7047</v>
      </c>
      <c r="S1614" s="11" t="s">
        <v>7048</v>
      </c>
      <c r="T1614" s="13"/>
      <c r="U1614" s="18" t="str">
        <f>HYPERLINK("https://pbs.twimg.com/profile_images/1190305954530811904/o0z39vG2.jpg","View")</f>
        <v>View</v>
      </c>
      <c r="V1614" s="13"/>
      <c r="W1614" s="13"/>
      <c r="X1614" s="13"/>
      <c r="Y1614" s="13"/>
      <c r="Z1614" s="13"/>
    </row>
    <row r="1615">
      <c r="A1615" s="8">
        <v>43848.3609837963</v>
      </c>
      <c r="B1615" s="9" t="str">
        <f>HYPERLINK("https://twitter.com/SpeedrunPodcast","@SpeedrunPodcast")</f>
        <v>@SpeedrunPodcast</v>
      </c>
      <c r="C1615" s="10" t="s">
        <v>7049</v>
      </c>
      <c r="D1615" s="10" t="s">
        <v>7050</v>
      </c>
      <c r="E1615" s="9" t="str">
        <f>HYPERLINK("https://twitter.com/SpeedrunPodcast/status/1218528420461793280","1218528420461793280")</f>
        <v>1218528420461793280</v>
      </c>
      <c r="F1615" s="10" t="s">
        <v>7051</v>
      </c>
      <c r="G1615" s="11" t="s">
        <v>7020</v>
      </c>
      <c r="H1615" s="13"/>
      <c r="I1615" s="14">
        <v>1.0</v>
      </c>
      <c r="J1615" s="14">
        <v>2.0</v>
      </c>
      <c r="K1615" s="9" t="str">
        <f t="shared" ref="K1615:K1616" si="197">HYPERLINK("https://mobile.twitter.com","Twitter Web App")</f>
        <v>Twitter Web App</v>
      </c>
      <c r="L1615" s="15">
        <v>83.0</v>
      </c>
      <c r="M1615" s="15">
        <v>399.0</v>
      </c>
      <c r="N1615" s="15">
        <v>0.0</v>
      </c>
      <c r="O1615" s="16"/>
      <c r="P1615" s="17">
        <v>43844.45125</v>
      </c>
      <c r="Q1615" s="13"/>
      <c r="R1615" s="10" t="s">
        <v>7052</v>
      </c>
      <c r="S1615" s="11" t="s">
        <v>7053</v>
      </c>
      <c r="T1615" s="13"/>
      <c r="U1615" s="18" t="str">
        <f>HYPERLINK("https://pbs.twimg.com/profile_images/1217111604359311361/qr4-sgN2.jpg","View")</f>
        <v>View</v>
      </c>
      <c r="V1615" s="13"/>
      <c r="W1615" s="13"/>
      <c r="X1615" s="13"/>
      <c r="Y1615" s="13"/>
      <c r="Z1615" s="13"/>
    </row>
    <row r="1616">
      <c r="A1616" s="8">
        <v>43848.360821759255</v>
      </c>
      <c r="B1616" s="9" t="str">
        <f>HYPERLINK("https://twitter.com/rapperllove","@rapperllove")</f>
        <v>@rapperllove</v>
      </c>
      <c r="C1616" s="10" t="s">
        <v>7054</v>
      </c>
      <c r="D1616" s="10" t="s">
        <v>7055</v>
      </c>
      <c r="E1616" s="9" t="str">
        <f>HYPERLINK("https://twitter.com/rapperllove/status/1218528361028317185","1218528361028317185")</f>
        <v>1218528361028317185</v>
      </c>
      <c r="F1616" s="11" t="s">
        <v>7056</v>
      </c>
      <c r="G1616" s="13"/>
      <c r="H1616" s="13"/>
      <c r="I1616" s="14">
        <v>4.0</v>
      </c>
      <c r="J1616" s="14">
        <v>0.0</v>
      </c>
      <c r="K1616" s="9" t="str">
        <f t="shared" si="197"/>
        <v>Twitter Web App</v>
      </c>
      <c r="L1616" s="15">
        <v>2884.0</v>
      </c>
      <c r="M1616" s="15">
        <v>3886.0</v>
      </c>
      <c r="N1616" s="15">
        <v>454.0</v>
      </c>
      <c r="O1616" s="16"/>
      <c r="P1616" s="17">
        <v>39898.42255787037</v>
      </c>
      <c r="Q1616" s="10" t="s">
        <v>7057</v>
      </c>
      <c r="R1616" s="10" t="s">
        <v>7058</v>
      </c>
      <c r="S1616" s="11" t="s">
        <v>7059</v>
      </c>
      <c r="T1616" s="13"/>
      <c r="U1616" s="18" t="str">
        <f>HYPERLINK("https://pbs.twimg.com/profile_images/110723673/rhythm_essence_cover_SMALL_jpg.JPG","View")</f>
        <v>View</v>
      </c>
      <c r="V1616" s="13"/>
      <c r="W1616" s="13"/>
      <c r="X1616" s="13"/>
      <c r="Y1616" s="13"/>
      <c r="Z1616" s="13"/>
    </row>
    <row r="1617">
      <c r="A1617" s="8">
        <v>43848.36078703703</v>
      </c>
      <c r="B1617" s="9" t="str">
        <f>HYPERLINK("https://twitter.com/khadyshuahib","@khadyshuahib")</f>
        <v>@khadyshuahib</v>
      </c>
      <c r="C1617" s="10" t="s">
        <v>7060</v>
      </c>
      <c r="D1617" s="10" t="s">
        <v>7061</v>
      </c>
      <c r="E1617" s="9" t="str">
        <f>HYPERLINK("https://twitter.com/khadyshuahib/status/1218528351863869441","1218528351863869441")</f>
        <v>1218528351863869441</v>
      </c>
      <c r="F1617" s="13"/>
      <c r="G1617" s="13"/>
      <c r="H1617" s="13"/>
      <c r="I1617" s="14">
        <v>0.0</v>
      </c>
      <c r="J1617" s="14">
        <v>2.0</v>
      </c>
      <c r="K1617" s="9" t="str">
        <f>HYPERLINK("http://twitter.com/download/android","Twitter for Android")</f>
        <v>Twitter for Android</v>
      </c>
      <c r="L1617" s="15">
        <v>243.0</v>
      </c>
      <c r="M1617" s="15">
        <v>249.0</v>
      </c>
      <c r="N1617" s="15">
        <v>0.0</v>
      </c>
      <c r="O1617" s="16"/>
      <c r="P1617" s="17">
        <v>40743.27008101852</v>
      </c>
      <c r="Q1617" s="10" t="s">
        <v>7062</v>
      </c>
      <c r="R1617" s="10" t="s">
        <v>7063</v>
      </c>
      <c r="S1617" s="13"/>
      <c r="T1617" s="13"/>
      <c r="U1617" s="18" t="str">
        <f>HYPERLINK("https://pbs.twimg.com/profile_images/1108765146447527937/WpgzYLvS.jpg","View")</f>
        <v>View</v>
      </c>
      <c r="V1617" s="13"/>
      <c r="W1617" s="13"/>
      <c r="X1617" s="13"/>
      <c r="Y1617" s="13"/>
      <c r="Z1617" s="13"/>
    </row>
    <row r="1618">
      <c r="A1618" s="8">
        <v>43848.36001157407</v>
      </c>
      <c r="B1618" s="9" t="str">
        <f>HYPERLINK("https://twitter.com/GillBurdon","@GillBurdon")</f>
        <v>@GillBurdon</v>
      </c>
      <c r="C1618" s="10" t="s">
        <v>7064</v>
      </c>
      <c r="D1618" s="10" t="s">
        <v>7065</v>
      </c>
      <c r="E1618" s="9" t="str">
        <f>HYPERLINK("https://twitter.com/GillBurdon/status/1218528067884322817","1218528067884322817")</f>
        <v>1218528067884322817</v>
      </c>
      <c r="F1618" s="11" t="s">
        <v>7066</v>
      </c>
      <c r="G1618" s="11" t="s">
        <v>7067</v>
      </c>
      <c r="H1618" s="13"/>
      <c r="I1618" s="14">
        <v>0.0</v>
      </c>
      <c r="J1618" s="14">
        <v>0.0</v>
      </c>
      <c r="K1618" s="9" t="str">
        <f>HYPERLINK("http://twitter.com/download/iphone","Twitter for iPhone")</f>
        <v>Twitter for iPhone</v>
      </c>
      <c r="L1618" s="15">
        <v>461.0</v>
      </c>
      <c r="M1618" s="15">
        <v>706.0</v>
      </c>
      <c r="N1618" s="15">
        <v>0.0</v>
      </c>
      <c r="O1618" s="16"/>
      <c r="P1618" s="17">
        <v>40483.58167824074</v>
      </c>
      <c r="Q1618" s="10" t="s">
        <v>7068</v>
      </c>
      <c r="R1618" s="10" t="s">
        <v>7069</v>
      </c>
      <c r="S1618" s="13"/>
      <c r="T1618" s="13"/>
      <c r="U1618" s="18" t="str">
        <f>HYPERLINK("https://pbs.twimg.com/profile_images/1195078273887350789/Hc6--mLO.jpg","View")</f>
        <v>View</v>
      </c>
      <c r="V1618" s="13"/>
      <c r="W1618" s="13"/>
      <c r="X1618" s="13"/>
      <c r="Y1618" s="13"/>
      <c r="Z1618" s="13"/>
    </row>
    <row r="1619">
      <c r="A1619" s="8">
        <v>43848.35997685185</v>
      </c>
      <c r="B1619" s="9" t="str">
        <f>HYPERLINK("https://twitter.com/drpatfarrell","@drpatfarrell")</f>
        <v>@drpatfarrell</v>
      </c>
      <c r="C1619" s="10" t="s">
        <v>5874</v>
      </c>
      <c r="D1619" s="10" t="s">
        <v>7070</v>
      </c>
      <c r="E1619" s="9" t="str">
        <f>HYPERLINK("https://twitter.com/drpatfarrell/status/1218528056068988928","1218528056068988928")</f>
        <v>1218528056068988928</v>
      </c>
      <c r="F1619" s="11" t="s">
        <v>7071</v>
      </c>
      <c r="G1619" s="13"/>
      <c r="H1619" s="13"/>
      <c r="I1619" s="14">
        <v>0.0</v>
      </c>
      <c r="J1619" s="14">
        <v>1.0</v>
      </c>
      <c r="K1619" s="9" t="str">
        <f>HYPERLINK("http://twitter.com","Twitter Web Client")</f>
        <v>Twitter Web Client</v>
      </c>
      <c r="L1619" s="15">
        <v>10002.0</v>
      </c>
      <c r="M1619" s="15">
        <v>11070.0</v>
      </c>
      <c r="N1619" s="15">
        <v>502.0</v>
      </c>
      <c r="O1619" s="16"/>
      <c r="P1619" s="17">
        <v>39959.523981481485</v>
      </c>
      <c r="Q1619" s="10" t="s">
        <v>24</v>
      </c>
      <c r="R1619" s="10" t="s">
        <v>5876</v>
      </c>
      <c r="S1619" s="13"/>
      <c r="T1619" s="13"/>
      <c r="U1619" s="18" t="str">
        <f>HYPERLINK("https://pbs.twimg.com/profile_images/1193120866508460037/t81e5U_H.jpg","View")</f>
        <v>View</v>
      </c>
      <c r="V1619" s="13"/>
      <c r="W1619" s="13"/>
      <c r="X1619" s="13"/>
      <c r="Y1619" s="13"/>
      <c r="Z1619" s="13"/>
    </row>
    <row r="1620">
      <c r="A1620" s="8">
        <v>43848.359826388885</v>
      </c>
      <c r="B1620" s="9" t="str">
        <f>HYPERLINK("https://twitter.com/Uncondi97658867","@Uncondi97658867")</f>
        <v>@Uncondi97658867</v>
      </c>
      <c r="C1620" s="10" t="s">
        <v>7072</v>
      </c>
      <c r="D1620" s="10" t="s">
        <v>7073</v>
      </c>
      <c r="E1620" s="9" t="str">
        <f>HYPERLINK("https://twitter.com/Uncondi97658867/status/1218528000192303104","1218528000192303104")</f>
        <v>1218528000192303104</v>
      </c>
      <c r="F1620" s="13"/>
      <c r="G1620" s="11" t="s">
        <v>7074</v>
      </c>
      <c r="H1620" s="13"/>
      <c r="I1620" s="14">
        <v>0.0</v>
      </c>
      <c r="J1620" s="14">
        <v>0.0</v>
      </c>
      <c r="K1620" s="9" t="str">
        <f>HYPERLINK("http://twitter.com/download/android","Twitter for Android")</f>
        <v>Twitter for Android</v>
      </c>
      <c r="L1620" s="15">
        <v>0.0</v>
      </c>
      <c r="M1620" s="15">
        <v>0.0</v>
      </c>
      <c r="N1620" s="15">
        <v>0.0</v>
      </c>
      <c r="O1620" s="16"/>
      <c r="P1620" s="17">
        <v>43848.29131944444</v>
      </c>
      <c r="Q1620" s="13"/>
      <c r="R1620" s="10" t="s">
        <v>7075</v>
      </c>
      <c r="S1620" s="13"/>
      <c r="T1620" s="13"/>
      <c r="U1620" s="18" t="str">
        <f>HYPERLINK("https://pbs.twimg.com/profile_images/1218503297805344768/8_S9f-Iu.jpg","View")</f>
        <v>View</v>
      </c>
      <c r="V1620" s="13"/>
      <c r="W1620" s="13"/>
      <c r="X1620" s="13"/>
      <c r="Y1620" s="13"/>
      <c r="Z1620" s="13"/>
    </row>
    <row r="1621">
      <c r="A1621" s="8">
        <v>43848.35969907408</v>
      </c>
      <c r="B1621" s="9" t="str">
        <f>HYPERLINK("https://twitter.com/OneBodyJen","@OneBodyJen")</f>
        <v>@OneBodyJen</v>
      </c>
      <c r="C1621" s="10" t="s">
        <v>7076</v>
      </c>
      <c r="D1621" s="10" t="s">
        <v>7077</v>
      </c>
      <c r="E1621" s="9" t="str">
        <f>HYPERLINK("https://twitter.com/OneBodyJen/status/1218527955460280321","1218527955460280321")</f>
        <v>1218527955460280321</v>
      </c>
      <c r="F1621" s="13"/>
      <c r="G1621" s="11" t="s">
        <v>7078</v>
      </c>
      <c r="H1621" s="13"/>
      <c r="I1621" s="14">
        <v>1.0</v>
      </c>
      <c r="J1621" s="14">
        <v>1.0</v>
      </c>
      <c r="K1621" s="9" t="str">
        <f>HYPERLINK("http://twitter.com/download/iphone","Twitter for iPhone")</f>
        <v>Twitter for iPhone</v>
      </c>
      <c r="L1621" s="15">
        <v>1054.0</v>
      </c>
      <c r="M1621" s="15">
        <v>1653.0</v>
      </c>
      <c r="N1621" s="15">
        <v>106.0</v>
      </c>
      <c r="O1621" s="16"/>
      <c r="P1621" s="17">
        <v>42113.43376157407</v>
      </c>
      <c r="Q1621" s="10" t="s">
        <v>7079</v>
      </c>
      <c r="R1621" s="10" t="s">
        <v>7080</v>
      </c>
      <c r="S1621" s="11" t="s">
        <v>7081</v>
      </c>
      <c r="T1621" s="13"/>
      <c r="U1621" s="18" t="str">
        <f>HYPERLINK("https://pbs.twimg.com/profile_images/1214502644787634176/7dI1gLl_.jpg","View")</f>
        <v>View</v>
      </c>
      <c r="V1621" s="13"/>
      <c r="W1621" s="13"/>
      <c r="X1621" s="13"/>
      <c r="Y1621" s="13"/>
      <c r="Z1621" s="13"/>
    </row>
    <row r="1622">
      <c r="A1622" s="8">
        <v>43848.358564814815</v>
      </c>
      <c r="B1622" s="9" t="str">
        <f>HYPERLINK("https://twitter.com/PCICollegeIE","@PCICollegeIE")</f>
        <v>@PCICollegeIE</v>
      </c>
      <c r="C1622" s="10" t="s">
        <v>7082</v>
      </c>
      <c r="D1622" s="10" t="s">
        <v>7083</v>
      </c>
      <c r="E1622" s="9" t="str">
        <f>HYPERLINK("https://twitter.com/PCICollegeIE/status/1218527544162619392","1218527544162619392")</f>
        <v>1218527544162619392</v>
      </c>
      <c r="F1622" s="11" t="s">
        <v>7084</v>
      </c>
      <c r="G1622" s="13"/>
      <c r="H1622" s="13"/>
      <c r="I1622" s="14">
        <v>2.0</v>
      </c>
      <c r="J1622" s="14">
        <v>4.0</v>
      </c>
      <c r="K1622" s="9" t="str">
        <f>HYPERLINK("https://www.hootsuite.com","Hootsuite Inc.")</f>
        <v>Hootsuite Inc.</v>
      </c>
      <c r="L1622" s="15">
        <v>781.0</v>
      </c>
      <c r="M1622" s="15">
        <v>363.0</v>
      </c>
      <c r="N1622" s="15">
        <v>21.0</v>
      </c>
      <c r="O1622" s="16"/>
      <c r="P1622" s="17">
        <v>41030.40174768519</v>
      </c>
      <c r="Q1622" s="10" t="s">
        <v>7085</v>
      </c>
      <c r="R1622" s="10" t="s">
        <v>7086</v>
      </c>
      <c r="S1622" s="11" t="s">
        <v>7087</v>
      </c>
      <c r="T1622" s="13"/>
      <c r="U1622" s="18" t="str">
        <f>HYPERLINK("https://pbs.twimg.com/profile_images/2510758452/ig90cl8rcn168341o35t.jpeg","View")</f>
        <v>View</v>
      </c>
      <c r="V1622" s="13"/>
      <c r="W1622" s="13"/>
      <c r="X1622" s="13"/>
      <c r="Y1622" s="13"/>
      <c r="Z1622" s="13"/>
    </row>
    <row r="1623">
      <c r="A1623" s="8">
        <v>43848.358402777776</v>
      </c>
      <c r="B1623" s="9" t="str">
        <f>HYPERLINK("https://twitter.com/ThoughtifyLtd","@ThoughtifyLtd")</f>
        <v>@ThoughtifyLtd</v>
      </c>
      <c r="C1623" s="10" t="s">
        <v>7088</v>
      </c>
      <c r="D1623" s="10" t="s">
        <v>7089</v>
      </c>
      <c r="E1623" s="9" t="str">
        <f>HYPERLINK("https://twitter.com/ThoughtifyLtd/status/1218527486641872896","1218527486641872896")</f>
        <v>1218527486641872896</v>
      </c>
      <c r="F1623" s="11" t="s">
        <v>7090</v>
      </c>
      <c r="G1623" s="13"/>
      <c r="H1623" s="13"/>
      <c r="I1623" s="14">
        <v>0.0</v>
      </c>
      <c r="J1623" s="14">
        <v>3.0</v>
      </c>
      <c r="K1623" s="9" t="str">
        <f t="shared" ref="K1623:K1624" si="198">HYPERLINK("http://twitter.com/download/iphone","Twitter for iPhone")</f>
        <v>Twitter for iPhone</v>
      </c>
      <c r="L1623" s="15">
        <v>244.0</v>
      </c>
      <c r="M1623" s="15">
        <v>143.0</v>
      </c>
      <c r="N1623" s="15">
        <v>3.0</v>
      </c>
      <c r="O1623" s="16"/>
      <c r="P1623" s="17">
        <v>43257.621620370366</v>
      </c>
      <c r="Q1623" s="10" t="s">
        <v>95</v>
      </c>
      <c r="R1623" s="10" t="s">
        <v>7091</v>
      </c>
      <c r="S1623" s="11" t="s">
        <v>7092</v>
      </c>
      <c r="T1623" s="13"/>
      <c r="U1623" s="18" t="str">
        <f>HYPERLINK("https://pbs.twimg.com/profile_images/1191685510621732866/fdj8aOBd.jpg","View")</f>
        <v>View</v>
      </c>
      <c r="V1623" s="13"/>
      <c r="W1623" s="13"/>
      <c r="X1623" s="13"/>
      <c r="Y1623" s="13"/>
      <c r="Z1623" s="13"/>
    </row>
    <row r="1624">
      <c r="A1624" s="8">
        <v>43848.35811342593</v>
      </c>
      <c r="B1624" s="9" t="str">
        <f>HYPERLINK("https://twitter.com/symper3","@symper3")</f>
        <v>@symper3</v>
      </c>
      <c r="C1624" s="10" t="s">
        <v>7093</v>
      </c>
      <c r="D1624" s="10" t="s">
        <v>7094</v>
      </c>
      <c r="E1624" s="9" t="str">
        <f>HYPERLINK("https://twitter.com/symper3/status/1218527380752470017","1218527380752470017")</f>
        <v>1218527380752470017</v>
      </c>
      <c r="F1624" s="13"/>
      <c r="G1624" s="13"/>
      <c r="H1624" s="13"/>
      <c r="I1624" s="14">
        <v>0.0</v>
      </c>
      <c r="J1624" s="14">
        <v>0.0</v>
      </c>
      <c r="K1624" s="9" t="str">
        <f t="shared" si="198"/>
        <v>Twitter for iPhone</v>
      </c>
      <c r="L1624" s="15">
        <v>1.0</v>
      </c>
      <c r="M1624" s="15">
        <v>3.0</v>
      </c>
      <c r="N1624" s="15">
        <v>0.0</v>
      </c>
      <c r="O1624" s="16"/>
      <c r="P1624" s="17">
        <v>43845.51821759259</v>
      </c>
      <c r="Q1624" s="13"/>
      <c r="R1624" s="13"/>
      <c r="S1624" s="13"/>
      <c r="T1624" s="13"/>
      <c r="U1624" s="18" t="str">
        <f>HYPERLINK("https://pbs.twimg.com/profile_images/1217498770860072960/jRqikOX9.jpg","View")</f>
        <v>View</v>
      </c>
      <c r="V1624" s="13"/>
      <c r="W1624" s="13"/>
      <c r="X1624" s="13"/>
      <c r="Y1624" s="13"/>
      <c r="Z1624" s="13"/>
    </row>
    <row r="1625">
      <c r="A1625" s="8">
        <v>43848.357939814814</v>
      </c>
      <c r="B1625" s="9" t="str">
        <f>HYPERLINK("https://twitter.com/fguillens","@fguillens")</f>
        <v>@fguillens</v>
      </c>
      <c r="C1625" s="10" t="s">
        <v>7095</v>
      </c>
      <c r="D1625" s="10" t="s">
        <v>238</v>
      </c>
      <c r="E1625" s="9" t="str">
        <f>HYPERLINK("https://twitter.com/fguillens/status/1218527319842873344","1218527319842873344")</f>
        <v>1218527319842873344</v>
      </c>
      <c r="F1625" s="13"/>
      <c r="G1625" s="13"/>
      <c r="H1625" s="13"/>
      <c r="I1625" s="14">
        <v>0.0</v>
      </c>
      <c r="J1625" s="14">
        <v>0.0</v>
      </c>
      <c r="K1625" s="9" t="str">
        <f>HYPERLINK("http://twitter.com/download/android","Twitter for Android")</f>
        <v>Twitter for Android</v>
      </c>
      <c r="L1625" s="15">
        <v>279.0</v>
      </c>
      <c r="M1625" s="15">
        <v>540.0</v>
      </c>
      <c r="N1625" s="15">
        <v>2.0</v>
      </c>
      <c r="O1625" s="16"/>
      <c r="P1625" s="17">
        <v>40061.33615740741</v>
      </c>
      <c r="Q1625" s="13"/>
      <c r="R1625" s="10" t="s">
        <v>7096</v>
      </c>
      <c r="S1625" s="13"/>
      <c r="T1625" s="13"/>
      <c r="U1625" s="18" t="str">
        <f>HYPERLINK("https://pbs.twimg.com/profile_images/959165492098367488/oHhd2mbP.jpg","View")</f>
        <v>View</v>
      </c>
      <c r="V1625" s="13"/>
      <c r="W1625" s="13"/>
      <c r="X1625" s="13"/>
      <c r="Y1625" s="13"/>
      <c r="Z1625" s="13"/>
    </row>
    <row r="1626">
      <c r="A1626" s="8">
        <v>43848.35697916667</v>
      </c>
      <c r="B1626" s="9" t="str">
        <f>HYPERLINK("https://twitter.com/mfowell","@mfowell")</f>
        <v>@mfowell</v>
      </c>
      <c r="C1626" s="10" t="s">
        <v>7097</v>
      </c>
      <c r="D1626" s="10" t="s">
        <v>238</v>
      </c>
      <c r="E1626" s="9" t="str">
        <f>HYPERLINK("https://twitter.com/mfowell/status/1218526968204759041","1218526968204759041")</f>
        <v>1218526968204759041</v>
      </c>
      <c r="F1626" s="13"/>
      <c r="G1626" s="13"/>
      <c r="H1626" s="13"/>
      <c r="I1626" s="14">
        <v>0.0</v>
      </c>
      <c r="J1626" s="14">
        <v>0.0</v>
      </c>
      <c r="K1626" s="9" t="str">
        <f>HYPERLINK("http://twitter.com/download/iphone","Twitter for iPhone")</f>
        <v>Twitter for iPhone</v>
      </c>
      <c r="L1626" s="15">
        <v>504.0</v>
      </c>
      <c r="M1626" s="15">
        <v>701.0</v>
      </c>
      <c r="N1626" s="15">
        <v>7.0</v>
      </c>
      <c r="O1626" s="16"/>
      <c r="P1626" s="17">
        <v>39837.667546296296</v>
      </c>
      <c r="Q1626" s="10" t="s">
        <v>7098</v>
      </c>
      <c r="R1626" s="10" t="s">
        <v>7099</v>
      </c>
      <c r="S1626" s="13"/>
      <c r="T1626" s="13"/>
      <c r="U1626" s="18" t="str">
        <f>HYPERLINK("https://pbs.twimg.com/profile_images/851281217131393026/oNb3wUoM.jpg","View")</f>
        <v>View</v>
      </c>
      <c r="V1626" s="13"/>
      <c r="W1626" s="13"/>
      <c r="X1626" s="13"/>
      <c r="Y1626" s="13"/>
      <c r="Z1626" s="13"/>
    </row>
    <row r="1627">
      <c r="A1627" s="8">
        <v>43848.356944444444</v>
      </c>
      <c r="B1627" s="9" t="str">
        <f>HYPERLINK("https://twitter.com/nhsggclibrary","@nhsggclibrary")</f>
        <v>@nhsggclibrary</v>
      </c>
      <c r="C1627" s="10" t="s">
        <v>7100</v>
      </c>
      <c r="D1627" s="10" t="s">
        <v>7101</v>
      </c>
      <c r="E1627" s="9" t="str">
        <f>HYPERLINK("https://twitter.com/nhsggclibrary/status/1218526956695605248","1218526956695605248")</f>
        <v>1218526956695605248</v>
      </c>
      <c r="F1627" s="11" t="s">
        <v>7102</v>
      </c>
      <c r="G1627" s="13"/>
      <c r="H1627" s="13"/>
      <c r="I1627" s="14">
        <v>0.0</v>
      </c>
      <c r="J1627" s="14">
        <v>0.0</v>
      </c>
      <c r="K1627" s="9" t="str">
        <f>HYPERLINK("https://about.twitter.com/products/tweetdeck","TweetDeck")</f>
        <v>TweetDeck</v>
      </c>
      <c r="L1627" s="15">
        <v>969.0</v>
      </c>
      <c r="M1627" s="15">
        <v>1070.0</v>
      </c>
      <c r="N1627" s="15">
        <v>24.0</v>
      </c>
      <c r="O1627" s="16"/>
      <c r="P1627" s="17">
        <v>42286.39052083333</v>
      </c>
      <c r="Q1627" s="10" t="s">
        <v>1840</v>
      </c>
      <c r="R1627" s="10" t="s">
        <v>7103</v>
      </c>
      <c r="S1627" s="11" t="s">
        <v>7104</v>
      </c>
      <c r="T1627" s="13"/>
      <c r="U1627" s="18" t="str">
        <f>HYPERLINK("https://pbs.twimg.com/profile_images/1008654574280994816/RU-7IPnR.jpg","View")</f>
        <v>View</v>
      </c>
      <c r="V1627" s="13"/>
      <c r="W1627" s="13"/>
      <c r="X1627" s="13"/>
      <c r="Y1627" s="13"/>
      <c r="Z1627" s="13"/>
    </row>
    <row r="1628">
      <c r="A1628" s="8">
        <v>43848.35644675926</v>
      </c>
      <c r="B1628" s="9" t="str">
        <f>HYPERLINK("https://twitter.com/Kit_Novak","@Kit_Novak")</f>
        <v>@Kit_Novak</v>
      </c>
      <c r="C1628" s="10" t="s">
        <v>1451</v>
      </c>
      <c r="D1628" s="10" t="s">
        <v>7105</v>
      </c>
      <c r="E1628" s="9" t="str">
        <f>HYPERLINK("https://twitter.com/Kit_Novak/status/1218526778878242819","1218526778878242819")</f>
        <v>1218526778878242819</v>
      </c>
      <c r="F1628" s="11" t="s">
        <v>7106</v>
      </c>
      <c r="G1628" s="13"/>
      <c r="H1628" s="13"/>
      <c r="I1628" s="14">
        <v>2.0</v>
      </c>
      <c r="J1628" s="14">
        <v>4.0</v>
      </c>
      <c r="K1628" s="9" t="str">
        <f>HYPERLINK("https://mobile.twitter.com","Twitter Web App")</f>
        <v>Twitter Web App</v>
      </c>
      <c r="L1628" s="15">
        <v>441.0</v>
      </c>
      <c r="M1628" s="15">
        <v>599.0</v>
      </c>
      <c r="N1628" s="15">
        <v>7.0</v>
      </c>
      <c r="O1628" s="16"/>
      <c r="P1628" s="17">
        <v>40855.646840277775</v>
      </c>
      <c r="Q1628" s="10" t="s">
        <v>1454</v>
      </c>
      <c r="R1628" s="10" t="s">
        <v>1455</v>
      </c>
      <c r="S1628" s="11" t="s">
        <v>1456</v>
      </c>
      <c r="T1628" s="13"/>
      <c r="U1628" s="18" t="str">
        <f>HYPERLINK("https://pbs.twimg.com/profile_images/1205578805215186944/D_mHF7MC.jpg","View")</f>
        <v>View</v>
      </c>
      <c r="V1628" s="13"/>
      <c r="W1628" s="13"/>
      <c r="X1628" s="13"/>
      <c r="Y1628" s="13"/>
      <c r="Z1628" s="13"/>
    </row>
    <row r="1629">
      <c r="A1629" s="8">
        <v>43848.35642361111</v>
      </c>
      <c r="B1629" s="9" t="str">
        <f>HYPERLINK("https://twitter.com/picardonhealth","@picardonhealth")</f>
        <v>@picardonhealth</v>
      </c>
      <c r="C1629" s="10" t="s">
        <v>6567</v>
      </c>
      <c r="D1629" s="10" t="s">
        <v>7107</v>
      </c>
      <c r="E1629" s="9" t="str">
        <f>HYPERLINK("https://twitter.com/picardonhealth/status/1218526767264215040","1218526767264215040")</f>
        <v>1218526767264215040</v>
      </c>
      <c r="F1629" s="11" t="s">
        <v>4094</v>
      </c>
      <c r="G1629" s="13"/>
      <c r="H1629" s="13"/>
      <c r="I1629" s="14">
        <v>44.0</v>
      </c>
      <c r="J1629" s="14">
        <v>62.0</v>
      </c>
      <c r="K1629" s="9" t="str">
        <f>HYPERLINK("http://twitter.com","Twitter Web Client")</f>
        <v>Twitter Web Client</v>
      </c>
      <c r="L1629" s="15">
        <v>88276.0</v>
      </c>
      <c r="M1629" s="15">
        <v>1742.0</v>
      </c>
      <c r="N1629" s="15">
        <v>2442.0</v>
      </c>
      <c r="O1629" s="21" t="s">
        <v>522</v>
      </c>
      <c r="P1629" s="17">
        <v>40589.74395833333</v>
      </c>
      <c r="Q1629" s="10" t="s">
        <v>6569</v>
      </c>
      <c r="R1629" s="10" t="s">
        <v>6570</v>
      </c>
      <c r="S1629" s="11" t="s">
        <v>6571</v>
      </c>
      <c r="T1629" s="13"/>
      <c r="U1629" s="18" t="str">
        <f>HYPERLINK("https://pbs.twimg.com/profile_images/1194132906463154176/8aMv29y-.jpg","View")</f>
        <v>View</v>
      </c>
      <c r="V1629" s="13"/>
      <c r="W1629" s="13"/>
      <c r="X1629" s="13"/>
      <c r="Y1629" s="13"/>
      <c r="Z1629" s="13"/>
    </row>
    <row r="1630">
      <c r="A1630" s="8">
        <v>43848.355520833335</v>
      </c>
      <c r="B1630" s="9" t="str">
        <f>HYPERLINK("https://twitter.com/Stylishchick","@Stylishchick")</f>
        <v>@Stylishchick</v>
      </c>
      <c r="C1630" s="10" t="s">
        <v>7108</v>
      </c>
      <c r="D1630" s="10" t="s">
        <v>7109</v>
      </c>
      <c r="E1630" s="9" t="str">
        <f>HYPERLINK("https://twitter.com/Stylishchick/status/1218526442755182593","1218526442755182593")</f>
        <v>1218526442755182593</v>
      </c>
      <c r="F1630" s="13"/>
      <c r="G1630" s="11" t="s">
        <v>7110</v>
      </c>
      <c r="H1630" s="13"/>
      <c r="I1630" s="14">
        <v>7.0</v>
      </c>
      <c r="J1630" s="14">
        <v>4.0</v>
      </c>
      <c r="K1630" s="9" t="str">
        <f>HYPERLINK("https://mobile.twitter.com","Twitter Web App")</f>
        <v>Twitter Web App</v>
      </c>
      <c r="L1630" s="15">
        <v>4289.0</v>
      </c>
      <c r="M1630" s="15">
        <v>2593.0</v>
      </c>
      <c r="N1630" s="15">
        <v>365.0</v>
      </c>
      <c r="O1630" s="16"/>
      <c r="P1630" s="17">
        <v>39747.452881944446</v>
      </c>
      <c r="Q1630" s="10" t="s">
        <v>7111</v>
      </c>
      <c r="R1630" s="10" t="s">
        <v>7112</v>
      </c>
      <c r="S1630" s="11" t="s">
        <v>7113</v>
      </c>
      <c r="T1630" s="13"/>
      <c r="U1630" s="18" t="str">
        <f>HYPERLINK("https://pbs.twimg.com/profile_images/1003167355818692608/MAJjiqyh.jpg","View")</f>
        <v>View</v>
      </c>
      <c r="V1630" s="13"/>
      <c r="W1630" s="13"/>
      <c r="X1630" s="13"/>
      <c r="Y1630" s="13"/>
      <c r="Z1630" s="13"/>
    </row>
    <row r="1631">
      <c r="A1631" s="8">
        <v>43848.355358796296</v>
      </c>
      <c r="B1631" s="9" t="str">
        <f>HYPERLINK("https://twitter.com/DrBillChen","@DrBillChen")</f>
        <v>@DrBillChen</v>
      </c>
      <c r="C1631" s="10" t="s">
        <v>6508</v>
      </c>
      <c r="D1631" s="10" t="s">
        <v>7114</v>
      </c>
      <c r="E1631" s="9" t="str">
        <f>HYPERLINK("https://twitter.com/DrBillChen/status/1218526381665026048","1218526381665026048")</f>
        <v>1218526381665026048</v>
      </c>
      <c r="F1631" s="11" t="s">
        <v>7115</v>
      </c>
      <c r="G1631" s="13"/>
      <c r="H1631" s="13"/>
      <c r="I1631" s="14">
        <v>0.0</v>
      </c>
      <c r="J1631" s="14">
        <v>1.0</v>
      </c>
      <c r="K1631" s="9" t="str">
        <f>HYPERLINK("http://twitter.com","BillTwitty")</f>
        <v>BillTwitty</v>
      </c>
      <c r="L1631" s="15">
        <v>9387.0</v>
      </c>
      <c r="M1631" s="15">
        <v>7383.0</v>
      </c>
      <c r="N1631" s="15">
        <v>513.0</v>
      </c>
      <c r="O1631" s="16"/>
      <c r="P1631" s="17">
        <v>41711.76940972223</v>
      </c>
      <c r="Q1631" s="10" t="s">
        <v>6511</v>
      </c>
      <c r="R1631" s="10" t="s">
        <v>6512</v>
      </c>
      <c r="S1631" s="11" t="s">
        <v>6513</v>
      </c>
      <c r="T1631" s="13"/>
      <c r="U1631" s="18" t="str">
        <f>HYPERLINK("https://pbs.twimg.com/profile_images/949746128005689344/28ea9HyJ.jpg","View")</f>
        <v>View</v>
      </c>
      <c r="V1631" s="13"/>
      <c r="W1631" s="13"/>
      <c r="X1631" s="13"/>
      <c r="Y1631" s="13"/>
      <c r="Z1631" s="13"/>
    </row>
    <row r="1632">
      <c r="A1632" s="8">
        <v>43848.354999999996</v>
      </c>
      <c r="B1632" s="9" t="str">
        <f>HYPERLINK("https://twitter.com/Kit_Novak","@Kit_Novak")</f>
        <v>@Kit_Novak</v>
      </c>
      <c r="C1632" s="10" t="s">
        <v>1451</v>
      </c>
      <c r="D1632" s="10" t="s">
        <v>7116</v>
      </c>
      <c r="E1632" s="9" t="str">
        <f>HYPERLINK("https://twitter.com/Kit_Novak/status/1218526254225338368","1218526254225338368")</f>
        <v>1218526254225338368</v>
      </c>
      <c r="F1632" s="11" t="s">
        <v>1957</v>
      </c>
      <c r="G1632" s="13"/>
      <c r="H1632" s="13"/>
      <c r="I1632" s="14">
        <v>0.0</v>
      </c>
      <c r="J1632" s="14">
        <v>0.0</v>
      </c>
      <c r="K1632" s="9" t="str">
        <f>HYPERLINK("https://mobile.twitter.com","Twitter Web App")</f>
        <v>Twitter Web App</v>
      </c>
      <c r="L1632" s="15">
        <v>441.0</v>
      </c>
      <c r="M1632" s="15">
        <v>599.0</v>
      </c>
      <c r="N1632" s="15">
        <v>7.0</v>
      </c>
      <c r="O1632" s="16"/>
      <c r="P1632" s="17">
        <v>40855.646840277775</v>
      </c>
      <c r="Q1632" s="10" t="s">
        <v>1454</v>
      </c>
      <c r="R1632" s="10" t="s">
        <v>1455</v>
      </c>
      <c r="S1632" s="11" t="s">
        <v>1456</v>
      </c>
      <c r="T1632" s="13"/>
      <c r="U1632" s="18" t="str">
        <f>HYPERLINK("https://pbs.twimg.com/profile_images/1205578805215186944/D_mHF7MC.jpg","View")</f>
        <v>View</v>
      </c>
      <c r="V1632" s="13"/>
      <c r="W1632" s="13"/>
      <c r="X1632" s="13"/>
      <c r="Y1632" s="13"/>
      <c r="Z1632" s="13"/>
    </row>
    <row r="1633">
      <c r="A1633" s="8">
        <v>43848.354895833334</v>
      </c>
      <c r="B1633" s="9" t="str">
        <f>HYPERLINK("https://twitter.com/GranuaileLtd","@GranuaileLtd")</f>
        <v>@GranuaileLtd</v>
      </c>
      <c r="C1633" s="10" t="s">
        <v>7117</v>
      </c>
      <c r="D1633" s="10" t="s">
        <v>7118</v>
      </c>
      <c r="E1633" s="9" t="str">
        <f>HYPERLINK("https://twitter.com/GranuaileLtd/status/1218526214148829186","1218526214148829186")</f>
        <v>1218526214148829186</v>
      </c>
      <c r="F1633" s="11" t="s">
        <v>7119</v>
      </c>
      <c r="G1633" s="11" t="s">
        <v>7120</v>
      </c>
      <c r="H1633" s="13"/>
      <c r="I1633" s="14">
        <v>0.0</v>
      </c>
      <c r="J1633" s="14">
        <v>0.0</v>
      </c>
      <c r="K1633" s="9" t="str">
        <f>HYPERLINK("https://buffer.com","Buffer")</f>
        <v>Buffer</v>
      </c>
      <c r="L1633" s="15">
        <v>311.0</v>
      </c>
      <c r="M1633" s="15">
        <v>292.0</v>
      </c>
      <c r="N1633" s="15">
        <v>2.0</v>
      </c>
      <c r="O1633" s="16"/>
      <c r="P1633" s="17">
        <v>41611.39704861111</v>
      </c>
      <c r="Q1633" s="10" t="s">
        <v>2102</v>
      </c>
      <c r="R1633" s="10" t="s">
        <v>7121</v>
      </c>
      <c r="S1633" s="11" t="s">
        <v>7122</v>
      </c>
      <c r="T1633" s="13"/>
      <c r="U1633" s="18" t="str">
        <f>HYPERLINK("https://pbs.twimg.com/profile_images/531543719237791746/NmE-1yNj.jpeg","View")</f>
        <v>View</v>
      </c>
      <c r="V1633" s="13"/>
      <c r="W1633" s="13"/>
      <c r="X1633" s="13"/>
      <c r="Y1633" s="13"/>
      <c r="Z1633" s="13"/>
    </row>
    <row r="1634">
      <c r="A1634" s="8">
        <v>43848.35440972222</v>
      </c>
      <c r="B1634" s="9" t="str">
        <f>HYPERLINK("https://twitter.com/regishealthcare","@regishealthcare")</f>
        <v>@regishealthcare</v>
      </c>
      <c r="C1634" s="10" t="s">
        <v>7123</v>
      </c>
      <c r="D1634" s="10" t="s">
        <v>7124</v>
      </c>
      <c r="E1634" s="9" t="str">
        <f>HYPERLINK("https://twitter.com/regishealthcare/status/1218526040915574787","1218526040915574787")</f>
        <v>1218526040915574787</v>
      </c>
      <c r="F1634" s="11" t="s">
        <v>7125</v>
      </c>
      <c r="G1634" s="11" t="s">
        <v>7126</v>
      </c>
      <c r="H1634" s="13"/>
      <c r="I1634" s="14">
        <v>0.0</v>
      </c>
      <c r="J1634" s="14">
        <v>0.0</v>
      </c>
      <c r="K1634" s="9" t="str">
        <f>HYPERLINK("https://www.hootsuite.com","Hootsuite Inc.")</f>
        <v>Hootsuite Inc.</v>
      </c>
      <c r="L1634" s="15">
        <v>74.0</v>
      </c>
      <c r="M1634" s="15">
        <v>308.0</v>
      </c>
      <c r="N1634" s="15">
        <v>1.0</v>
      </c>
      <c r="O1634" s="16"/>
      <c r="P1634" s="17">
        <v>41759.3937037037</v>
      </c>
      <c r="Q1634" s="10" t="s">
        <v>7127</v>
      </c>
      <c r="R1634" s="10" t="s">
        <v>7128</v>
      </c>
      <c r="S1634" s="11" t="s">
        <v>7129</v>
      </c>
      <c r="T1634" s="13"/>
      <c r="U1634" s="18" t="str">
        <f>HYPERLINK("https://pbs.twimg.com/profile_images/1155781994409844736/MujxoHe8.jpg","View")</f>
        <v>View</v>
      </c>
      <c r="V1634" s="13"/>
      <c r="W1634" s="13"/>
      <c r="X1634" s="13"/>
      <c r="Y1634" s="13"/>
      <c r="Z1634" s="13"/>
    </row>
    <row r="1635">
      <c r="A1635" s="8">
        <v>43848.35415509259</v>
      </c>
      <c r="B1635" s="9" t="str">
        <f>HYPERLINK("https://twitter.com/CwoodJustin","@CwoodJustin")</f>
        <v>@CwoodJustin</v>
      </c>
      <c r="C1635" s="10" t="s">
        <v>7130</v>
      </c>
      <c r="D1635" s="10" t="s">
        <v>7131</v>
      </c>
      <c r="E1635" s="9" t="str">
        <f>HYPERLINK("https://twitter.com/CwoodJustin/status/1218525947747540992","1218525947747540992")</f>
        <v>1218525947747540992</v>
      </c>
      <c r="F1635" s="11" t="s">
        <v>7132</v>
      </c>
      <c r="G1635" s="13"/>
      <c r="H1635" s="13"/>
      <c r="I1635" s="14">
        <v>1.0</v>
      </c>
      <c r="J1635" s="14">
        <v>2.0</v>
      </c>
      <c r="K1635" s="9" t="str">
        <f t="shared" ref="K1635:K1636" si="199">HYPERLINK("http://www.hubspot.com/","HubSpot")</f>
        <v>HubSpot</v>
      </c>
      <c r="L1635" s="15">
        <v>69.0</v>
      </c>
      <c r="M1635" s="15">
        <v>1189.0</v>
      </c>
      <c r="N1635" s="15">
        <v>0.0</v>
      </c>
      <c r="O1635" s="16"/>
      <c r="P1635" s="17">
        <v>43836.423425925925</v>
      </c>
      <c r="Q1635" s="10" t="s">
        <v>7133</v>
      </c>
      <c r="R1635" s="13"/>
      <c r="S1635" s="11" t="s">
        <v>7134</v>
      </c>
      <c r="T1635" s="13"/>
      <c r="U1635" s="18" t="str">
        <f>HYPERLINK("https://pbs.twimg.com/profile_images/1214235555384315910/Nx4pIRm6.jpg","View")</f>
        <v>View</v>
      </c>
      <c r="V1635" s="13"/>
      <c r="W1635" s="13"/>
      <c r="X1635" s="13"/>
      <c r="Y1635" s="13"/>
      <c r="Z1635" s="13"/>
    </row>
    <row r="1636">
      <c r="A1636" s="8">
        <v>43848.35415509259</v>
      </c>
      <c r="B1636" s="9" t="str">
        <f>HYPERLINK("https://twitter.com/execheadhunters","@execheadhunters")</f>
        <v>@execheadhunters</v>
      </c>
      <c r="C1636" s="10" t="s">
        <v>7135</v>
      </c>
      <c r="D1636" s="10" t="s">
        <v>7136</v>
      </c>
      <c r="E1636" s="9" t="str">
        <f>HYPERLINK("https://twitter.com/execheadhunters/status/1218525947349098497","1218525947349098497")</f>
        <v>1218525947349098497</v>
      </c>
      <c r="F1636" s="11" t="s">
        <v>7137</v>
      </c>
      <c r="G1636" s="13"/>
      <c r="H1636" s="13"/>
      <c r="I1636" s="14">
        <v>0.0</v>
      </c>
      <c r="J1636" s="14">
        <v>0.0</v>
      </c>
      <c r="K1636" s="9" t="str">
        <f t="shared" si="199"/>
        <v>HubSpot</v>
      </c>
      <c r="L1636" s="15">
        <v>2030.0</v>
      </c>
      <c r="M1636" s="15">
        <v>3546.0</v>
      </c>
      <c r="N1636" s="15">
        <v>138.0</v>
      </c>
      <c r="O1636" s="16"/>
      <c r="P1636" s="17">
        <v>40626.329189814816</v>
      </c>
      <c r="Q1636" s="10" t="s">
        <v>7133</v>
      </c>
      <c r="R1636" s="10" t="s">
        <v>7138</v>
      </c>
      <c r="S1636" s="11" t="s">
        <v>7139</v>
      </c>
      <c r="T1636" s="13"/>
      <c r="U1636" s="18" t="str">
        <f>HYPERLINK("https://pbs.twimg.com/profile_images/895250590015647744/GZ0bBRwz.jpg","View")</f>
        <v>View</v>
      </c>
      <c r="V1636" s="13"/>
      <c r="W1636" s="13"/>
      <c r="X1636" s="13"/>
      <c r="Y1636" s="13"/>
      <c r="Z1636" s="13"/>
    </row>
    <row r="1637">
      <c r="A1637" s="8">
        <v>43848.35394675926</v>
      </c>
      <c r="B1637" s="9" t="str">
        <f>HYPERLINK("https://twitter.com/_JessicaBlythe","@_JessicaBlythe")</f>
        <v>@_JessicaBlythe</v>
      </c>
      <c r="C1637" s="10" t="s">
        <v>7140</v>
      </c>
      <c r="D1637" s="10" t="s">
        <v>7141</v>
      </c>
      <c r="E1637" s="9" t="str">
        <f>HYPERLINK("https://twitter.com/_JessicaBlythe/status/1218525872032047104","1218525872032047104")</f>
        <v>1218525872032047104</v>
      </c>
      <c r="F1637" s="11" t="s">
        <v>7142</v>
      </c>
      <c r="G1637" s="13"/>
      <c r="H1637" s="13"/>
      <c r="I1637" s="14">
        <v>9.0</v>
      </c>
      <c r="J1637" s="14">
        <v>15.0</v>
      </c>
      <c r="K1637" s="9" t="str">
        <f>HYPERLINK("http://twitter.com/download/iphone","Twitter for iPhone")</f>
        <v>Twitter for iPhone</v>
      </c>
      <c r="L1637" s="15">
        <v>2117.0</v>
      </c>
      <c r="M1637" s="15">
        <v>2015.0</v>
      </c>
      <c r="N1637" s="15">
        <v>79.0</v>
      </c>
      <c r="O1637" s="16"/>
      <c r="P1637" s="17">
        <v>41549.100902777776</v>
      </c>
      <c r="Q1637" s="10" t="s">
        <v>7143</v>
      </c>
      <c r="R1637" s="10" t="s">
        <v>7144</v>
      </c>
      <c r="S1637" s="11" t="s">
        <v>7145</v>
      </c>
      <c r="T1637" s="13"/>
      <c r="U1637" s="18" t="str">
        <f>HYPERLINK("https://pbs.twimg.com/profile_images/641760436887486464/tU-ZqZDZ.jpg","View")</f>
        <v>View</v>
      </c>
      <c r="V1637" s="13"/>
      <c r="W1637" s="13"/>
      <c r="X1637" s="13"/>
      <c r="Y1637" s="13"/>
      <c r="Z1637" s="13"/>
    </row>
    <row r="1638">
      <c r="A1638" s="8">
        <v>43848.35380787037</v>
      </c>
      <c r="B1638" s="9" t="str">
        <f>HYPERLINK("https://twitter.com/FinolaColgan","@FinolaColgan")</f>
        <v>@FinolaColgan</v>
      </c>
      <c r="C1638" s="10" t="s">
        <v>7146</v>
      </c>
      <c r="D1638" s="10" t="s">
        <v>7147</v>
      </c>
      <c r="E1638" s="9" t="str">
        <f>HYPERLINK("https://twitter.com/FinolaColgan/status/1218525819565498368","1218525819565498368")</f>
        <v>1218525819565498368</v>
      </c>
      <c r="F1638" s="13"/>
      <c r="G1638" s="11" t="s">
        <v>7148</v>
      </c>
      <c r="H1638" s="13"/>
      <c r="I1638" s="14">
        <v>1.0</v>
      </c>
      <c r="J1638" s="14">
        <v>2.0</v>
      </c>
      <c r="K1638" s="9" t="str">
        <f t="shared" ref="K1638:K1639" si="200">HYPERLINK("http://twitter.com/download/android","Twitter for Android")</f>
        <v>Twitter for Android</v>
      </c>
      <c r="L1638" s="15">
        <v>1028.0</v>
      </c>
      <c r="M1638" s="15">
        <v>1627.0</v>
      </c>
      <c r="N1638" s="15">
        <v>43.0</v>
      </c>
      <c r="O1638" s="16"/>
      <c r="P1638" s="17">
        <v>40910.46689814815</v>
      </c>
      <c r="Q1638" s="13"/>
      <c r="R1638" s="10" t="s">
        <v>7149</v>
      </c>
      <c r="S1638" s="13"/>
      <c r="T1638" s="13"/>
      <c r="U1638" s="18" t="str">
        <f>HYPERLINK("https://pbs.twimg.com/profile_images/738467370767941633/8XRRwCP_.jpg","View")</f>
        <v>View</v>
      </c>
      <c r="V1638" s="13"/>
      <c r="W1638" s="13"/>
      <c r="X1638" s="13"/>
      <c r="Y1638" s="13"/>
      <c r="Z1638" s="13"/>
    </row>
    <row r="1639">
      <c r="A1639" s="8">
        <v>43848.3533449074</v>
      </c>
      <c r="B1639" s="9" t="str">
        <f>HYPERLINK("https://twitter.com/DonelaLinas","@DonelaLinas")</f>
        <v>@DonelaLinas</v>
      </c>
      <c r="C1639" s="10" t="s">
        <v>1838</v>
      </c>
      <c r="D1639" s="10" t="s">
        <v>7150</v>
      </c>
      <c r="E1639" s="9" t="str">
        <f>HYPERLINK("https://twitter.com/DonelaLinas/status/1218525654863556608","1218525654863556608")</f>
        <v>1218525654863556608</v>
      </c>
      <c r="F1639" s="13"/>
      <c r="G1639" s="13"/>
      <c r="H1639" s="13"/>
      <c r="I1639" s="14">
        <v>0.0</v>
      </c>
      <c r="J1639" s="14">
        <v>0.0</v>
      </c>
      <c r="K1639" s="9" t="str">
        <f t="shared" si="200"/>
        <v>Twitter for Android</v>
      </c>
      <c r="L1639" s="15">
        <v>34.0</v>
      </c>
      <c r="M1639" s="15">
        <v>57.0</v>
      </c>
      <c r="N1639" s="15">
        <v>0.0</v>
      </c>
      <c r="O1639" s="16"/>
      <c r="P1639" s="17">
        <v>42519.46498842593</v>
      </c>
      <c r="Q1639" s="10" t="s">
        <v>1840</v>
      </c>
      <c r="R1639" s="10" t="s">
        <v>1841</v>
      </c>
      <c r="S1639" s="13"/>
      <c r="T1639" s="13"/>
      <c r="U1639" s="18" t="str">
        <f>HYPERLINK("https://pbs.twimg.com/profile_images/737072476367269888/aenGDd9p.jpg","View")</f>
        <v>View</v>
      </c>
      <c r="V1639" s="13"/>
      <c r="W1639" s="13"/>
      <c r="X1639" s="13"/>
      <c r="Y1639" s="13"/>
      <c r="Z1639" s="13"/>
    </row>
    <row r="1640">
      <c r="A1640" s="8">
        <v>43848.3528125</v>
      </c>
      <c r="B1640" s="9" t="str">
        <f>HYPERLINK("https://twitter.com/sostostress","@sostostress")</f>
        <v>@sostostress</v>
      </c>
      <c r="C1640" s="10" t="s">
        <v>7151</v>
      </c>
      <c r="D1640" s="10" t="s">
        <v>7152</v>
      </c>
      <c r="E1640" s="9" t="str">
        <f>HYPERLINK("https://twitter.com/sostostress/status/1218525461371711488","1218525461371711488")</f>
        <v>1218525461371711488</v>
      </c>
      <c r="F1640" s="11" t="s">
        <v>7153</v>
      </c>
      <c r="G1640" s="13"/>
      <c r="H1640" s="13"/>
      <c r="I1640" s="14">
        <v>0.0</v>
      </c>
      <c r="J1640" s="14">
        <v>0.0</v>
      </c>
      <c r="K1640" s="9" t="str">
        <f>HYPERLINK("http://twitter.com","Twitter Web Client")</f>
        <v>Twitter Web Client</v>
      </c>
      <c r="L1640" s="15">
        <v>333.0</v>
      </c>
      <c r="M1640" s="15">
        <v>171.0</v>
      </c>
      <c r="N1640" s="15">
        <v>46.0</v>
      </c>
      <c r="O1640" s="16"/>
      <c r="P1640" s="17">
        <v>40529.642071759255</v>
      </c>
      <c r="Q1640" s="10" t="s">
        <v>177</v>
      </c>
      <c r="R1640" s="10" t="s">
        <v>7154</v>
      </c>
      <c r="S1640" s="11" t="s">
        <v>7155</v>
      </c>
      <c r="T1640" s="13"/>
      <c r="U1640" s="18" t="str">
        <f>HYPERLINK("https://pbs.twimg.com/profile_images/1192953737/image006_pp_-_2__2_.jpg","View")</f>
        <v>View</v>
      </c>
      <c r="V1640" s="13"/>
      <c r="W1640" s="13"/>
      <c r="X1640" s="13"/>
      <c r="Y1640" s="13"/>
      <c r="Z1640" s="13"/>
    </row>
    <row r="1641">
      <c r="A1641" s="8">
        <v>43848.35266203704</v>
      </c>
      <c r="B1641" s="9" t="str">
        <f>HYPERLINK("https://twitter.com/TopherJGen","@TopherJGen")</f>
        <v>@TopherJGen</v>
      </c>
      <c r="C1641" s="10" t="s">
        <v>7156</v>
      </c>
      <c r="D1641" s="10" t="s">
        <v>7157</v>
      </c>
      <c r="E1641" s="9" t="str">
        <f>HYPERLINK("https://twitter.com/TopherJGen/status/1218525404098711552","1218525404098711552")</f>
        <v>1218525404098711552</v>
      </c>
      <c r="F1641" s="11" t="s">
        <v>7158</v>
      </c>
      <c r="G1641" s="13"/>
      <c r="H1641" s="13"/>
      <c r="I1641" s="14">
        <v>2.0</v>
      </c>
      <c r="J1641" s="14">
        <v>2.0</v>
      </c>
      <c r="K1641" s="9" t="str">
        <f>HYPERLINK("http://publicize.wp.com/","WordPress.com")</f>
        <v>WordPress.com</v>
      </c>
      <c r="L1641" s="15">
        <v>4472.0</v>
      </c>
      <c r="M1641" s="15">
        <v>1018.0</v>
      </c>
      <c r="N1641" s="15">
        <v>9.0</v>
      </c>
      <c r="O1641" s="16"/>
      <c r="P1641" s="17">
        <v>42915.454560185186</v>
      </c>
      <c r="Q1641" s="10" t="s">
        <v>1840</v>
      </c>
      <c r="R1641" s="10" t="s">
        <v>7159</v>
      </c>
      <c r="S1641" s="11" t="s">
        <v>7160</v>
      </c>
      <c r="T1641" s="13"/>
      <c r="U1641" s="18" t="str">
        <f>HYPERLINK("https://pbs.twimg.com/profile_images/1215274838232850433/ScOQKHxT.jpg","View")</f>
        <v>View</v>
      </c>
      <c r="V1641" s="13"/>
      <c r="W1641" s="13"/>
      <c r="X1641" s="13"/>
      <c r="Y1641" s="13"/>
      <c r="Z1641" s="13"/>
    </row>
    <row r="1642">
      <c r="A1642" s="8">
        <v>43848.35256944444</v>
      </c>
      <c r="B1642" s="9" t="str">
        <f>HYPERLINK("https://twitter.com/thebrightsyd","@thebrightsyd")</f>
        <v>@thebrightsyd</v>
      </c>
      <c r="C1642" s="10" t="s">
        <v>7161</v>
      </c>
      <c r="D1642" s="10" t="s">
        <v>238</v>
      </c>
      <c r="E1642" s="9" t="str">
        <f>HYPERLINK("https://twitter.com/thebrightsyd/status/1218525373677342723","1218525373677342723")</f>
        <v>1218525373677342723</v>
      </c>
      <c r="F1642" s="13"/>
      <c r="G1642" s="13"/>
      <c r="H1642" s="13"/>
      <c r="I1642" s="14">
        <v>0.0</v>
      </c>
      <c r="J1642" s="14">
        <v>0.0</v>
      </c>
      <c r="K1642" s="9" t="str">
        <f t="shared" ref="K1642:K1643" si="201">HYPERLINK("http://twitter.com/download/iphone","Twitter for iPhone")</f>
        <v>Twitter for iPhone</v>
      </c>
      <c r="L1642" s="15">
        <v>669.0</v>
      </c>
      <c r="M1642" s="15">
        <v>609.0</v>
      </c>
      <c r="N1642" s="15">
        <v>1.0</v>
      </c>
      <c r="O1642" s="16"/>
      <c r="P1642" s="17">
        <v>42912.57302083333</v>
      </c>
      <c r="Q1642" s="10" t="s">
        <v>7162</v>
      </c>
      <c r="R1642" s="10" t="s">
        <v>7163</v>
      </c>
      <c r="S1642" s="13"/>
      <c r="T1642" s="13"/>
      <c r="U1642" s="18" t="str">
        <f>HYPERLINK("https://pbs.twimg.com/profile_images/1004728197903273984/eUxGQXou.jpg","View")</f>
        <v>View</v>
      </c>
      <c r="V1642" s="13"/>
      <c r="W1642" s="13"/>
      <c r="X1642" s="13"/>
      <c r="Y1642" s="13"/>
      <c r="Z1642" s="13"/>
    </row>
    <row r="1643">
      <c r="A1643" s="8">
        <v>43848.35239583333</v>
      </c>
      <c r="B1643" s="9" t="str">
        <f>HYPERLINK("https://twitter.com/unemployed_alc","@unemployed_alc")</f>
        <v>@unemployed_alc</v>
      </c>
      <c r="C1643" s="10" t="s">
        <v>7164</v>
      </c>
      <c r="D1643" s="10" t="s">
        <v>7165</v>
      </c>
      <c r="E1643" s="9" t="str">
        <f>HYPERLINK("https://twitter.com/unemployed_alc/status/1218525308317511680","1218525308317511680")</f>
        <v>1218525308317511680</v>
      </c>
      <c r="F1643" s="11" t="s">
        <v>7166</v>
      </c>
      <c r="G1643" s="13"/>
      <c r="H1643" s="13"/>
      <c r="I1643" s="14">
        <v>0.0</v>
      </c>
      <c r="J1643" s="14">
        <v>0.0</v>
      </c>
      <c r="K1643" s="9" t="str">
        <f t="shared" si="201"/>
        <v>Twitter for iPhone</v>
      </c>
      <c r="L1643" s="15">
        <v>20.0</v>
      </c>
      <c r="M1643" s="15">
        <v>42.0</v>
      </c>
      <c r="N1643" s="15">
        <v>0.0</v>
      </c>
      <c r="O1643" s="16"/>
      <c r="P1643" s="17">
        <v>43185.5947337963</v>
      </c>
      <c r="Q1643" s="10" t="s">
        <v>6930</v>
      </c>
      <c r="R1643" s="10" t="s">
        <v>7167</v>
      </c>
      <c r="S1643" s="11" t="s">
        <v>7168</v>
      </c>
      <c r="T1643" s="13"/>
      <c r="U1643" s="18" t="str">
        <f>HYPERLINK("https://pbs.twimg.com/profile_images/1113865937646698497/9wN6xsqS.png","View")</f>
        <v>View</v>
      </c>
      <c r="V1643" s="13"/>
      <c r="W1643" s="13"/>
      <c r="X1643" s="13"/>
      <c r="Y1643" s="13"/>
      <c r="Z1643" s="13"/>
    </row>
    <row r="1644">
      <c r="A1644" s="8">
        <v>43848.352384259255</v>
      </c>
      <c r="B1644" s="9" t="str">
        <f>HYPERLINK("https://twitter.com/CyberSmarties","@CyberSmarties")</f>
        <v>@CyberSmarties</v>
      </c>
      <c r="C1644" s="10" t="s">
        <v>7169</v>
      </c>
      <c r="D1644" s="10" t="s">
        <v>7170</v>
      </c>
      <c r="E1644" s="9" t="str">
        <f>HYPERLINK("https://twitter.com/CyberSmarties/status/1218525306291675139","1218525306291675139")</f>
        <v>1218525306291675139</v>
      </c>
      <c r="F1644" s="13"/>
      <c r="G1644" s="11" t="s">
        <v>7171</v>
      </c>
      <c r="H1644" s="13"/>
      <c r="I1644" s="14">
        <v>0.0</v>
      </c>
      <c r="J1644" s="14">
        <v>0.0</v>
      </c>
      <c r="K1644" s="9" t="str">
        <f t="shared" ref="K1644:K1646" si="202">HYPERLINK("https://mobile.twitter.com","Twitter Web App")</f>
        <v>Twitter Web App</v>
      </c>
      <c r="L1644" s="15">
        <v>711.0</v>
      </c>
      <c r="M1644" s="15">
        <v>1563.0</v>
      </c>
      <c r="N1644" s="15">
        <v>24.0</v>
      </c>
      <c r="O1644" s="16"/>
      <c r="P1644" s="17">
        <v>42349.59170138889</v>
      </c>
      <c r="Q1644" s="10" t="s">
        <v>7172</v>
      </c>
      <c r="R1644" s="10" t="s">
        <v>7173</v>
      </c>
      <c r="S1644" s="11" t="s">
        <v>7174</v>
      </c>
      <c r="T1644" s="13"/>
      <c r="U1644" s="18" t="str">
        <f>HYPERLINK("https://pbs.twimg.com/profile_images/800625543636992000/AFNW3YaE.jpg","View")</f>
        <v>View</v>
      </c>
      <c r="V1644" s="13"/>
      <c r="W1644" s="13"/>
      <c r="X1644" s="13"/>
      <c r="Y1644" s="13"/>
      <c r="Z1644" s="13"/>
    </row>
    <row r="1645">
      <c r="A1645" s="8">
        <v>43848.35151620371</v>
      </c>
      <c r="B1645" s="9" t="str">
        <f>HYPERLINK("https://twitter.com/serawhitelaw","@serawhitelaw")</f>
        <v>@serawhitelaw</v>
      </c>
      <c r="C1645" s="10" t="s">
        <v>7175</v>
      </c>
      <c r="D1645" s="10" t="s">
        <v>7176</v>
      </c>
      <c r="E1645" s="9" t="str">
        <f>HYPERLINK("https://twitter.com/serawhitelaw/status/1218524992549376004","1218524992549376004")</f>
        <v>1218524992549376004</v>
      </c>
      <c r="F1645" s="10" t="s">
        <v>7177</v>
      </c>
      <c r="G1645" s="13"/>
      <c r="H1645" s="13"/>
      <c r="I1645" s="14">
        <v>0.0</v>
      </c>
      <c r="J1645" s="14">
        <v>5.0</v>
      </c>
      <c r="K1645" s="9" t="str">
        <f t="shared" si="202"/>
        <v>Twitter Web App</v>
      </c>
      <c r="L1645" s="15">
        <v>137.0</v>
      </c>
      <c r="M1645" s="15">
        <v>165.0</v>
      </c>
      <c r="N1645" s="15">
        <v>0.0</v>
      </c>
      <c r="O1645" s="16"/>
      <c r="P1645" s="17">
        <v>43168.823333333334</v>
      </c>
      <c r="Q1645" s="13"/>
      <c r="R1645" s="10" t="s">
        <v>7178</v>
      </c>
      <c r="S1645" s="13"/>
      <c r="T1645" s="13"/>
      <c r="U1645" s="18" t="str">
        <f>HYPERLINK("https://pbs.twimg.com/profile_images/1192320797161009152/IKsJfA5p.jpg","View")</f>
        <v>View</v>
      </c>
      <c r="V1645" s="13"/>
      <c r="W1645" s="13"/>
      <c r="X1645" s="13"/>
      <c r="Y1645" s="13"/>
      <c r="Z1645" s="13"/>
    </row>
    <row r="1646">
      <c r="A1646" s="8">
        <v>43848.35091435185</v>
      </c>
      <c r="B1646" s="9" t="str">
        <f>HYPERLINK("https://twitter.com/philosofarmer","@philosofarmer")</f>
        <v>@philosofarmer</v>
      </c>
      <c r="C1646" s="10" t="s">
        <v>7179</v>
      </c>
      <c r="D1646" s="10" t="s">
        <v>7180</v>
      </c>
      <c r="E1646" s="9" t="str">
        <f>HYPERLINK("https://twitter.com/philosofarmer/status/1218524771316588549","1218524771316588549")</f>
        <v>1218524771316588549</v>
      </c>
      <c r="F1646" s="13"/>
      <c r="G1646" s="13"/>
      <c r="H1646" s="13"/>
      <c r="I1646" s="14">
        <v>1.0</v>
      </c>
      <c r="J1646" s="14">
        <v>1.0</v>
      </c>
      <c r="K1646" s="9" t="str">
        <f t="shared" si="202"/>
        <v>Twitter Web App</v>
      </c>
      <c r="L1646" s="15">
        <v>2826.0</v>
      </c>
      <c r="M1646" s="15">
        <v>3579.0</v>
      </c>
      <c r="N1646" s="15">
        <v>35.0</v>
      </c>
      <c r="O1646" s="16"/>
      <c r="P1646" s="17">
        <v>40847.66815972222</v>
      </c>
      <c r="Q1646" s="10" t="s">
        <v>7181</v>
      </c>
      <c r="R1646" s="10" t="s">
        <v>7182</v>
      </c>
      <c r="S1646" s="11" t="s">
        <v>7183</v>
      </c>
      <c r="T1646" s="13"/>
      <c r="U1646" s="18" t="str">
        <f>HYPERLINK("https://pbs.twimg.com/profile_images/993948903304151040/jca3Nt60.jpg","View")</f>
        <v>View</v>
      </c>
      <c r="V1646" s="13"/>
      <c r="W1646" s="13"/>
      <c r="X1646" s="13"/>
      <c r="Y1646" s="13"/>
      <c r="Z1646" s="13"/>
    </row>
    <row r="1647">
      <c r="A1647" s="8">
        <v>43848.350752314815</v>
      </c>
      <c r="B1647" s="9" t="str">
        <f>HYPERLINK("https://twitter.com/NHSLincsWest","@NHSLincsWest")</f>
        <v>@NHSLincsWest</v>
      </c>
      <c r="C1647" s="10" t="s">
        <v>7184</v>
      </c>
      <c r="D1647" s="10" t="s">
        <v>7185</v>
      </c>
      <c r="E1647" s="9" t="str">
        <f>HYPERLINK("https://twitter.com/NHSLincsWest/status/1218524711765889024","1218524711765889024")</f>
        <v>1218524711765889024</v>
      </c>
      <c r="F1647" s="11" t="s">
        <v>7186</v>
      </c>
      <c r="G1647" s="11" t="s">
        <v>7187</v>
      </c>
      <c r="H1647" s="13"/>
      <c r="I1647" s="14">
        <v>5.0</v>
      </c>
      <c r="J1647" s="14">
        <v>4.0</v>
      </c>
      <c r="K1647" s="9" t="str">
        <f>HYPERLINK("https://www.hootsuite.com","Hootsuite Inc.")</f>
        <v>Hootsuite Inc.</v>
      </c>
      <c r="L1647" s="15">
        <v>2881.0</v>
      </c>
      <c r="M1647" s="15">
        <v>1743.0</v>
      </c>
      <c r="N1647" s="15">
        <v>70.0</v>
      </c>
      <c r="O1647" s="16"/>
      <c r="P1647" s="17">
        <v>41299.447916666664</v>
      </c>
      <c r="Q1647" s="10" t="s">
        <v>7188</v>
      </c>
      <c r="R1647" s="10" t="s">
        <v>7189</v>
      </c>
      <c r="S1647" s="11" t="s">
        <v>7190</v>
      </c>
      <c r="T1647" s="13"/>
      <c r="U1647" s="18" t="str">
        <f>HYPERLINK("https://pbs.twimg.com/profile_images/1113746785548345344/bbOoq6KG.png","View")</f>
        <v>View</v>
      </c>
      <c r="V1647" s="13"/>
      <c r="W1647" s="13"/>
      <c r="X1647" s="13"/>
      <c r="Y1647" s="13"/>
      <c r="Z1647" s="13"/>
    </row>
    <row r="1648">
      <c r="A1648" s="8">
        <v>43848.35046296296</v>
      </c>
      <c r="B1648" s="9" t="str">
        <f>HYPERLINK("https://twitter.com/Becca5492","@Becca5492")</f>
        <v>@Becca5492</v>
      </c>
      <c r="C1648" s="10" t="s">
        <v>7191</v>
      </c>
      <c r="D1648" s="10" t="s">
        <v>7192</v>
      </c>
      <c r="E1648" s="9" t="str">
        <f>HYPERLINK("https://twitter.com/Becca5492/status/1218524606811852805","1218524606811852805")</f>
        <v>1218524606811852805</v>
      </c>
      <c r="F1648" s="13"/>
      <c r="G1648" s="13"/>
      <c r="H1648" s="13"/>
      <c r="I1648" s="14">
        <v>0.0</v>
      </c>
      <c r="J1648" s="14">
        <v>19.0</v>
      </c>
      <c r="K1648" s="9" t="str">
        <f t="shared" ref="K1648:K1649" si="203">HYPERLINK("http://twitter.com/download/android","Twitter for Android")</f>
        <v>Twitter for Android</v>
      </c>
      <c r="L1648" s="15">
        <v>2500.0</v>
      </c>
      <c r="M1648" s="15">
        <v>3204.0</v>
      </c>
      <c r="N1648" s="15">
        <v>11.0</v>
      </c>
      <c r="O1648" s="16"/>
      <c r="P1648" s="17">
        <v>43270.44225694444</v>
      </c>
      <c r="Q1648" s="10" t="s">
        <v>3408</v>
      </c>
      <c r="R1648" s="10" t="s">
        <v>7193</v>
      </c>
      <c r="S1648" s="13"/>
      <c r="T1648" s="13"/>
      <c r="U1648" s="18" t="str">
        <f>HYPERLINK("https://pbs.twimg.com/profile_images/1100651823579447296/687cu_Zb.jpg","View")</f>
        <v>View</v>
      </c>
      <c r="V1648" s="13"/>
      <c r="W1648" s="13"/>
      <c r="X1648" s="13"/>
      <c r="Y1648" s="13"/>
      <c r="Z1648" s="13"/>
    </row>
    <row r="1649">
      <c r="A1649" s="8">
        <v>43848.34986111111</v>
      </c>
      <c r="B1649" s="9" t="str">
        <f>HYPERLINK("https://twitter.com/ShaunGVos","@ShaunGVos")</f>
        <v>@ShaunGVos</v>
      </c>
      <c r="C1649" s="10" t="s">
        <v>6457</v>
      </c>
      <c r="D1649" s="10" t="s">
        <v>7194</v>
      </c>
      <c r="E1649" s="9" t="str">
        <f>HYPERLINK("https://twitter.com/ShaunGVos/status/1218524391484612609","1218524391484612609")</f>
        <v>1218524391484612609</v>
      </c>
      <c r="F1649" s="13"/>
      <c r="G1649" s="13"/>
      <c r="H1649" s="13"/>
      <c r="I1649" s="14">
        <v>0.0</v>
      </c>
      <c r="J1649" s="14">
        <v>0.0</v>
      </c>
      <c r="K1649" s="9" t="str">
        <f t="shared" si="203"/>
        <v>Twitter for Android</v>
      </c>
      <c r="L1649" s="15">
        <v>672.0</v>
      </c>
      <c r="M1649" s="15">
        <v>607.0</v>
      </c>
      <c r="N1649" s="15">
        <v>1.0</v>
      </c>
      <c r="O1649" s="16"/>
      <c r="P1649" s="17">
        <v>40196.02667824074</v>
      </c>
      <c r="Q1649" s="10" t="s">
        <v>6459</v>
      </c>
      <c r="R1649" s="10" t="s">
        <v>6460</v>
      </c>
      <c r="S1649" s="11" t="s">
        <v>6461</v>
      </c>
      <c r="T1649" s="13"/>
      <c r="U1649" s="18" t="str">
        <f>HYPERLINK("https://pbs.twimg.com/profile_images/1201223563887468549/eujvB_0_.jpg","View")</f>
        <v>View</v>
      </c>
      <c r="V1649" s="13"/>
      <c r="W1649" s="13"/>
      <c r="X1649" s="13"/>
      <c r="Y1649" s="13"/>
      <c r="Z1649" s="13"/>
    </row>
    <row r="1650">
      <c r="A1650" s="8">
        <v>43848.34881944444</v>
      </c>
      <c r="B1650" s="9" t="str">
        <f>HYPERLINK("https://twitter.com/maureen_busby","@maureen_busby")</f>
        <v>@maureen_busby</v>
      </c>
      <c r="C1650" s="10" t="s">
        <v>4695</v>
      </c>
      <c r="D1650" s="10" t="s">
        <v>7195</v>
      </c>
      <c r="E1650" s="9" t="str">
        <f>HYPERLINK("https://twitter.com/maureen_busby/status/1218524012952850437","1218524012952850437")</f>
        <v>1218524012952850437</v>
      </c>
      <c r="F1650" s="13"/>
      <c r="G1650" s="11" t="s">
        <v>7196</v>
      </c>
      <c r="H1650" s="13"/>
      <c r="I1650" s="14">
        <v>2.0</v>
      </c>
      <c r="J1650" s="14">
        <v>4.0</v>
      </c>
      <c r="K1650" s="9" t="str">
        <f>HYPERLINK("http://twitter.com/#!/download/ipad","Twitter for iPad")</f>
        <v>Twitter for iPad</v>
      </c>
      <c r="L1650" s="15">
        <v>1682.0</v>
      </c>
      <c r="M1650" s="15">
        <v>4877.0</v>
      </c>
      <c r="N1650" s="15">
        <v>8.0</v>
      </c>
      <c r="O1650" s="16"/>
      <c r="P1650" s="17">
        <v>43373.53041666667</v>
      </c>
      <c r="Q1650" s="10" t="s">
        <v>4698</v>
      </c>
      <c r="R1650" s="10" t="s">
        <v>4699</v>
      </c>
      <c r="S1650" s="11" t="s">
        <v>4700</v>
      </c>
      <c r="T1650" s="13"/>
      <c r="U1650" s="18" t="str">
        <f>HYPERLINK("https://pbs.twimg.com/profile_images/1217856701468160000/lcS7D7UQ.jpg","View")</f>
        <v>View</v>
      </c>
      <c r="V1650" s="13"/>
      <c r="W1650" s="13"/>
      <c r="X1650" s="13"/>
      <c r="Y1650" s="13"/>
      <c r="Z1650" s="13"/>
    </row>
    <row r="1651">
      <c r="A1651" s="8">
        <v>43848.34858796296</v>
      </c>
      <c r="B1651" s="9" t="str">
        <f>HYPERLINK("https://twitter.com/haminkhatib","@haminkhatib")</f>
        <v>@haminkhatib</v>
      </c>
      <c r="C1651" s="10" t="s">
        <v>7197</v>
      </c>
      <c r="D1651" s="10" t="s">
        <v>7198</v>
      </c>
      <c r="E1651" s="9" t="str">
        <f>HYPERLINK("https://twitter.com/haminkhatib/status/1218523931428016128","1218523931428016128")</f>
        <v>1218523931428016128</v>
      </c>
      <c r="F1651" s="11" t="s">
        <v>7199</v>
      </c>
      <c r="G1651" s="13"/>
      <c r="H1651" s="13"/>
      <c r="I1651" s="14">
        <v>0.0</v>
      </c>
      <c r="J1651" s="14">
        <v>0.0</v>
      </c>
      <c r="K1651" s="9" t="str">
        <f>HYPERLINK("http://www.linkedin.com/","LinkedIn")</f>
        <v>LinkedIn</v>
      </c>
      <c r="L1651" s="15">
        <v>410.0</v>
      </c>
      <c r="M1651" s="15">
        <v>1996.0</v>
      </c>
      <c r="N1651" s="15">
        <v>21.0</v>
      </c>
      <c r="O1651" s="16"/>
      <c r="P1651" s="17">
        <v>40862.56631944444</v>
      </c>
      <c r="Q1651" s="10" t="s">
        <v>1954</v>
      </c>
      <c r="R1651" s="10" t="s">
        <v>7200</v>
      </c>
      <c r="S1651" s="13"/>
      <c r="T1651" s="13"/>
      <c r="U1651" s="18" t="str">
        <f>HYPERLINK("https://pbs.twimg.com/profile_images/1064880492346888194/GMvd82gI.jpg","View")</f>
        <v>View</v>
      </c>
      <c r="V1651" s="13"/>
      <c r="W1651" s="13"/>
      <c r="X1651" s="13"/>
      <c r="Y1651" s="13"/>
      <c r="Z1651" s="13"/>
    </row>
    <row r="1652">
      <c r="A1652" s="8">
        <v>43848.34800925926</v>
      </c>
      <c r="B1652" s="9" t="str">
        <f>HYPERLINK("https://twitter.com/amymya1234","@amymya1234")</f>
        <v>@amymya1234</v>
      </c>
      <c r="C1652" s="10" t="s">
        <v>7201</v>
      </c>
      <c r="D1652" s="10" t="s">
        <v>7202</v>
      </c>
      <c r="E1652" s="9" t="str">
        <f>HYPERLINK("https://twitter.com/amymya1234/status/1218523719594840065","1218523719594840065")</f>
        <v>1218523719594840065</v>
      </c>
      <c r="F1652" s="13"/>
      <c r="G1652" s="13"/>
      <c r="H1652" s="13"/>
      <c r="I1652" s="14">
        <v>0.0</v>
      </c>
      <c r="J1652" s="14">
        <v>0.0</v>
      </c>
      <c r="K1652" s="9" t="str">
        <f>HYPERLINK("http://twitter.com/download/iphone","Twitter for iPhone")</f>
        <v>Twitter for iPhone</v>
      </c>
      <c r="L1652" s="15">
        <v>1.0</v>
      </c>
      <c r="M1652" s="15">
        <v>10.0</v>
      </c>
      <c r="N1652" s="15">
        <v>0.0</v>
      </c>
      <c r="O1652" s="16"/>
      <c r="P1652" s="17">
        <v>43290.42736111111</v>
      </c>
      <c r="Q1652" s="13"/>
      <c r="R1652" s="13"/>
      <c r="S1652" s="13"/>
      <c r="T1652" s="13"/>
      <c r="U1652" s="18" t="str">
        <f>HYPERLINK("https://pbs.twimg.com/profile_images/1016325352745037827/pG-NylXD.jpg","View")</f>
        <v>View</v>
      </c>
      <c r="V1652" s="13"/>
      <c r="W1652" s="13"/>
      <c r="X1652" s="13"/>
      <c r="Y1652" s="13"/>
      <c r="Z1652" s="13"/>
    </row>
    <row r="1653">
      <c r="A1653" s="8">
        <v>43848.347407407404</v>
      </c>
      <c r="B1653" s="9" t="str">
        <f>HYPERLINK("https://twitter.com/ravibeleyur","@ravibeleyur")</f>
        <v>@ravibeleyur</v>
      </c>
      <c r="C1653" s="10" t="s">
        <v>7203</v>
      </c>
      <c r="D1653" s="10" t="s">
        <v>238</v>
      </c>
      <c r="E1653" s="9" t="str">
        <f>HYPERLINK("https://twitter.com/ravibeleyur/status/1218523499662151683","1218523499662151683")</f>
        <v>1218523499662151683</v>
      </c>
      <c r="F1653" s="13"/>
      <c r="G1653" s="13"/>
      <c r="H1653" s="13"/>
      <c r="I1653" s="14">
        <v>0.0</v>
      </c>
      <c r="J1653" s="14">
        <v>0.0</v>
      </c>
      <c r="K1653" s="9" t="str">
        <f>HYPERLINK("http://twitter.com/download/android","Twitter for Android")</f>
        <v>Twitter for Android</v>
      </c>
      <c r="L1653" s="15">
        <v>134.0</v>
      </c>
      <c r="M1653" s="15">
        <v>246.0</v>
      </c>
      <c r="N1653" s="15">
        <v>14.0</v>
      </c>
      <c r="O1653" s="16"/>
      <c r="P1653" s="17">
        <v>40144.0134375</v>
      </c>
      <c r="Q1653" s="10" t="s">
        <v>3829</v>
      </c>
      <c r="R1653" s="10" t="s">
        <v>7204</v>
      </c>
      <c r="S1653" s="13"/>
      <c r="T1653" s="13"/>
      <c r="U1653" s="18" t="str">
        <f>HYPERLINK("https://pbs.twimg.com/profile_images/681802534508347392/-8HMNoM8.jpg","View")</f>
        <v>View</v>
      </c>
      <c r="V1653" s="13"/>
      <c r="W1653" s="13"/>
      <c r="X1653" s="13"/>
      <c r="Y1653" s="13"/>
      <c r="Z1653" s="13"/>
    </row>
    <row r="1654">
      <c r="A1654" s="8">
        <v>43848.347291666665</v>
      </c>
      <c r="B1654" s="9" t="str">
        <f>HYPERLINK("https://twitter.com/MindinBradford","@MindinBradford")</f>
        <v>@MindinBradford</v>
      </c>
      <c r="C1654" s="10" t="s">
        <v>7205</v>
      </c>
      <c r="D1654" s="10" t="s">
        <v>7206</v>
      </c>
      <c r="E1654" s="9" t="str">
        <f>HYPERLINK("https://twitter.com/MindinBradford/status/1218523459216662529","1218523459216662529")</f>
        <v>1218523459216662529</v>
      </c>
      <c r="F1654" s="11" t="s">
        <v>7207</v>
      </c>
      <c r="G1654" s="11" t="s">
        <v>7208</v>
      </c>
      <c r="H1654" s="13"/>
      <c r="I1654" s="14">
        <v>3.0</v>
      </c>
      <c r="J1654" s="14">
        <v>9.0</v>
      </c>
      <c r="K1654" s="9" t="str">
        <f t="shared" ref="K1654:K1656" si="204">HYPERLINK("https://www.hootsuite.com","Hootsuite Inc.")</f>
        <v>Hootsuite Inc.</v>
      </c>
      <c r="L1654" s="15">
        <v>3759.0</v>
      </c>
      <c r="M1654" s="15">
        <v>2206.0</v>
      </c>
      <c r="N1654" s="15">
        <v>46.0</v>
      </c>
      <c r="O1654" s="16"/>
      <c r="P1654" s="17">
        <v>42546.51253472222</v>
      </c>
      <c r="Q1654" s="10" t="s">
        <v>7209</v>
      </c>
      <c r="R1654" s="10" t="s">
        <v>7210</v>
      </c>
      <c r="S1654" s="11" t="s">
        <v>7211</v>
      </c>
      <c r="T1654" s="13"/>
      <c r="U1654" s="18" t="str">
        <f>HYPERLINK("https://pbs.twimg.com/profile_images/827697365079490565/XyN0YO5L.jpg","View")</f>
        <v>View</v>
      </c>
      <c r="V1654" s="13"/>
      <c r="W1654" s="13"/>
      <c r="X1654" s="13"/>
      <c r="Y1654" s="13"/>
      <c r="Z1654" s="13"/>
    </row>
    <row r="1655">
      <c r="A1655" s="8">
        <v>43848.34726851852</v>
      </c>
      <c r="B1655" s="9" t="str">
        <f>HYPERLINK("https://twitter.com/RTAHealth","@RTAHealth")</f>
        <v>@RTAHealth</v>
      </c>
      <c r="C1655" s="10" t="s">
        <v>7212</v>
      </c>
      <c r="D1655" s="10" t="s">
        <v>7213</v>
      </c>
      <c r="E1655" s="9" t="str">
        <f>HYPERLINK("https://twitter.com/RTAHealth/status/1218523451205595138","1218523451205595138")</f>
        <v>1218523451205595138</v>
      </c>
      <c r="F1655" s="11" t="s">
        <v>7214</v>
      </c>
      <c r="G1655" s="13"/>
      <c r="H1655" s="13"/>
      <c r="I1655" s="14">
        <v>1.0</v>
      </c>
      <c r="J1655" s="14">
        <v>1.0</v>
      </c>
      <c r="K1655" s="9" t="str">
        <f t="shared" si="204"/>
        <v>Hootsuite Inc.</v>
      </c>
      <c r="L1655" s="15">
        <v>1993.0</v>
      </c>
      <c r="M1655" s="15">
        <v>1118.0</v>
      </c>
      <c r="N1655" s="15">
        <v>68.0</v>
      </c>
      <c r="O1655" s="16"/>
      <c r="P1655" s="17">
        <v>41369.34688657407</v>
      </c>
      <c r="Q1655" s="10" t="s">
        <v>166</v>
      </c>
      <c r="R1655" s="10" t="s">
        <v>7215</v>
      </c>
      <c r="S1655" s="11" t="s">
        <v>7216</v>
      </c>
      <c r="T1655" s="13"/>
      <c r="U1655" s="18" t="str">
        <f>HYPERLINK("https://pbs.twimg.com/profile_images/1039904285897752576/tkuWraUJ.jpg","View")</f>
        <v>View</v>
      </c>
      <c r="V1655" s="13"/>
      <c r="W1655" s="13"/>
      <c r="X1655" s="13"/>
      <c r="Y1655" s="13"/>
      <c r="Z1655" s="13"/>
    </row>
    <row r="1656">
      <c r="A1656" s="8">
        <v>43848.34724537037</v>
      </c>
      <c r="B1656" s="9" t="str">
        <f>HYPERLINK("https://twitter.com/djemal_ua","@djemal_ua")</f>
        <v>@djemal_ua</v>
      </c>
      <c r="C1656" s="10" t="s">
        <v>1161</v>
      </c>
      <c r="D1656" s="10" t="s">
        <v>7217</v>
      </c>
      <c r="E1656" s="9" t="str">
        <f>HYPERLINK("https://twitter.com/djemal_ua/status/1218523443320193024","1218523443320193024")</f>
        <v>1218523443320193024</v>
      </c>
      <c r="F1656" s="11" t="s">
        <v>7218</v>
      </c>
      <c r="G1656" s="13"/>
      <c r="H1656" s="13"/>
      <c r="I1656" s="14">
        <v>0.0</v>
      </c>
      <c r="J1656" s="14">
        <v>0.0</v>
      </c>
      <c r="K1656" s="9" t="str">
        <f t="shared" si="204"/>
        <v>Hootsuite Inc.</v>
      </c>
      <c r="L1656" s="15">
        <v>5127.0</v>
      </c>
      <c r="M1656" s="15">
        <v>4724.0</v>
      </c>
      <c r="N1656" s="15">
        <v>60.0</v>
      </c>
      <c r="O1656" s="16"/>
      <c r="P1656" s="17">
        <v>43530.25729166667</v>
      </c>
      <c r="Q1656" s="10" t="s">
        <v>95</v>
      </c>
      <c r="R1656" s="10" t="s">
        <v>1164</v>
      </c>
      <c r="S1656" s="11" t="s">
        <v>1165</v>
      </c>
      <c r="T1656" s="13"/>
      <c r="U1656" s="18" t="str">
        <f>HYPERLINK("https://pbs.twimg.com/profile_images/1202978381106761728/aqUhVSTO.jpg","View")</f>
        <v>View</v>
      </c>
      <c r="V1656" s="13"/>
      <c r="W1656" s="13"/>
      <c r="X1656" s="13"/>
      <c r="Y1656" s="13"/>
      <c r="Z1656" s="13"/>
    </row>
    <row r="1657">
      <c r="A1657" s="8">
        <v>43848.34694444445</v>
      </c>
      <c r="B1657" s="9" t="str">
        <f>HYPERLINK("https://twitter.com/MclachlanAnne","@MclachlanAnne")</f>
        <v>@MclachlanAnne</v>
      </c>
      <c r="C1657" s="10" t="s">
        <v>5163</v>
      </c>
      <c r="D1657" s="10" t="s">
        <v>7219</v>
      </c>
      <c r="E1657" s="9" t="str">
        <f>HYPERLINK("https://twitter.com/MclachlanAnne/status/1218523333827923970","1218523333827923970")</f>
        <v>1218523333827923970</v>
      </c>
      <c r="F1657" s="10" t="s">
        <v>7220</v>
      </c>
      <c r="G1657" s="11" t="s">
        <v>7221</v>
      </c>
      <c r="H1657" s="13"/>
      <c r="I1657" s="14">
        <v>0.0</v>
      </c>
      <c r="J1657" s="14">
        <v>0.0</v>
      </c>
      <c r="K1657" s="9" t="str">
        <f>HYPERLINK("http://twitter.com/download/android","Twitter for Android")</f>
        <v>Twitter for Android</v>
      </c>
      <c r="L1657" s="15">
        <v>221.0</v>
      </c>
      <c r="M1657" s="15">
        <v>467.0</v>
      </c>
      <c r="N1657" s="15">
        <v>8.0</v>
      </c>
      <c r="O1657" s="16"/>
      <c r="P1657" s="17">
        <v>42399.80034722222</v>
      </c>
      <c r="Q1657" s="13"/>
      <c r="R1657" s="10" t="s">
        <v>5165</v>
      </c>
      <c r="S1657" s="13"/>
      <c r="T1657" s="13"/>
      <c r="U1657" s="18" t="str">
        <f>HYPERLINK("https://pbs.twimg.com/profile_images/779833311527067648/1vYLQhDu.jpg","View")</f>
        <v>View</v>
      </c>
      <c r="V1657" s="13"/>
      <c r="W1657" s="13"/>
      <c r="X1657" s="13"/>
      <c r="Y1657" s="13"/>
      <c r="Z1657" s="13"/>
    </row>
    <row r="1658">
      <c r="A1658" s="8">
        <v>43848.34694444445</v>
      </c>
      <c r="B1658" s="9" t="str">
        <f>HYPERLINK("https://twitter.com/philosofarmer","@philosofarmer")</f>
        <v>@philosofarmer</v>
      </c>
      <c r="C1658" s="10" t="s">
        <v>7179</v>
      </c>
      <c r="D1658" s="10" t="s">
        <v>7222</v>
      </c>
      <c r="E1658" s="9" t="str">
        <f>HYPERLINK("https://twitter.com/philosofarmer/status/1218523332401934336","1218523332401934336")</f>
        <v>1218523332401934336</v>
      </c>
      <c r="F1658" s="13"/>
      <c r="G1658" s="13"/>
      <c r="H1658" s="13"/>
      <c r="I1658" s="14">
        <v>0.0</v>
      </c>
      <c r="J1658" s="14">
        <v>1.0</v>
      </c>
      <c r="K1658" s="9" t="str">
        <f>HYPERLINK("https://mobile.twitter.com","Twitter Web App")</f>
        <v>Twitter Web App</v>
      </c>
      <c r="L1658" s="15">
        <v>2826.0</v>
      </c>
      <c r="M1658" s="15">
        <v>3579.0</v>
      </c>
      <c r="N1658" s="15">
        <v>35.0</v>
      </c>
      <c r="O1658" s="16"/>
      <c r="P1658" s="17">
        <v>40847.66815972222</v>
      </c>
      <c r="Q1658" s="10" t="s">
        <v>7181</v>
      </c>
      <c r="R1658" s="10" t="s">
        <v>7182</v>
      </c>
      <c r="S1658" s="11" t="s">
        <v>7183</v>
      </c>
      <c r="T1658" s="13"/>
      <c r="U1658" s="18" t="str">
        <f>HYPERLINK("https://pbs.twimg.com/profile_images/993948903304151040/jca3Nt60.jpg","View")</f>
        <v>View</v>
      </c>
      <c r="V1658" s="13"/>
      <c r="W1658" s="13"/>
      <c r="X1658" s="13"/>
      <c r="Y1658" s="13"/>
      <c r="Z1658" s="13"/>
    </row>
    <row r="1659">
      <c r="A1659" s="8">
        <v>43848.346921296295</v>
      </c>
      <c r="B1659" s="9" t="str">
        <f>HYPERLINK("https://twitter.com/grouptherapy33","@grouptherapy33")</f>
        <v>@grouptherapy33</v>
      </c>
      <c r="C1659" s="10" t="s">
        <v>831</v>
      </c>
      <c r="D1659" s="10" t="s">
        <v>7223</v>
      </c>
      <c r="E1659" s="9" t="str">
        <f>HYPERLINK("https://twitter.com/grouptherapy33/status/1218523325758083072","1218523325758083072")</f>
        <v>1218523325758083072</v>
      </c>
      <c r="F1659" s="13"/>
      <c r="G1659" s="13"/>
      <c r="H1659" s="13"/>
      <c r="I1659" s="14">
        <v>0.0</v>
      </c>
      <c r="J1659" s="14">
        <v>0.0</v>
      </c>
      <c r="K1659" s="9" t="str">
        <f>HYPERLINK("http://www.DynamicTweets.com","Dynamic Tweets")</f>
        <v>Dynamic Tweets</v>
      </c>
      <c r="L1659" s="15">
        <v>4053.0</v>
      </c>
      <c r="M1659" s="15">
        <v>3517.0</v>
      </c>
      <c r="N1659" s="15">
        <v>74.0</v>
      </c>
      <c r="O1659" s="16"/>
      <c r="P1659" s="17">
        <v>42375.45542824074</v>
      </c>
      <c r="Q1659" s="13"/>
      <c r="R1659" s="13"/>
      <c r="S1659" s="11" t="s">
        <v>833</v>
      </c>
      <c r="T1659" s="13"/>
      <c r="U1659" s="18" t="str">
        <f>HYPERLINK("https://pbs.twimg.com/profile_images/773354507157671941/wE10yy8j.jpg","View")</f>
        <v>View</v>
      </c>
      <c r="V1659" s="13"/>
      <c r="W1659" s="13"/>
      <c r="X1659" s="13"/>
      <c r="Y1659" s="13"/>
      <c r="Z1659" s="13"/>
    </row>
    <row r="1660">
      <c r="A1660" s="8">
        <v>43848.34642361111</v>
      </c>
      <c r="B1660" s="9" t="str">
        <f>HYPERLINK("https://twitter.com/najeybat","@najeybat")</f>
        <v>@najeybat</v>
      </c>
      <c r="C1660" s="10" t="s">
        <v>7224</v>
      </c>
      <c r="D1660" s="10" t="s">
        <v>238</v>
      </c>
      <c r="E1660" s="9" t="str">
        <f>HYPERLINK("https://twitter.com/najeybat/status/1218523145621196801","1218523145621196801")</f>
        <v>1218523145621196801</v>
      </c>
      <c r="F1660" s="13"/>
      <c r="G1660" s="13"/>
      <c r="H1660" s="13"/>
      <c r="I1660" s="14">
        <v>2.0</v>
      </c>
      <c r="J1660" s="14">
        <v>1.0</v>
      </c>
      <c r="K1660" s="9" t="str">
        <f>HYPERLINK("http://twitter.com/download/android","Twitter for Android")</f>
        <v>Twitter for Android</v>
      </c>
      <c r="L1660" s="15">
        <v>488.0</v>
      </c>
      <c r="M1660" s="15">
        <v>454.0</v>
      </c>
      <c r="N1660" s="15">
        <v>1.0</v>
      </c>
      <c r="O1660" s="16"/>
      <c r="P1660" s="17">
        <v>40972.2990625</v>
      </c>
      <c r="Q1660" s="10" t="s">
        <v>7225</v>
      </c>
      <c r="R1660" s="10" t="s">
        <v>7226</v>
      </c>
      <c r="S1660" s="13"/>
      <c r="T1660" s="13"/>
      <c r="U1660" s="18" t="str">
        <f>HYPERLINK("https://pbs.twimg.com/profile_images/1205583778166562819/DBhbnnPo.jpg","View")</f>
        <v>View</v>
      </c>
      <c r="V1660" s="13"/>
      <c r="W1660" s="13"/>
      <c r="X1660" s="13"/>
      <c r="Y1660" s="13"/>
      <c r="Z1660" s="13"/>
    </row>
    <row r="1661">
      <c r="A1661" s="8">
        <v>43848.345659722225</v>
      </c>
      <c r="B1661" s="9" t="str">
        <f>HYPERLINK("https://twitter.com/minditgh","@minditgh")</f>
        <v>@minditgh</v>
      </c>
      <c r="C1661" s="10" t="s">
        <v>7227</v>
      </c>
      <c r="D1661" s="10" t="s">
        <v>7228</v>
      </c>
      <c r="E1661" s="9" t="str">
        <f>HYPERLINK("https://twitter.com/minditgh/status/1218522866213445637","1218522866213445637")</f>
        <v>1218522866213445637</v>
      </c>
      <c r="F1661" s="13"/>
      <c r="G1661" s="13"/>
      <c r="H1661" s="13"/>
      <c r="I1661" s="14">
        <v>0.0</v>
      </c>
      <c r="J1661" s="14">
        <v>0.0</v>
      </c>
      <c r="K1661" s="9" t="str">
        <f>HYPERLINK("https://mobile.twitter.com","Twitter Web App")</f>
        <v>Twitter Web App</v>
      </c>
      <c r="L1661" s="15">
        <v>71.0</v>
      </c>
      <c r="M1661" s="15">
        <v>17.0</v>
      </c>
      <c r="N1661" s="15">
        <v>0.0</v>
      </c>
      <c r="O1661" s="16"/>
      <c r="P1661" s="17">
        <v>43191.99541666667</v>
      </c>
      <c r="Q1661" s="13"/>
      <c r="R1661" s="10" t="s">
        <v>7229</v>
      </c>
      <c r="S1661" s="13"/>
      <c r="T1661" s="13"/>
      <c r="U1661" s="18" t="str">
        <f>HYPERLINK("https://pbs.twimg.com/profile_images/993871160470310913/QXZoi15l.jpg","View")</f>
        <v>View</v>
      </c>
      <c r="V1661" s="13"/>
      <c r="W1661" s="13"/>
      <c r="X1661" s="13"/>
      <c r="Y1661" s="13"/>
      <c r="Z1661" s="13"/>
    </row>
    <row r="1662">
      <c r="A1662" s="8">
        <v>43848.34415509259</v>
      </c>
      <c r="B1662" s="9" t="str">
        <f>HYPERLINK("https://twitter.com/CoastCountryNw","@CoastCountryNw")</f>
        <v>@CoastCountryNw</v>
      </c>
      <c r="C1662" s="10" t="s">
        <v>7230</v>
      </c>
      <c r="D1662" s="10" t="s">
        <v>7231</v>
      </c>
      <c r="E1662" s="9" t="str">
        <f>HYPERLINK("https://twitter.com/CoastCountryNw/status/1218522324615467008","1218522324615467008")</f>
        <v>1218522324615467008</v>
      </c>
      <c r="F1662" s="13"/>
      <c r="G1662" s="11" t="s">
        <v>7232</v>
      </c>
      <c r="H1662" s="13"/>
      <c r="I1662" s="14">
        <v>1.0</v>
      </c>
      <c r="J1662" s="14">
        <v>4.0</v>
      </c>
      <c r="K1662" s="9" t="str">
        <f>HYPERLINK("https://www.hootsuite.com","Hootsuite Inc.")</f>
        <v>Hootsuite Inc.</v>
      </c>
      <c r="L1662" s="15">
        <v>141.0</v>
      </c>
      <c r="M1662" s="15">
        <v>104.0</v>
      </c>
      <c r="N1662" s="15">
        <v>2.0</v>
      </c>
      <c r="O1662" s="16"/>
      <c r="P1662" s="17">
        <v>42563.17622685185</v>
      </c>
      <c r="Q1662" s="10" t="s">
        <v>7233</v>
      </c>
      <c r="R1662" s="10" t="s">
        <v>7234</v>
      </c>
      <c r="S1662" s="11" t="s">
        <v>7235</v>
      </c>
      <c r="T1662" s="13"/>
      <c r="U1662" s="18" t="str">
        <f>HYPERLINK("https://pbs.twimg.com/profile_images/1181942210264276992/W_58a1a_.jpg","View")</f>
        <v>View</v>
      </c>
      <c r="V1662" s="13"/>
      <c r="W1662" s="13"/>
      <c r="X1662" s="13"/>
      <c r="Y1662" s="13"/>
      <c r="Z1662" s="13"/>
    </row>
    <row r="1663">
      <c r="A1663" s="8">
        <v>43848.34390046296</v>
      </c>
      <c r="B1663" s="9" t="str">
        <f>HYPERLINK("https://twitter.com/tschmenk","@tschmenk")</f>
        <v>@tschmenk</v>
      </c>
      <c r="C1663" s="10" t="s">
        <v>7236</v>
      </c>
      <c r="D1663" s="10" t="s">
        <v>7237</v>
      </c>
      <c r="E1663" s="9" t="str">
        <f>HYPERLINK("https://twitter.com/tschmenk/status/1218522228834414592","1218522228834414592")</f>
        <v>1218522228834414592</v>
      </c>
      <c r="F1663" s="13"/>
      <c r="G1663" s="11" t="s">
        <v>7238</v>
      </c>
      <c r="H1663" s="13"/>
      <c r="I1663" s="14">
        <v>1.0</v>
      </c>
      <c r="J1663" s="14">
        <v>0.0</v>
      </c>
      <c r="K1663" s="9" t="str">
        <f>HYPERLINK("https://crowdfireapp.com","Crowdfire App")</f>
        <v>Crowdfire App</v>
      </c>
      <c r="L1663" s="15">
        <v>30.0</v>
      </c>
      <c r="M1663" s="15">
        <v>21.0</v>
      </c>
      <c r="N1663" s="15">
        <v>0.0</v>
      </c>
      <c r="O1663" s="16"/>
      <c r="P1663" s="17">
        <v>40989.07858796296</v>
      </c>
      <c r="Q1663" s="10" t="s">
        <v>7239</v>
      </c>
      <c r="R1663" s="10" t="s">
        <v>7240</v>
      </c>
      <c r="S1663" s="11" t="s">
        <v>7241</v>
      </c>
      <c r="T1663" s="13"/>
      <c r="U1663" s="18" t="str">
        <f>HYPERLINK("https://pbs.twimg.com/profile_images/915407004142780416/sm8xLcEt.jpg","View")</f>
        <v>View</v>
      </c>
      <c r="V1663" s="13"/>
      <c r="W1663" s="13"/>
      <c r="X1663" s="13"/>
      <c r="Y1663" s="13"/>
      <c r="Z1663" s="13"/>
    </row>
    <row r="1664">
      <c r="A1664" s="8">
        <v>43848.343460648146</v>
      </c>
      <c r="B1664" s="9" t="str">
        <f>HYPERLINK("https://twitter.com/drparas_matrrix","@drparas_matrrix")</f>
        <v>@drparas_matrrix</v>
      </c>
      <c r="C1664" s="10" t="s">
        <v>7242</v>
      </c>
      <c r="D1664" s="10" t="s">
        <v>7243</v>
      </c>
      <c r="E1664" s="9" t="str">
        <f>HYPERLINK("https://twitter.com/drparas_matrrix/status/1218522073259077632","1218522073259077632")</f>
        <v>1218522073259077632</v>
      </c>
      <c r="F1664" s="13"/>
      <c r="G1664" s="11" t="s">
        <v>7244</v>
      </c>
      <c r="H1664" s="13"/>
      <c r="I1664" s="14">
        <v>1.0</v>
      </c>
      <c r="J1664" s="14">
        <v>0.0</v>
      </c>
      <c r="K1664" s="9" t="str">
        <f>HYPERLINK("http://www.matrrix.in","Matrrix Scheduler")</f>
        <v>Matrrix Scheduler</v>
      </c>
      <c r="L1664" s="15">
        <v>10562.0</v>
      </c>
      <c r="M1664" s="15">
        <v>193.0</v>
      </c>
      <c r="N1664" s="15">
        <v>19.0</v>
      </c>
      <c r="O1664" s="16"/>
      <c r="P1664" s="17">
        <v>41459.51773148148</v>
      </c>
      <c r="Q1664" s="10" t="s">
        <v>7245</v>
      </c>
      <c r="R1664" s="10" t="s">
        <v>7246</v>
      </c>
      <c r="S1664" s="11" t="s">
        <v>7247</v>
      </c>
      <c r="T1664" s="13"/>
      <c r="U1664" s="18" t="str">
        <f>HYPERLINK("https://pbs.twimg.com/profile_images/1182344030257987584/kPjVaZ-Q.jpg","View")</f>
        <v>View</v>
      </c>
      <c r="V1664" s="13"/>
      <c r="W1664" s="13"/>
      <c r="X1664" s="13"/>
      <c r="Y1664" s="13"/>
      <c r="Z1664" s="13"/>
    </row>
    <row r="1665">
      <c r="A1665" s="8">
        <v>43848.34280092592</v>
      </c>
      <c r="B1665" s="9" t="str">
        <f>HYPERLINK("https://twitter.com/PrimeEveTwitch","@PrimeEveTwitch")</f>
        <v>@PrimeEveTwitch</v>
      </c>
      <c r="C1665" s="10" t="s">
        <v>7248</v>
      </c>
      <c r="D1665" s="10" t="s">
        <v>7249</v>
      </c>
      <c r="E1665" s="9" t="str">
        <f>HYPERLINK("https://twitter.com/PrimeEveTwitch/status/1218521831671521286","1218521831671521286")</f>
        <v>1218521831671521286</v>
      </c>
      <c r="F1665" s="11" t="s">
        <v>7250</v>
      </c>
      <c r="G1665" s="13"/>
      <c r="H1665" s="13"/>
      <c r="I1665" s="14">
        <v>1.0</v>
      </c>
      <c r="J1665" s="14">
        <v>1.0</v>
      </c>
      <c r="K1665" s="9" t="str">
        <f>HYPERLINK("https://mobile.twitter.com","Twitter Web App")</f>
        <v>Twitter Web App</v>
      </c>
      <c r="L1665" s="15">
        <v>89.0</v>
      </c>
      <c r="M1665" s="15">
        <v>188.0</v>
      </c>
      <c r="N1665" s="15">
        <v>0.0</v>
      </c>
      <c r="O1665" s="16"/>
      <c r="P1665" s="17">
        <v>43836.77510416666</v>
      </c>
      <c r="Q1665" s="10" t="s">
        <v>505</v>
      </c>
      <c r="R1665" s="10" t="s">
        <v>7251</v>
      </c>
      <c r="S1665" s="13"/>
      <c r="T1665" s="13"/>
      <c r="U1665" s="18" t="str">
        <f>HYPERLINK("https://pbs.twimg.com/profile_images/1214332205566242816/09RQ3ZAo.jpg","View")</f>
        <v>View</v>
      </c>
      <c r="V1665" s="13"/>
      <c r="W1665" s="13"/>
      <c r="X1665" s="13"/>
      <c r="Y1665" s="13"/>
      <c r="Z1665" s="13"/>
    </row>
    <row r="1666">
      <c r="A1666" s="8">
        <v>43848.3425</v>
      </c>
      <c r="B1666" s="9" t="str">
        <f>HYPERLINK("https://twitter.com/g_balesh","@g_balesh")</f>
        <v>@g_balesh</v>
      </c>
      <c r="C1666" s="10" t="s">
        <v>5058</v>
      </c>
      <c r="D1666" s="10" t="s">
        <v>2354</v>
      </c>
      <c r="E1666" s="9" t="str">
        <f>HYPERLINK("https://twitter.com/g_balesh/status/1218521723483688960","1218521723483688960")</f>
        <v>1218521723483688960</v>
      </c>
      <c r="F1666" s="13"/>
      <c r="G1666" s="11" t="s">
        <v>7252</v>
      </c>
      <c r="H1666" s="13"/>
      <c r="I1666" s="14">
        <v>2.0</v>
      </c>
      <c r="J1666" s="14">
        <v>2.0</v>
      </c>
      <c r="K1666" s="9" t="str">
        <f>HYPERLINK("https://crowdfireapp.com","Crowdfire App")</f>
        <v>Crowdfire App</v>
      </c>
      <c r="L1666" s="15">
        <v>281.0</v>
      </c>
      <c r="M1666" s="15">
        <v>689.0</v>
      </c>
      <c r="N1666" s="15">
        <v>3.0</v>
      </c>
      <c r="O1666" s="16"/>
      <c r="P1666" s="17">
        <v>40831.670428240745</v>
      </c>
      <c r="Q1666" s="10" t="s">
        <v>5060</v>
      </c>
      <c r="R1666" s="13"/>
      <c r="S1666" s="11" t="s">
        <v>5061</v>
      </c>
      <c r="T1666" s="13"/>
      <c r="U1666" s="18" t="str">
        <f>HYPERLINK("https://pbs.twimg.com/profile_images/597657796008513536/X4k5BQeN.jpg","View")</f>
        <v>View</v>
      </c>
      <c r="V1666" s="13"/>
      <c r="W1666" s="13"/>
      <c r="X1666" s="13"/>
      <c r="Y1666" s="13"/>
      <c r="Z1666" s="13"/>
    </row>
    <row r="1667">
      <c r="A1667" s="8">
        <v>43848.34237268519</v>
      </c>
      <c r="B1667" s="9" t="str">
        <f>HYPERLINK("https://twitter.com/laurynslaw","@laurynslaw")</f>
        <v>@laurynslaw</v>
      </c>
      <c r="C1667" s="10" t="s">
        <v>7253</v>
      </c>
      <c r="D1667" s="10" t="s">
        <v>7254</v>
      </c>
      <c r="E1667" s="9" t="str">
        <f>HYPERLINK("https://twitter.com/laurynslaw/status/1218521675320393728","1218521675320393728")</f>
        <v>1218521675320393728</v>
      </c>
      <c r="F1667" s="10" t="s">
        <v>7255</v>
      </c>
      <c r="G1667" s="13"/>
      <c r="H1667" s="13"/>
      <c r="I1667" s="14">
        <v>1.0</v>
      </c>
      <c r="J1667" s="14">
        <v>1.0</v>
      </c>
      <c r="K1667" s="9" t="str">
        <f>HYPERLINK("http://instagram.com","Instagram")</f>
        <v>Instagram</v>
      </c>
      <c r="L1667" s="15">
        <v>923.0</v>
      </c>
      <c r="M1667" s="15">
        <v>1548.0</v>
      </c>
      <c r="N1667" s="15">
        <v>16.0</v>
      </c>
      <c r="O1667" s="16"/>
      <c r="P1667" s="17">
        <v>40696.49836805556</v>
      </c>
      <c r="Q1667" s="10" t="s">
        <v>7256</v>
      </c>
      <c r="R1667" s="10" t="s">
        <v>7257</v>
      </c>
      <c r="S1667" s="11" t="s">
        <v>7258</v>
      </c>
      <c r="T1667" s="13"/>
      <c r="U1667" s="18" t="str">
        <f>HYPERLINK("https://pbs.twimg.com/profile_images/1068094378068054016/9tMw_Q3w.jpg","View")</f>
        <v>View</v>
      </c>
      <c r="V1667" s="13"/>
      <c r="W1667" s="13"/>
      <c r="X1667" s="13"/>
      <c r="Y1667" s="13"/>
      <c r="Z1667" s="13"/>
    </row>
    <row r="1668">
      <c r="A1668" s="8">
        <v>43848.34208333334</v>
      </c>
      <c r="B1668" s="9" t="str">
        <f>HYPERLINK("https://twitter.com/ncl_wellbeing","@ncl_wellbeing")</f>
        <v>@ncl_wellbeing</v>
      </c>
      <c r="C1668" s="10" t="s">
        <v>7259</v>
      </c>
      <c r="D1668" s="10" t="s">
        <v>7260</v>
      </c>
      <c r="E1668" s="9" t="str">
        <f>HYPERLINK("https://twitter.com/ncl_wellbeing/status/1218521574007103488","1218521574007103488")</f>
        <v>1218521574007103488</v>
      </c>
      <c r="F1668" s="11" t="s">
        <v>7261</v>
      </c>
      <c r="G1668" s="11" t="s">
        <v>7262</v>
      </c>
      <c r="H1668" s="13"/>
      <c r="I1668" s="14">
        <v>1.0</v>
      </c>
      <c r="J1668" s="14">
        <v>0.0</v>
      </c>
      <c r="K1668" s="9" t="str">
        <f>HYPERLINK("http://twitter.com/download/android","Twitter for Android")</f>
        <v>Twitter for Android</v>
      </c>
      <c r="L1668" s="15">
        <v>614.0</v>
      </c>
      <c r="M1668" s="15">
        <v>573.0</v>
      </c>
      <c r="N1668" s="15">
        <v>2.0</v>
      </c>
      <c r="O1668" s="16"/>
      <c r="P1668" s="17">
        <v>42858.23673611111</v>
      </c>
      <c r="Q1668" s="10" t="s">
        <v>2814</v>
      </c>
      <c r="R1668" s="10" t="s">
        <v>7263</v>
      </c>
      <c r="S1668" s="11" t="s">
        <v>7264</v>
      </c>
      <c r="T1668" s="13"/>
      <c r="U1668" s="18" t="str">
        <f>HYPERLINK("https://pbs.twimg.com/profile_images/1159466458604277767/L09Il320.jpg","View")</f>
        <v>View</v>
      </c>
      <c r="V1668" s="13"/>
      <c r="W1668" s="13"/>
      <c r="X1668" s="13"/>
      <c r="Y1668" s="13"/>
      <c r="Z1668" s="13"/>
    </row>
    <row r="1669">
      <c r="A1669" s="8">
        <v>43848.34114583333</v>
      </c>
      <c r="B1669" s="9" t="str">
        <f>HYPERLINK("https://twitter.com/NickGoldsmith10","@NickGoldsmith10")</f>
        <v>@NickGoldsmith10</v>
      </c>
      <c r="C1669" s="10" t="s">
        <v>7265</v>
      </c>
      <c r="D1669" s="10" t="s">
        <v>7266</v>
      </c>
      <c r="E1669" s="9" t="str">
        <f>HYPERLINK("https://twitter.com/NickGoldsmith10/status/1218521233341460480","1218521233341460480")</f>
        <v>1218521233341460480</v>
      </c>
      <c r="F1669" s="13"/>
      <c r="G1669" s="11" t="s">
        <v>7267</v>
      </c>
      <c r="H1669" s="13"/>
      <c r="I1669" s="14">
        <v>3.0</v>
      </c>
      <c r="J1669" s="14">
        <v>3.0</v>
      </c>
      <c r="K1669" s="9" t="str">
        <f>HYPERLINK("http://twitter.com/download/iphone","Twitter for iPhone")</f>
        <v>Twitter for iPhone</v>
      </c>
      <c r="L1669" s="15">
        <v>138.0</v>
      </c>
      <c r="M1669" s="15">
        <v>268.0</v>
      </c>
      <c r="N1669" s="15">
        <v>0.0</v>
      </c>
      <c r="O1669" s="16"/>
      <c r="P1669" s="17">
        <v>43808.57835648148</v>
      </c>
      <c r="Q1669" s="10" t="s">
        <v>7268</v>
      </c>
      <c r="R1669" s="10" t="s">
        <v>7269</v>
      </c>
      <c r="S1669" s="13"/>
      <c r="T1669" s="13"/>
      <c r="U1669" s="18" t="str">
        <f>HYPERLINK("https://pbs.twimg.com/profile_images/1204111961799221248/KtQUDCU_.jpg","View")</f>
        <v>View</v>
      </c>
      <c r="V1669" s="13"/>
      <c r="W1669" s="13"/>
      <c r="X1669" s="13"/>
      <c r="Y1669" s="13"/>
      <c r="Z1669" s="13"/>
    </row>
    <row r="1670">
      <c r="A1670" s="8">
        <v>43848.34103009259</v>
      </c>
      <c r="B1670" s="9" t="str">
        <f>HYPERLINK("https://twitter.com/curve_life","@curve_life")</f>
        <v>@curve_life</v>
      </c>
      <c r="C1670" s="10" t="s">
        <v>7270</v>
      </c>
      <c r="D1670" s="10" t="s">
        <v>7271</v>
      </c>
      <c r="E1670" s="9" t="str">
        <f>HYPERLINK("https://twitter.com/curve_life/status/1218521190257565697","1218521190257565697")</f>
        <v>1218521190257565697</v>
      </c>
      <c r="F1670" s="11" t="s">
        <v>7272</v>
      </c>
      <c r="G1670" s="11" t="s">
        <v>7273</v>
      </c>
      <c r="H1670" s="13"/>
      <c r="I1670" s="14">
        <v>1.0</v>
      </c>
      <c r="J1670" s="14">
        <v>1.0</v>
      </c>
      <c r="K1670" s="9" t="str">
        <f>HYPERLINK("https://www.heyorca.com","HeyOrca")</f>
        <v>HeyOrca</v>
      </c>
      <c r="L1670" s="15">
        <v>192.0</v>
      </c>
      <c r="M1670" s="15">
        <v>251.0</v>
      </c>
      <c r="N1670" s="15">
        <v>0.0</v>
      </c>
      <c r="O1670" s="16"/>
      <c r="P1670" s="17">
        <v>43424.31224537037</v>
      </c>
      <c r="Q1670" s="10" t="s">
        <v>1324</v>
      </c>
      <c r="R1670" s="10" t="s">
        <v>7274</v>
      </c>
      <c r="S1670" s="11" t="s">
        <v>7275</v>
      </c>
      <c r="T1670" s="13"/>
      <c r="U1670" s="18" t="str">
        <f>HYPERLINK("https://pbs.twimg.com/profile_images/1179675832643702784/9mGr_QzQ.png","View")</f>
        <v>View</v>
      </c>
      <c r="V1670" s="13"/>
      <c r="W1670" s="13"/>
      <c r="X1670" s="13"/>
      <c r="Y1670" s="13"/>
      <c r="Z1670" s="13"/>
    </row>
    <row r="1671">
      <c r="A1671" s="8">
        <v>43848.34032407407</v>
      </c>
      <c r="B1671" s="9" t="str">
        <f>HYPERLINK("https://twitter.com/DannyGautama","@DannyGautama")</f>
        <v>@DannyGautama</v>
      </c>
      <c r="C1671" s="10" t="s">
        <v>2919</v>
      </c>
      <c r="D1671" s="10" t="s">
        <v>7276</v>
      </c>
      <c r="E1671" s="9" t="str">
        <f>HYPERLINK("https://twitter.com/DannyGautama/status/1218520934614753280","1218520934614753280")</f>
        <v>1218520934614753280</v>
      </c>
      <c r="F1671" s="13"/>
      <c r="G1671" s="11" t="s">
        <v>7277</v>
      </c>
      <c r="H1671" s="13"/>
      <c r="I1671" s="14">
        <v>0.0</v>
      </c>
      <c r="J1671" s="14">
        <v>5.0</v>
      </c>
      <c r="K1671" s="9" t="str">
        <f>HYPERLINK("http://twitter.com/download/iphone","Twitter for iPhone")</f>
        <v>Twitter for iPhone</v>
      </c>
      <c r="L1671" s="15">
        <v>565.0</v>
      </c>
      <c r="M1671" s="15">
        <v>421.0</v>
      </c>
      <c r="N1671" s="15">
        <v>2.0</v>
      </c>
      <c r="O1671" s="16"/>
      <c r="P1671" s="17">
        <v>43706.59824074074</v>
      </c>
      <c r="Q1671" s="10" t="s">
        <v>63</v>
      </c>
      <c r="R1671" s="10" t="s">
        <v>2922</v>
      </c>
      <c r="S1671" s="13"/>
      <c r="T1671" s="13"/>
      <c r="U1671" s="18" t="str">
        <f>HYPERLINK("https://pbs.twimg.com/profile_images/1167169532445843460/t8kh07bv.jpg","View")</f>
        <v>View</v>
      </c>
      <c r="V1671" s="13"/>
      <c r="W1671" s="13"/>
      <c r="X1671" s="13"/>
      <c r="Y1671" s="13"/>
      <c r="Z1671" s="13"/>
    </row>
    <row r="1672">
      <c r="A1672" s="8">
        <v>43848.34028935185</v>
      </c>
      <c r="B1672" s="9" t="str">
        <f>HYPERLINK("https://twitter.com/ALimitedLife1","@ALimitedLife1")</f>
        <v>@ALimitedLife1</v>
      </c>
      <c r="C1672" s="10" t="s">
        <v>5573</v>
      </c>
      <c r="D1672" s="10" t="s">
        <v>7278</v>
      </c>
      <c r="E1672" s="9" t="str">
        <f>HYPERLINK("https://twitter.com/ALimitedLife1/status/1218520921599873025","1218520921599873025")</f>
        <v>1218520921599873025</v>
      </c>
      <c r="F1672" s="11" t="s">
        <v>7279</v>
      </c>
      <c r="G1672" s="13"/>
      <c r="H1672" s="13"/>
      <c r="I1672" s="14">
        <v>2.0</v>
      </c>
      <c r="J1672" s="14">
        <v>3.0</v>
      </c>
      <c r="K1672" s="9" t="str">
        <f>HYPERLINK("http://twitter.com/download/android","Twitter for Android")</f>
        <v>Twitter for Android</v>
      </c>
      <c r="L1672" s="15">
        <v>10.0</v>
      </c>
      <c r="M1672" s="15">
        <v>15.0</v>
      </c>
      <c r="N1672" s="15">
        <v>0.0</v>
      </c>
      <c r="O1672" s="16"/>
      <c r="P1672" s="17">
        <v>43742.320231481484</v>
      </c>
      <c r="Q1672" s="13"/>
      <c r="R1672" s="10" t="s">
        <v>5576</v>
      </c>
      <c r="S1672" s="13"/>
      <c r="T1672" s="13"/>
      <c r="U1672" s="18" t="str">
        <f>HYPERLINK("https://pbs.twimg.com/profile_images/1180086609024294912/p67W0Gr6.jpg","View")</f>
        <v>View</v>
      </c>
      <c r="V1672" s="13"/>
      <c r="W1672" s="13"/>
      <c r="X1672" s="13"/>
      <c r="Y1672" s="13"/>
      <c r="Z1672" s="13"/>
    </row>
    <row r="1673">
      <c r="A1673" s="8">
        <v>43848.338900462964</v>
      </c>
      <c r="B1673" s="9" t="str">
        <f>HYPERLINK("https://twitter.com/Karlos_Int","@Karlos_Int")</f>
        <v>@Karlos_Int</v>
      </c>
      <c r="C1673" s="10" t="s">
        <v>7280</v>
      </c>
      <c r="D1673" s="10" t="s">
        <v>7281</v>
      </c>
      <c r="E1673" s="9" t="str">
        <f>HYPERLINK("https://twitter.com/Karlos_Int/status/1218520416941154304","1218520416941154304")</f>
        <v>1218520416941154304</v>
      </c>
      <c r="F1673" s="13"/>
      <c r="G1673" s="13"/>
      <c r="H1673" s="13"/>
      <c r="I1673" s="14">
        <v>0.0</v>
      </c>
      <c r="J1673" s="14">
        <v>0.0</v>
      </c>
      <c r="K1673" s="9" t="str">
        <f>HYPERLINK("https://buffer.com","Buffer")</f>
        <v>Buffer</v>
      </c>
      <c r="L1673" s="15">
        <v>1060.0</v>
      </c>
      <c r="M1673" s="15">
        <v>1109.0</v>
      </c>
      <c r="N1673" s="15">
        <v>3.0</v>
      </c>
      <c r="O1673" s="16"/>
      <c r="P1673" s="17">
        <v>43367.414305555554</v>
      </c>
      <c r="Q1673" s="10" t="s">
        <v>95</v>
      </c>
      <c r="R1673" s="10" t="s">
        <v>7282</v>
      </c>
      <c r="S1673" s="11" t="s">
        <v>7283</v>
      </c>
      <c r="T1673" s="13"/>
      <c r="U1673" s="18" t="str">
        <f>HYPERLINK("https://pbs.twimg.com/profile_images/1057262795421609985/LeWsmWBw.jpg","View")</f>
        <v>View</v>
      </c>
      <c r="V1673" s="13"/>
      <c r="W1673" s="13"/>
      <c r="X1673" s="13"/>
      <c r="Y1673" s="13"/>
      <c r="Z1673" s="13"/>
    </row>
    <row r="1674">
      <c r="A1674" s="8">
        <v>43848.33828703704</v>
      </c>
      <c r="B1674" s="9" t="str">
        <f>HYPERLINK("https://twitter.com/drpatfarrell","@drpatfarrell")</f>
        <v>@drpatfarrell</v>
      </c>
      <c r="C1674" s="10" t="s">
        <v>5874</v>
      </c>
      <c r="D1674" s="10" t="s">
        <v>7284</v>
      </c>
      <c r="E1674" s="9" t="str">
        <f>HYPERLINK("https://twitter.com/drpatfarrell/status/1218520195565805568","1218520195565805568")</f>
        <v>1218520195565805568</v>
      </c>
      <c r="F1674" s="11" t="s">
        <v>7285</v>
      </c>
      <c r="G1674" s="13"/>
      <c r="H1674" s="13"/>
      <c r="I1674" s="14">
        <v>0.0</v>
      </c>
      <c r="J1674" s="14">
        <v>0.0</v>
      </c>
      <c r="K1674" s="9" t="str">
        <f>HYPERLINK("http://twitter.com","Twitter Web Client")</f>
        <v>Twitter Web Client</v>
      </c>
      <c r="L1674" s="15">
        <v>10002.0</v>
      </c>
      <c r="M1674" s="15">
        <v>11070.0</v>
      </c>
      <c r="N1674" s="15">
        <v>502.0</v>
      </c>
      <c r="O1674" s="16"/>
      <c r="P1674" s="17">
        <v>39959.523981481485</v>
      </c>
      <c r="Q1674" s="10" t="s">
        <v>24</v>
      </c>
      <c r="R1674" s="10" t="s">
        <v>5876</v>
      </c>
      <c r="S1674" s="13"/>
      <c r="T1674" s="13"/>
      <c r="U1674" s="18" t="str">
        <f>HYPERLINK("https://pbs.twimg.com/profile_images/1193120866508460037/t81e5U_H.jpg","View")</f>
        <v>View</v>
      </c>
      <c r="V1674" s="13"/>
      <c r="W1674" s="13"/>
      <c r="X1674" s="13"/>
      <c r="Y1674" s="13"/>
      <c r="Z1674" s="13"/>
    </row>
    <row r="1675">
      <c r="A1675" s="8">
        <v>43848.33798611111</v>
      </c>
      <c r="B1675" s="9" t="str">
        <f>HYPERLINK("https://twitter.com/anasbubu","@anasbubu")</f>
        <v>@anasbubu</v>
      </c>
      <c r="C1675" s="10" t="s">
        <v>7286</v>
      </c>
      <c r="D1675" s="10" t="s">
        <v>7287</v>
      </c>
      <c r="E1675" s="9" t="str">
        <f>HYPERLINK("https://twitter.com/anasbubu/status/1218520089021960195","1218520089021960195")</f>
        <v>1218520089021960195</v>
      </c>
      <c r="F1675" s="11" t="s">
        <v>7288</v>
      </c>
      <c r="G1675" s="13"/>
      <c r="H1675" s="13"/>
      <c r="I1675" s="14">
        <v>0.0</v>
      </c>
      <c r="J1675" s="14">
        <v>0.0</v>
      </c>
      <c r="K1675" s="9" t="str">
        <f>HYPERLINK("http://instagram.com","Instagram")</f>
        <v>Instagram</v>
      </c>
      <c r="L1675" s="15">
        <v>895.0</v>
      </c>
      <c r="M1675" s="15">
        <v>2075.0</v>
      </c>
      <c r="N1675" s="15">
        <v>16.0</v>
      </c>
      <c r="O1675" s="16"/>
      <c r="P1675" s="17">
        <v>40360.04006944445</v>
      </c>
      <c r="Q1675" s="13"/>
      <c r="R1675" s="10" t="s">
        <v>7289</v>
      </c>
      <c r="S1675" s="11" t="s">
        <v>7290</v>
      </c>
      <c r="T1675" s="13"/>
      <c r="U1675" s="18" t="str">
        <f>HYPERLINK("https://pbs.twimg.com/profile_images/924861492263972864/jK4hAMQu.jpg","View")</f>
        <v>View</v>
      </c>
      <c r="V1675" s="13"/>
      <c r="W1675" s="13"/>
      <c r="X1675" s="13"/>
      <c r="Y1675" s="13"/>
      <c r="Z1675" s="13"/>
    </row>
    <row r="1676">
      <c r="A1676" s="8">
        <v>43848.337951388894</v>
      </c>
      <c r="B1676" s="9" t="str">
        <f>HYPERLINK("https://twitter.com/drpatfarrell","@drpatfarrell")</f>
        <v>@drpatfarrell</v>
      </c>
      <c r="C1676" s="10" t="s">
        <v>5874</v>
      </c>
      <c r="D1676" s="10" t="s">
        <v>7291</v>
      </c>
      <c r="E1676" s="9" t="str">
        <f>HYPERLINK("https://twitter.com/drpatfarrell/status/1218520076070129665","1218520076070129665")</f>
        <v>1218520076070129665</v>
      </c>
      <c r="F1676" s="11" t="s">
        <v>7292</v>
      </c>
      <c r="G1676" s="13"/>
      <c r="H1676" s="13"/>
      <c r="I1676" s="14">
        <v>0.0</v>
      </c>
      <c r="J1676" s="14">
        <v>0.0</v>
      </c>
      <c r="K1676" s="9" t="str">
        <f>HYPERLINK("http://twitter.com","Twitter Web Client")</f>
        <v>Twitter Web Client</v>
      </c>
      <c r="L1676" s="15">
        <v>10002.0</v>
      </c>
      <c r="M1676" s="15">
        <v>11070.0</v>
      </c>
      <c r="N1676" s="15">
        <v>502.0</v>
      </c>
      <c r="O1676" s="16"/>
      <c r="P1676" s="17">
        <v>39959.523981481485</v>
      </c>
      <c r="Q1676" s="10" t="s">
        <v>24</v>
      </c>
      <c r="R1676" s="10" t="s">
        <v>5876</v>
      </c>
      <c r="S1676" s="13"/>
      <c r="T1676" s="13"/>
      <c r="U1676" s="18" t="str">
        <f>HYPERLINK("https://pbs.twimg.com/profile_images/1193120866508460037/t81e5U_H.jpg","View")</f>
        <v>View</v>
      </c>
      <c r="V1676" s="13"/>
      <c r="W1676" s="13"/>
      <c r="X1676" s="13"/>
      <c r="Y1676" s="13"/>
      <c r="Z1676" s="13"/>
    </row>
    <row r="1677">
      <c r="A1677" s="8">
        <v>43848.33716435185</v>
      </c>
      <c r="B1677" s="9" t="str">
        <f>HYPERLINK("https://twitter.com/vidyavish","@vidyavish")</f>
        <v>@vidyavish</v>
      </c>
      <c r="C1677" s="10" t="s">
        <v>7293</v>
      </c>
      <c r="D1677" s="10" t="s">
        <v>238</v>
      </c>
      <c r="E1677" s="9" t="str">
        <f>HYPERLINK("https://twitter.com/vidyavish/status/1218519790677045248","1218519790677045248")</f>
        <v>1218519790677045248</v>
      </c>
      <c r="F1677" s="13"/>
      <c r="G1677" s="13"/>
      <c r="H1677" s="13"/>
      <c r="I1677" s="14">
        <v>0.0</v>
      </c>
      <c r="J1677" s="14">
        <v>0.0</v>
      </c>
      <c r="K1677" s="9" t="str">
        <f>HYPERLINK("https://mobile.twitter.com","Twitter Web App")</f>
        <v>Twitter Web App</v>
      </c>
      <c r="L1677" s="15">
        <v>60.0</v>
      </c>
      <c r="M1677" s="15">
        <v>1233.0</v>
      </c>
      <c r="N1677" s="15">
        <v>0.0</v>
      </c>
      <c r="O1677" s="16"/>
      <c r="P1677" s="17">
        <v>40021.036516203705</v>
      </c>
      <c r="Q1677" s="13"/>
      <c r="R1677" s="13"/>
      <c r="S1677" s="13"/>
      <c r="T1677" s="13"/>
      <c r="U1677" s="21" t="s">
        <v>292</v>
      </c>
      <c r="V1677" s="13"/>
      <c r="W1677" s="13"/>
      <c r="X1677" s="13"/>
      <c r="Y1677" s="13"/>
      <c r="Z1677" s="13"/>
    </row>
    <row r="1678">
      <c r="A1678" s="8">
        <v>43848.33587962963</v>
      </c>
      <c r="B1678" s="9" t="str">
        <f>HYPERLINK("https://twitter.com/SparlinSTL","@SparlinSTL")</f>
        <v>@SparlinSTL</v>
      </c>
      <c r="C1678" s="10" t="s">
        <v>7294</v>
      </c>
      <c r="D1678" s="10" t="s">
        <v>7295</v>
      </c>
      <c r="E1678" s="9" t="str">
        <f>HYPERLINK("https://twitter.com/SparlinSTL/status/1218519323993571328","1218519323993571328")</f>
        <v>1218519323993571328</v>
      </c>
      <c r="F1678" s="11" t="s">
        <v>7296</v>
      </c>
      <c r="G1678" s="11" t="s">
        <v>7297</v>
      </c>
      <c r="H1678" s="13"/>
      <c r="I1678" s="14">
        <v>1.0</v>
      </c>
      <c r="J1678" s="14">
        <v>1.0</v>
      </c>
      <c r="K1678" s="9" t="str">
        <f>HYPERLINK("https://www.socialreport.com","SocialReport.com")</f>
        <v>SocialReport.com</v>
      </c>
      <c r="L1678" s="15">
        <v>51.0</v>
      </c>
      <c r="M1678" s="15">
        <v>115.0</v>
      </c>
      <c r="N1678" s="15">
        <v>0.0</v>
      </c>
      <c r="O1678" s="16"/>
      <c r="P1678" s="17">
        <v>43011.66599537037</v>
      </c>
      <c r="Q1678" s="10" t="s">
        <v>1774</v>
      </c>
      <c r="R1678" s="10" t="s">
        <v>7298</v>
      </c>
      <c r="S1678" s="11" t="s">
        <v>7299</v>
      </c>
      <c r="T1678" s="13"/>
      <c r="U1678" s="18" t="str">
        <f>HYPERLINK("https://pbs.twimg.com/profile_images/1133799870115078145/tjbxMBZ7.png","View")</f>
        <v>View</v>
      </c>
      <c r="V1678" s="13"/>
      <c r="W1678" s="13"/>
      <c r="X1678" s="13"/>
      <c r="Y1678" s="13"/>
      <c r="Z1678" s="13"/>
    </row>
    <row r="1679">
      <c r="A1679" s="8">
        <v>43848.33577546296</v>
      </c>
      <c r="B1679" s="9" t="str">
        <f>HYPERLINK("https://twitter.com/Dancing_atoms","@Dancing_atoms")</f>
        <v>@Dancing_atoms</v>
      </c>
      <c r="C1679" s="10" t="s">
        <v>7300</v>
      </c>
      <c r="D1679" s="10" t="s">
        <v>7301</v>
      </c>
      <c r="E1679" s="9" t="str">
        <f>HYPERLINK("https://twitter.com/Dancing_atoms/status/1218519285842227205","1218519285842227205")</f>
        <v>1218519285842227205</v>
      </c>
      <c r="F1679" s="13"/>
      <c r="G1679" s="11" t="s">
        <v>7302</v>
      </c>
      <c r="H1679" s="13"/>
      <c r="I1679" s="14">
        <v>0.0</v>
      </c>
      <c r="J1679" s="14">
        <v>0.0</v>
      </c>
      <c r="K1679" s="9" t="str">
        <f>HYPERLINK("http://twitter.com/download/android","Twitter for Android")</f>
        <v>Twitter for Android</v>
      </c>
      <c r="L1679" s="15">
        <v>52.0</v>
      </c>
      <c r="M1679" s="15">
        <v>229.0</v>
      </c>
      <c r="N1679" s="15">
        <v>2.0</v>
      </c>
      <c r="O1679" s="16"/>
      <c r="P1679" s="17">
        <v>42636.72841435185</v>
      </c>
      <c r="Q1679" s="10" t="s">
        <v>4115</v>
      </c>
      <c r="R1679" s="10" t="s">
        <v>7303</v>
      </c>
      <c r="S1679" s="13"/>
      <c r="T1679" s="13"/>
      <c r="U1679" s="18" t="str">
        <f>HYPERLINK("https://pbs.twimg.com/profile_images/1217600924971159558/G4J5yC6e.jpg","View")</f>
        <v>View</v>
      </c>
      <c r="V1679" s="13"/>
      <c r="W1679" s="13"/>
      <c r="X1679" s="13"/>
      <c r="Y1679" s="13"/>
      <c r="Z1679" s="13"/>
    </row>
    <row r="1680">
      <c r="A1680" s="8">
        <v>43848.334861111114</v>
      </c>
      <c r="B1680" s="9" t="str">
        <f>HYPERLINK("https://twitter.com/Coalesce_Groups","@Coalesce_Groups")</f>
        <v>@Coalesce_Groups</v>
      </c>
      <c r="C1680" s="10" t="s">
        <v>7304</v>
      </c>
      <c r="D1680" s="10" t="s">
        <v>7305</v>
      </c>
      <c r="E1680" s="9" t="str">
        <f>HYPERLINK("https://twitter.com/Coalesce_Groups/status/1218518956023009281","1218518956023009281")</f>
        <v>1218518956023009281</v>
      </c>
      <c r="F1680" s="13"/>
      <c r="G1680" s="11" t="s">
        <v>7306</v>
      </c>
      <c r="H1680" s="13"/>
      <c r="I1680" s="14">
        <v>0.0</v>
      </c>
      <c r="J1680" s="14">
        <v>0.0</v>
      </c>
      <c r="K1680" s="9" t="str">
        <f>HYPERLINK("https://mobile.twitter.com","Twitter Web App")</f>
        <v>Twitter Web App</v>
      </c>
      <c r="L1680" s="15">
        <v>36.0</v>
      </c>
      <c r="M1680" s="15">
        <v>222.0</v>
      </c>
      <c r="N1680" s="15">
        <v>0.0</v>
      </c>
      <c r="O1680" s="16"/>
      <c r="P1680" s="17">
        <v>43529.55719907407</v>
      </c>
      <c r="Q1680" s="10" t="s">
        <v>266</v>
      </c>
      <c r="R1680" s="10" t="s">
        <v>7307</v>
      </c>
      <c r="S1680" s="11" t="s">
        <v>7308</v>
      </c>
      <c r="T1680" s="13"/>
      <c r="U1680" s="18" t="str">
        <f>HYPERLINK("https://pbs.twimg.com/profile_images/1102998155451338752/rRTPA3i3.jpg","View")</f>
        <v>View</v>
      </c>
      <c r="V1680" s="13"/>
      <c r="W1680" s="13"/>
      <c r="X1680" s="13"/>
      <c r="Y1680" s="13"/>
      <c r="Z1680" s="13"/>
    </row>
    <row r="1681">
      <c r="A1681" s="8">
        <v>43848.334490740745</v>
      </c>
      <c r="B1681" s="9" t="str">
        <f>HYPERLINK("https://twitter.com/ray_4_peace","@ray_4_peace")</f>
        <v>@ray_4_peace</v>
      </c>
      <c r="C1681" s="10" t="s">
        <v>7309</v>
      </c>
      <c r="D1681" s="10" t="s">
        <v>7310</v>
      </c>
      <c r="E1681" s="9" t="str">
        <f>HYPERLINK("https://twitter.com/ray_4_peace/status/1218518820291317761","1218518820291317761")</f>
        <v>1218518820291317761</v>
      </c>
      <c r="F1681" s="13"/>
      <c r="G1681" s="11" t="s">
        <v>7311</v>
      </c>
      <c r="H1681" s="13"/>
      <c r="I1681" s="14">
        <v>1.0</v>
      </c>
      <c r="J1681" s="14">
        <v>0.0</v>
      </c>
      <c r="K1681" s="9" t="str">
        <f>HYPERLINK("http://twitter.com/download/iphone","Twitter for iPhone")</f>
        <v>Twitter for iPhone</v>
      </c>
      <c r="L1681" s="15">
        <v>288.0</v>
      </c>
      <c r="M1681" s="15">
        <v>281.0</v>
      </c>
      <c r="N1681" s="15">
        <v>39.0</v>
      </c>
      <c r="O1681" s="16"/>
      <c r="P1681" s="17">
        <v>40764.74125</v>
      </c>
      <c r="Q1681" s="10" t="s">
        <v>7312</v>
      </c>
      <c r="R1681" s="10" t="s">
        <v>7313</v>
      </c>
      <c r="S1681" s="11" t="s">
        <v>7314</v>
      </c>
      <c r="T1681" s="13"/>
      <c r="U1681" s="18" t="str">
        <f>HYPERLINK("https://pbs.twimg.com/profile_images/908824911644385280/DGJxjU-v.jpg","View")</f>
        <v>View</v>
      </c>
      <c r="V1681" s="13"/>
      <c r="W1681" s="13"/>
      <c r="X1681" s="13"/>
      <c r="Y1681" s="13"/>
      <c r="Z1681" s="13"/>
    </row>
    <row r="1682">
      <c r="A1682" s="8">
        <v>43848.33416666667</v>
      </c>
      <c r="B1682" s="9" t="str">
        <f>HYPERLINK("https://twitter.com/CaregivingSpeak","@CaregivingSpeak")</f>
        <v>@CaregivingSpeak</v>
      </c>
      <c r="C1682" s="10" t="s">
        <v>7315</v>
      </c>
      <c r="D1682" s="10" t="s">
        <v>7316</v>
      </c>
      <c r="E1682" s="9" t="str">
        <f>HYPERLINK("https://twitter.com/CaregivingSpeak/status/1218518703723241472","1218518703723241472")</f>
        <v>1218518703723241472</v>
      </c>
      <c r="F1682" s="11" t="s">
        <v>7317</v>
      </c>
      <c r="G1682" s="11" t="s">
        <v>7318</v>
      </c>
      <c r="H1682" s="13"/>
      <c r="I1682" s="14">
        <v>0.0</v>
      </c>
      <c r="J1682" s="14">
        <v>2.0</v>
      </c>
      <c r="K1682" s="9" t="str">
        <f>HYPERLINK("https://www.hootsuite.com","Hootsuite Inc.")</f>
        <v>Hootsuite Inc.</v>
      </c>
      <c r="L1682" s="15">
        <v>453.0</v>
      </c>
      <c r="M1682" s="15">
        <v>1018.0</v>
      </c>
      <c r="N1682" s="15">
        <v>13.0</v>
      </c>
      <c r="O1682" s="16"/>
      <c r="P1682" s="17">
        <v>39649.41150462963</v>
      </c>
      <c r="Q1682" s="10" t="s">
        <v>7319</v>
      </c>
      <c r="R1682" s="10" t="s">
        <v>7320</v>
      </c>
      <c r="S1682" s="11" t="s">
        <v>7321</v>
      </c>
      <c r="T1682" s="13"/>
      <c r="U1682" s="18" t="str">
        <f>HYPERLINK("https://pbs.twimg.com/profile_images/378800000620147097/4e5c3f629efdba0e8a72e0f961067420.jpeg","View")</f>
        <v>View</v>
      </c>
      <c r="V1682" s="13"/>
      <c r="W1682" s="13"/>
      <c r="X1682" s="13"/>
      <c r="Y1682" s="13"/>
      <c r="Z1682" s="13"/>
    </row>
    <row r="1683">
      <c r="A1683" s="8">
        <v>43848.334131944444</v>
      </c>
      <c r="B1683" s="9" t="str">
        <f>HYPERLINK("https://twitter.com/chasingjadenh","@chasingjadenh")</f>
        <v>@chasingjadenh</v>
      </c>
      <c r="C1683" s="10" t="s">
        <v>7322</v>
      </c>
      <c r="D1683" s="10" t="s">
        <v>7323</v>
      </c>
      <c r="E1683" s="9" t="str">
        <f>HYPERLINK("https://twitter.com/chasingjadenh/status/1218518689328369664","1218518689328369664")</f>
        <v>1218518689328369664</v>
      </c>
      <c r="F1683" s="13"/>
      <c r="G1683" s="11" t="s">
        <v>7324</v>
      </c>
      <c r="H1683" s="13"/>
      <c r="I1683" s="14">
        <v>0.0</v>
      </c>
      <c r="J1683" s="14">
        <v>0.0</v>
      </c>
      <c r="K1683" s="9" t="str">
        <f>HYPERLINK("https://www.later.com","LaterMedia")</f>
        <v>LaterMedia</v>
      </c>
      <c r="L1683" s="15">
        <v>11.0</v>
      </c>
      <c r="M1683" s="15">
        <v>25.0</v>
      </c>
      <c r="N1683" s="15">
        <v>0.0</v>
      </c>
      <c r="O1683" s="16"/>
      <c r="P1683" s="17">
        <v>43295.608090277776</v>
      </c>
      <c r="Q1683" s="10" t="s">
        <v>7325</v>
      </c>
      <c r="R1683" s="10" t="s">
        <v>7326</v>
      </c>
      <c r="S1683" s="11" t="s">
        <v>7327</v>
      </c>
      <c r="T1683" s="13"/>
      <c r="U1683" s="18" t="str">
        <f>HYPERLINK("https://pbs.twimg.com/profile_images/1018203769018826752/C55sEXqI.jpg","View")</f>
        <v>View</v>
      </c>
      <c r="V1683" s="13"/>
      <c r="W1683" s="13"/>
      <c r="X1683" s="13"/>
      <c r="Y1683" s="13"/>
      <c r="Z1683" s="13"/>
    </row>
    <row r="1684">
      <c r="A1684" s="8">
        <v>43848.33399305555</v>
      </c>
      <c r="B1684" s="9" t="str">
        <f>HYPERLINK("https://twitter.com/MH_Stories_","@MH_Stories_")</f>
        <v>@MH_Stories_</v>
      </c>
      <c r="C1684" s="10" t="s">
        <v>7328</v>
      </c>
      <c r="D1684" s="22" t="s">
        <v>7329</v>
      </c>
      <c r="E1684" s="9" t="str">
        <f>HYPERLINK("https://twitter.com/MH_Stories_/status/1218518640745644032","1218518640745644032")</f>
        <v>1218518640745644032</v>
      </c>
      <c r="F1684" s="11" t="s">
        <v>7330</v>
      </c>
      <c r="G1684" s="13"/>
      <c r="H1684" s="13"/>
      <c r="I1684" s="14">
        <v>0.0</v>
      </c>
      <c r="J1684" s="14">
        <v>3.0</v>
      </c>
      <c r="K1684" s="9" t="str">
        <f t="shared" ref="K1684:K1685" si="205">HYPERLINK("https://www.hootsuite.com","Hootsuite Inc.")</f>
        <v>Hootsuite Inc.</v>
      </c>
      <c r="L1684" s="15">
        <v>2477.0</v>
      </c>
      <c r="M1684" s="15">
        <v>88.0</v>
      </c>
      <c r="N1684" s="15">
        <v>49.0</v>
      </c>
      <c r="O1684" s="16"/>
      <c r="P1684" s="17">
        <v>42619.26368055555</v>
      </c>
      <c r="Q1684" s="13"/>
      <c r="R1684" s="10" t="s">
        <v>7331</v>
      </c>
      <c r="S1684" s="11" t="s">
        <v>7332</v>
      </c>
      <c r="T1684" s="13"/>
      <c r="U1684" s="18" t="str">
        <f>HYPERLINK("https://pbs.twimg.com/profile_images/1119971741781123072/pnEETYX7.jpg","View")</f>
        <v>View</v>
      </c>
      <c r="V1684" s="13"/>
      <c r="W1684" s="13"/>
      <c r="X1684" s="13"/>
      <c r="Y1684" s="13"/>
      <c r="Z1684" s="13"/>
    </row>
    <row r="1685">
      <c r="A1685" s="8">
        <v>43848.33395833333</v>
      </c>
      <c r="B1685" s="9" t="str">
        <f>HYPERLINK("https://twitter.com/edynathan1","@edynathan1")</f>
        <v>@edynathan1</v>
      </c>
      <c r="C1685" s="10" t="s">
        <v>7333</v>
      </c>
      <c r="D1685" s="10" t="s">
        <v>7334</v>
      </c>
      <c r="E1685" s="9" t="str">
        <f>HYPERLINK("https://twitter.com/edynathan1/status/1218518626149552128","1218518626149552128")</f>
        <v>1218518626149552128</v>
      </c>
      <c r="F1685" s="11" t="s">
        <v>7335</v>
      </c>
      <c r="G1685" s="11" t="s">
        <v>7336</v>
      </c>
      <c r="H1685" s="13"/>
      <c r="I1685" s="14">
        <v>0.0</v>
      </c>
      <c r="J1685" s="14">
        <v>0.0</v>
      </c>
      <c r="K1685" s="9" t="str">
        <f t="shared" si="205"/>
        <v>Hootsuite Inc.</v>
      </c>
      <c r="L1685" s="15">
        <v>1719.0</v>
      </c>
      <c r="M1685" s="15">
        <v>984.0</v>
      </c>
      <c r="N1685" s="15">
        <v>63.0</v>
      </c>
      <c r="O1685" s="16"/>
      <c r="P1685" s="17">
        <v>40184.54211805556</v>
      </c>
      <c r="Q1685" s="10" t="s">
        <v>3998</v>
      </c>
      <c r="R1685" s="10" t="s">
        <v>7337</v>
      </c>
      <c r="S1685" s="11" t="s">
        <v>7338</v>
      </c>
      <c r="T1685" s="13"/>
      <c r="U1685" s="18" t="str">
        <f>HYPERLINK("https://pbs.twimg.com/profile_images/997883145214218241/aJxC-fhT.jpg","View")</f>
        <v>View</v>
      </c>
      <c r="V1685" s="13"/>
      <c r="W1685" s="13"/>
      <c r="X1685" s="13"/>
      <c r="Y1685" s="13"/>
      <c r="Z1685" s="13"/>
    </row>
    <row r="1686">
      <c r="A1686" s="8">
        <v>43848.33390046297</v>
      </c>
      <c r="B1686" s="9" t="str">
        <f>HYPERLINK("https://twitter.com/zwilharm","@zwilharm")</f>
        <v>@zwilharm</v>
      </c>
      <c r="C1686" s="10" t="s">
        <v>7339</v>
      </c>
      <c r="D1686" s="10" t="s">
        <v>7340</v>
      </c>
      <c r="E1686" s="9" t="str">
        <f>HYPERLINK("https://twitter.com/zwilharm/status/1218518608848072704","1218518608848072704")</f>
        <v>1218518608848072704</v>
      </c>
      <c r="F1686" s="13"/>
      <c r="G1686" s="13"/>
      <c r="H1686" s="13"/>
      <c r="I1686" s="14">
        <v>0.0</v>
      </c>
      <c r="J1686" s="14">
        <v>0.0</v>
      </c>
      <c r="K1686" s="9" t="str">
        <f t="shared" ref="K1686:K1687" si="206">HYPERLINK("http://twitter.com/download/android","Twitter for Android")</f>
        <v>Twitter for Android</v>
      </c>
      <c r="L1686" s="15">
        <v>8.0</v>
      </c>
      <c r="M1686" s="15">
        <v>135.0</v>
      </c>
      <c r="N1686" s="15">
        <v>0.0</v>
      </c>
      <c r="O1686" s="16"/>
      <c r="P1686" s="17">
        <v>43753.39606481481</v>
      </c>
      <c r="Q1686" s="10" t="s">
        <v>590</v>
      </c>
      <c r="R1686" s="10" t="s">
        <v>7341</v>
      </c>
      <c r="S1686" s="13"/>
      <c r="T1686" s="13"/>
      <c r="U1686" s="18" t="str">
        <f>HYPERLINK("https://pbs.twimg.com/profile_images/1213348607128195072/Eh6_mnBy.jpg","View")</f>
        <v>View</v>
      </c>
      <c r="V1686" s="13"/>
      <c r="W1686" s="13"/>
      <c r="X1686" s="13"/>
      <c r="Y1686" s="13"/>
      <c r="Z1686" s="13"/>
    </row>
    <row r="1687">
      <c r="A1687" s="8">
        <v>43848.333773148144</v>
      </c>
      <c r="B1687" s="9" t="str">
        <f>HYPERLINK("https://twitter.com/seedingtobuild","@seedingtobuild")</f>
        <v>@seedingtobuild</v>
      </c>
      <c r="C1687" s="10" t="s">
        <v>7342</v>
      </c>
      <c r="D1687" s="10" t="s">
        <v>7343</v>
      </c>
      <c r="E1687" s="9" t="str">
        <f>HYPERLINK("https://twitter.com/seedingtobuild/status/1218518559854399494","1218518559854399494")</f>
        <v>1218518559854399494</v>
      </c>
      <c r="F1687" s="11" t="s">
        <v>7344</v>
      </c>
      <c r="G1687" s="13"/>
      <c r="H1687" s="13"/>
      <c r="I1687" s="14">
        <v>0.0</v>
      </c>
      <c r="J1687" s="14">
        <v>1.0</v>
      </c>
      <c r="K1687" s="9" t="str">
        <f t="shared" si="206"/>
        <v>Twitter for Android</v>
      </c>
      <c r="L1687" s="15">
        <v>474.0</v>
      </c>
      <c r="M1687" s="15">
        <v>353.0</v>
      </c>
      <c r="N1687" s="15">
        <v>18.0</v>
      </c>
      <c r="O1687" s="16"/>
      <c r="P1687" s="17">
        <v>40375.06579861111</v>
      </c>
      <c r="Q1687" s="10" t="s">
        <v>7345</v>
      </c>
      <c r="R1687" s="10" t="s">
        <v>7346</v>
      </c>
      <c r="S1687" s="11" t="s">
        <v>7347</v>
      </c>
      <c r="T1687" s="13"/>
      <c r="U1687" s="18" t="str">
        <f>HYPERLINK("https://pbs.twimg.com/profile_images/945158898415292416/1nn0XMtQ.jpg","View")</f>
        <v>View</v>
      </c>
      <c r="V1687" s="13"/>
      <c r="W1687" s="13"/>
      <c r="X1687" s="13"/>
      <c r="Y1687" s="13"/>
      <c r="Z1687" s="13"/>
    </row>
    <row r="1688">
      <c r="A1688" s="8">
        <v>43848.33372685185</v>
      </c>
      <c r="B1688" s="9" t="str">
        <f>HYPERLINK("https://twitter.com/Educ_Technology","@Educ_Technology")</f>
        <v>@Educ_Technology</v>
      </c>
      <c r="C1688" s="10" t="s">
        <v>7348</v>
      </c>
      <c r="D1688" s="10" t="s">
        <v>7349</v>
      </c>
      <c r="E1688" s="9" t="str">
        <f>HYPERLINK("https://twitter.com/Educ_Technology/status/1218518542083153922","1218518542083153922")</f>
        <v>1218518542083153922</v>
      </c>
      <c r="F1688" s="11" t="s">
        <v>7350</v>
      </c>
      <c r="G1688" s="11" t="s">
        <v>7351</v>
      </c>
      <c r="H1688" s="13"/>
      <c r="I1688" s="14">
        <v>1.0</v>
      </c>
      <c r="J1688" s="14">
        <v>1.0</v>
      </c>
      <c r="K1688" s="9" t="str">
        <f>HYPERLINK("https://www.hootsuite.com","Hootsuite Inc.")</f>
        <v>Hootsuite Inc.</v>
      </c>
      <c r="L1688" s="15">
        <v>16398.0</v>
      </c>
      <c r="M1688" s="15">
        <v>1391.0</v>
      </c>
      <c r="N1688" s="15">
        <v>802.0</v>
      </c>
      <c r="O1688" s="16"/>
      <c r="P1688" s="17">
        <v>41290.28224537037</v>
      </c>
      <c r="Q1688" s="10" t="s">
        <v>1324</v>
      </c>
      <c r="R1688" s="10" t="s">
        <v>7352</v>
      </c>
      <c r="S1688" s="11" t="s">
        <v>7353</v>
      </c>
      <c r="T1688" s="13"/>
      <c r="U1688" s="18" t="str">
        <f>HYPERLINK("https://pbs.twimg.com/profile_images/653568331086209024/mNad36NL.jpg","View")</f>
        <v>View</v>
      </c>
      <c r="V1688" s="13"/>
      <c r="W1688" s="13"/>
      <c r="X1688" s="13"/>
      <c r="Y1688" s="13"/>
      <c r="Z1688" s="13"/>
    </row>
    <row r="1689">
      <c r="A1689" s="8">
        <v>43848.33372685185</v>
      </c>
      <c r="B1689" s="9" t="str">
        <f>HYPERLINK("https://twitter.com/DShorb","@DShorb")</f>
        <v>@DShorb</v>
      </c>
      <c r="C1689" s="10" t="s">
        <v>21</v>
      </c>
      <c r="D1689" s="10" t="s">
        <v>687</v>
      </c>
      <c r="E1689" s="9" t="str">
        <f>HYPERLINK("https://twitter.com/DShorb/status/1218518541982486530","1218518541982486530")</f>
        <v>1218518541982486530</v>
      </c>
      <c r="F1689" s="11" t="s">
        <v>7354</v>
      </c>
      <c r="G1689" s="13"/>
      <c r="H1689" s="13"/>
      <c r="I1689" s="14">
        <v>0.0</v>
      </c>
      <c r="J1689" s="14">
        <v>0.0</v>
      </c>
      <c r="K1689" s="9" t="str">
        <f>HYPERLINK("https://www.smedian.com","Penname")</f>
        <v>Penname</v>
      </c>
      <c r="L1689" s="15">
        <v>3871.0</v>
      </c>
      <c r="M1689" s="15">
        <v>4543.0</v>
      </c>
      <c r="N1689" s="15">
        <v>185.0</v>
      </c>
      <c r="O1689" s="16"/>
      <c r="P1689" s="17">
        <v>40991.739027777774</v>
      </c>
      <c r="Q1689" s="10" t="s">
        <v>24</v>
      </c>
      <c r="R1689" s="10" t="s">
        <v>25</v>
      </c>
      <c r="S1689" s="11" t="s">
        <v>26</v>
      </c>
      <c r="T1689" s="13"/>
      <c r="U1689" s="18" t="str">
        <f>HYPERLINK("https://pbs.twimg.com/profile_images/1134459629478408192/VnPf0dlm.jpg","View")</f>
        <v>View</v>
      </c>
      <c r="V1689" s="13"/>
      <c r="W1689" s="13"/>
      <c r="X1689" s="13"/>
      <c r="Y1689" s="13"/>
      <c r="Z1689" s="13"/>
    </row>
    <row r="1690">
      <c r="A1690" s="8">
        <v>43848.33346064815</v>
      </c>
      <c r="B1690" s="9" t="str">
        <f>HYPERLINK("https://twitter.com/KatjaJaqueline","@KatjaJaqueline")</f>
        <v>@KatjaJaqueline</v>
      </c>
      <c r="C1690" s="10" t="s">
        <v>7355</v>
      </c>
      <c r="D1690" s="10" t="s">
        <v>7356</v>
      </c>
      <c r="E1690" s="9" t="str">
        <f>HYPERLINK("https://twitter.com/KatjaJaqueline/status/1218518448759803904","1218518448759803904")</f>
        <v>1218518448759803904</v>
      </c>
      <c r="F1690" s="13"/>
      <c r="G1690" s="11" t="s">
        <v>7357</v>
      </c>
      <c r="H1690" s="13"/>
      <c r="I1690" s="14">
        <v>0.0</v>
      </c>
      <c r="J1690" s="14">
        <v>0.0</v>
      </c>
      <c r="K1690" s="9" t="str">
        <f>HYPERLINK("https://eclincher.com","eClincher")</f>
        <v>eClincher</v>
      </c>
      <c r="L1690" s="15">
        <v>38.0</v>
      </c>
      <c r="M1690" s="15">
        <v>83.0</v>
      </c>
      <c r="N1690" s="15">
        <v>3.0</v>
      </c>
      <c r="O1690" s="16"/>
      <c r="P1690" s="17">
        <v>40444.210810185185</v>
      </c>
      <c r="Q1690" s="10" t="s">
        <v>6691</v>
      </c>
      <c r="R1690" s="10" t="s">
        <v>7358</v>
      </c>
      <c r="S1690" s="11" t="s">
        <v>7359</v>
      </c>
      <c r="T1690" s="13"/>
      <c r="U1690" s="18" t="str">
        <f>HYPERLINK("https://pbs.twimg.com/profile_images/2277453855/oxw7wje155jkdlpy882d.jpeg","View")</f>
        <v>View</v>
      </c>
      <c r="V1690" s="13"/>
      <c r="W1690" s="13"/>
      <c r="X1690" s="13"/>
      <c r="Y1690" s="13"/>
      <c r="Z1690" s="13"/>
    </row>
    <row r="1691">
      <c r="A1691" s="8">
        <v>43848.3334375</v>
      </c>
      <c r="B1691" s="9" t="str">
        <f>HYPERLINK("https://twitter.com/acamh","@acamh")</f>
        <v>@acamh</v>
      </c>
      <c r="C1691" s="10" t="s">
        <v>7360</v>
      </c>
      <c r="D1691" s="10" t="s">
        <v>7361</v>
      </c>
      <c r="E1691" s="9" t="str">
        <f>HYPERLINK("https://twitter.com/acamh/status/1218518439314194433","1218518439314194433")</f>
        <v>1218518439314194433</v>
      </c>
      <c r="F1691" s="11" t="s">
        <v>7362</v>
      </c>
      <c r="G1691" s="11" t="s">
        <v>7363</v>
      </c>
      <c r="H1691" s="13"/>
      <c r="I1691" s="14">
        <v>0.0</v>
      </c>
      <c r="J1691" s="14">
        <v>2.0</v>
      </c>
      <c r="K1691" s="9" t="str">
        <f>HYPERLINK("https://buffer.com","Buffer")</f>
        <v>Buffer</v>
      </c>
      <c r="L1691" s="15">
        <v>10680.0</v>
      </c>
      <c r="M1691" s="15">
        <v>4382.0</v>
      </c>
      <c r="N1691" s="15">
        <v>116.0</v>
      </c>
      <c r="O1691" s="16"/>
      <c r="P1691" s="17">
        <v>40074.4553125</v>
      </c>
      <c r="Q1691" s="10" t="s">
        <v>2102</v>
      </c>
      <c r="R1691" s="10" t="s">
        <v>7364</v>
      </c>
      <c r="S1691" s="11" t="s">
        <v>7365</v>
      </c>
      <c r="T1691" s="13"/>
      <c r="U1691" s="18" t="str">
        <f>HYPERLINK("https://pbs.twimg.com/profile_images/1028903578210115585/qrW4IjlV.jpg","View")</f>
        <v>View</v>
      </c>
      <c r="V1691" s="13"/>
      <c r="W1691" s="13"/>
      <c r="X1691" s="13"/>
      <c r="Y1691" s="13"/>
      <c r="Z1691" s="13"/>
    </row>
    <row r="1692">
      <c r="A1692" s="8">
        <v>43848.33333333333</v>
      </c>
      <c r="B1692" s="9" t="str">
        <f>HYPERLINK("https://twitter.com/Liverpool_CFA","@Liverpool_CFA")</f>
        <v>@Liverpool_CFA</v>
      </c>
      <c r="C1692" s="10" t="s">
        <v>7366</v>
      </c>
      <c r="D1692" s="10" t="s">
        <v>7367</v>
      </c>
      <c r="E1692" s="9" t="str">
        <f>HYPERLINK("https://twitter.com/Liverpool_CFA/status/1218518403125673984","1218518403125673984")</f>
        <v>1218518403125673984</v>
      </c>
      <c r="F1692" s="11" t="s">
        <v>7368</v>
      </c>
      <c r="G1692" s="13"/>
      <c r="H1692" s="13"/>
      <c r="I1692" s="14">
        <v>0.0</v>
      </c>
      <c r="J1692" s="14">
        <v>0.0</v>
      </c>
      <c r="K1692" s="9" t="str">
        <f t="shared" ref="K1692:K1693" si="207">HYPERLINK("https://about.twitter.com/products/tweetdeck","TweetDeck")</f>
        <v>TweetDeck</v>
      </c>
      <c r="L1692" s="15">
        <v>14903.0</v>
      </c>
      <c r="M1692" s="15">
        <v>1672.0</v>
      </c>
      <c r="N1692" s="15">
        <v>101.0</v>
      </c>
      <c r="O1692" s="16"/>
      <c r="P1692" s="17">
        <v>40689.32543981481</v>
      </c>
      <c r="Q1692" s="10" t="s">
        <v>7079</v>
      </c>
      <c r="R1692" s="10" t="s">
        <v>7369</v>
      </c>
      <c r="S1692" s="11" t="s">
        <v>7370</v>
      </c>
      <c r="T1692" s="13"/>
      <c r="U1692" s="18" t="str">
        <f>HYPERLINK("https://pbs.twimg.com/profile_images/1212005207246352386/1JYBm3Lf.jpg","View")</f>
        <v>View</v>
      </c>
      <c r="V1692" s="13"/>
      <c r="W1692" s="13"/>
      <c r="X1692" s="13"/>
      <c r="Y1692" s="13"/>
      <c r="Z1692" s="13"/>
    </row>
    <row r="1693">
      <c r="A1693" s="8">
        <v>43848.33333333333</v>
      </c>
      <c r="B1693" s="9" t="str">
        <f>HYPERLINK("https://twitter.com/TheGoodStuffAp1","@TheGoodStuffAp1")</f>
        <v>@TheGoodStuffAp1</v>
      </c>
      <c r="C1693" s="10" t="s">
        <v>7371</v>
      </c>
      <c r="D1693" s="10" t="s">
        <v>7372</v>
      </c>
      <c r="E1693" s="9" t="str">
        <f>HYPERLINK("https://twitter.com/TheGoodStuffAp1/status/1218518400424693760","1218518400424693760")</f>
        <v>1218518400424693760</v>
      </c>
      <c r="F1693" s="11" t="s">
        <v>7373</v>
      </c>
      <c r="G1693" s="11" t="s">
        <v>7374</v>
      </c>
      <c r="H1693" s="13"/>
      <c r="I1693" s="14">
        <v>0.0</v>
      </c>
      <c r="J1693" s="14">
        <v>0.0</v>
      </c>
      <c r="K1693" s="9" t="str">
        <f t="shared" si="207"/>
        <v>TweetDeck</v>
      </c>
      <c r="L1693" s="15">
        <v>102.0</v>
      </c>
      <c r="M1693" s="15">
        <v>20.0</v>
      </c>
      <c r="N1693" s="15">
        <v>0.0</v>
      </c>
      <c r="O1693" s="16"/>
      <c r="P1693" s="17">
        <v>43786.91444444444</v>
      </c>
      <c r="Q1693" s="10" t="s">
        <v>7375</v>
      </c>
      <c r="R1693" s="10" t="s">
        <v>7376</v>
      </c>
      <c r="S1693" s="11" t="s">
        <v>7377</v>
      </c>
      <c r="T1693" s="13"/>
      <c r="U1693" s="18" t="str">
        <f>HYPERLINK("https://pbs.twimg.com/profile_images/1196261187983478784/rbM4v-b8.png","View")</f>
        <v>View</v>
      </c>
      <c r="V1693" s="13"/>
      <c r="W1693" s="13"/>
      <c r="X1693" s="13"/>
      <c r="Y1693" s="13"/>
      <c r="Z1693" s="13"/>
    </row>
    <row r="1694">
      <c r="A1694" s="8">
        <v>43848.332916666666</v>
      </c>
      <c r="B1694" s="9" t="str">
        <f>HYPERLINK("https://twitter.com/MattBodnar","@MattBodnar")</f>
        <v>@MattBodnar</v>
      </c>
      <c r="C1694" s="10" t="s">
        <v>1426</v>
      </c>
      <c r="D1694" s="10" t="s">
        <v>7378</v>
      </c>
      <c r="E1694" s="9" t="str">
        <f>HYPERLINK("https://twitter.com/MattBodnar/status/1218518251090608128","1218518251090608128")</f>
        <v>1218518251090608128</v>
      </c>
      <c r="F1694" s="11" t="s">
        <v>7379</v>
      </c>
      <c r="G1694" s="13"/>
      <c r="H1694" s="13"/>
      <c r="I1694" s="14">
        <v>0.0</v>
      </c>
      <c r="J1694" s="14">
        <v>0.0</v>
      </c>
      <c r="K1694" s="9" t="str">
        <f>HYPERLINK("https://www.socialjukebox.com","The Social Jukebox")</f>
        <v>The Social Jukebox</v>
      </c>
      <c r="L1694" s="15">
        <v>15144.0</v>
      </c>
      <c r="M1694" s="15">
        <v>2418.0</v>
      </c>
      <c r="N1694" s="15">
        <v>311.0</v>
      </c>
      <c r="O1694" s="16"/>
      <c r="P1694" s="17">
        <v>40430.926354166666</v>
      </c>
      <c r="Q1694" s="10" t="s">
        <v>1430</v>
      </c>
      <c r="R1694" s="10" t="s">
        <v>1431</v>
      </c>
      <c r="S1694" s="11" t="s">
        <v>1432</v>
      </c>
      <c r="T1694" s="13"/>
      <c r="U1694" s="18" t="str">
        <f>HYPERLINK("https://pbs.twimg.com/profile_images/1164538414013779973/-mgK_X6L.jpg","View")</f>
        <v>View</v>
      </c>
      <c r="V1694" s="13"/>
      <c r="W1694" s="13"/>
      <c r="X1694" s="13"/>
      <c r="Y1694" s="13"/>
      <c r="Z1694" s="13"/>
    </row>
    <row r="1695">
      <c r="A1695" s="8">
        <v>43848.33252314814</v>
      </c>
      <c r="B1695" s="9" t="str">
        <f>HYPERLINK("https://twitter.com/kendrafisher30","@kendrafisher30")</f>
        <v>@kendrafisher30</v>
      </c>
      <c r="C1695" s="10" t="s">
        <v>866</v>
      </c>
      <c r="D1695" s="10" t="s">
        <v>7380</v>
      </c>
      <c r="E1695" s="9" t="str">
        <f>HYPERLINK("https://twitter.com/kendrafisher30/status/1218518108299825152","1218518108299825152")</f>
        <v>1218518108299825152</v>
      </c>
      <c r="F1695" s="13"/>
      <c r="G1695" s="11" t="s">
        <v>7381</v>
      </c>
      <c r="H1695" s="13"/>
      <c r="I1695" s="14">
        <v>0.0</v>
      </c>
      <c r="J1695" s="14">
        <v>10.0</v>
      </c>
      <c r="K1695" s="9" t="str">
        <f>HYPERLINK("http://twitter.com/download/iphone","Twitter for iPhone")</f>
        <v>Twitter for iPhone</v>
      </c>
      <c r="L1695" s="15">
        <v>2121.0</v>
      </c>
      <c r="M1695" s="15">
        <v>593.0</v>
      </c>
      <c r="N1695" s="15">
        <v>62.0</v>
      </c>
      <c r="O1695" s="16"/>
      <c r="P1695" s="17">
        <v>39919.77334490741</v>
      </c>
      <c r="Q1695" s="10" t="s">
        <v>245</v>
      </c>
      <c r="R1695" s="10" t="s">
        <v>869</v>
      </c>
      <c r="S1695" s="11" t="s">
        <v>870</v>
      </c>
      <c r="T1695" s="13"/>
      <c r="U1695" s="18" t="str">
        <f>HYPERLINK("https://pbs.twimg.com/profile_images/1211330323562336268/QW0MtdKo.jpg","View")</f>
        <v>View</v>
      </c>
      <c r="V1695" s="13"/>
      <c r="W1695" s="13"/>
      <c r="X1695" s="13"/>
      <c r="Y1695" s="13"/>
      <c r="Z1695" s="13"/>
    </row>
    <row r="1696">
      <c r="A1696" s="8">
        <v>43848.33241898148</v>
      </c>
      <c r="B1696" s="9" t="str">
        <f>HYPERLINK("https://twitter.com/mentalbravery","@mentalbravery")</f>
        <v>@mentalbravery</v>
      </c>
      <c r="C1696" s="10" t="s">
        <v>3678</v>
      </c>
      <c r="D1696" s="10" t="s">
        <v>7382</v>
      </c>
      <c r="E1696" s="9" t="str">
        <f>HYPERLINK("https://twitter.com/mentalbravery/status/1218518069225705473","1218518069225705473")</f>
        <v>1218518069225705473</v>
      </c>
      <c r="F1696" s="13"/>
      <c r="G1696" s="13"/>
      <c r="H1696" s="13"/>
      <c r="I1696" s="14">
        <v>0.0</v>
      </c>
      <c r="J1696" s="14">
        <v>0.0</v>
      </c>
      <c r="K1696" s="9" t="str">
        <f>HYPERLINK("https://cheapbotsdonequick.com","Cheap Bots, Done Quick!")</f>
        <v>Cheap Bots, Done Quick!</v>
      </c>
      <c r="L1696" s="15">
        <v>42.0</v>
      </c>
      <c r="M1696" s="15">
        <v>0.0</v>
      </c>
      <c r="N1696" s="15">
        <v>3.0</v>
      </c>
      <c r="O1696" s="16"/>
      <c r="P1696" s="17">
        <v>42867.642060185186</v>
      </c>
      <c r="Q1696" s="13"/>
      <c r="R1696" s="10" t="s">
        <v>3680</v>
      </c>
      <c r="S1696" s="13"/>
      <c r="T1696" s="13"/>
      <c r="U1696" s="18" t="str">
        <f>HYPERLINK("https://pbs.twimg.com/profile_images/863120567423168514/RHSP20S3.jpg","View")</f>
        <v>View</v>
      </c>
      <c r="V1696" s="13"/>
      <c r="W1696" s="13"/>
      <c r="X1696" s="13"/>
      <c r="Y1696" s="13"/>
      <c r="Z1696" s="13"/>
    </row>
    <row r="1697">
      <c r="A1697" s="8">
        <v>43848.33194444445</v>
      </c>
      <c r="B1697" s="9" t="str">
        <f>HYPERLINK("https://twitter.com/SnapbackMental","@SnapbackMental")</f>
        <v>@SnapbackMental</v>
      </c>
      <c r="C1697" s="10" t="s">
        <v>7383</v>
      </c>
      <c r="D1697" s="10" t="s">
        <v>7384</v>
      </c>
      <c r="E1697" s="9" t="str">
        <f>HYPERLINK("https://twitter.com/SnapbackMental/status/1218517896965439488","1218517896965439488")</f>
        <v>1218517896965439488</v>
      </c>
      <c r="F1697" s="13"/>
      <c r="G1697" s="13"/>
      <c r="H1697" s="13"/>
      <c r="I1697" s="14">
        <v>0.0</v>
      </c>
      <c r="J1697" s="14">
        <v>3.0</v>
      </c>
      <c r="K1697" s="9" t="str">
        <f>HYPERLINK("http://twitter.com/download/android","Twitter for Android")</f>
        <v>Twitter for Android</v>
      </c>
      <c r="L1697" s="15">
        <v>28.0</v>
      </c>
      <c r="M1697" s="15">
        <v>82.0</v>
      </c>
      <c r="N1697" s="15">
        <v>0.0</v>
      </c>
      <c r="O1697" s="16"/>
      <c r="P1697" s="17">
        <v>43843.62704861111</v>
      </c>
      <c r="Q1697" s="13"/>
      <c r="R1697" s="10" t="s">
        <v>7385</v>
      </c>
      <c r="S1697" s="11" t="s">
        <v>956</v>
      </c>
      <c r="T1697" s="13"/>
      <c r="U1697" s="18" t="str">
        <f>HYPERLINK("https://pbs.twimg.com/profile_images/1216813211544145921/RKvhYFW_.jpg","View")</f>
        <v>View</v>
      </c>
      <c r="V1697" s="13"/>
      <c r="W1697" s="13"/>
      <c r="X1697" s="13"/>
      <c r="Y1697" s="13"/>
      <c r="Z1697" s="13"/>
    </row>
    <row r="1698">
      <c r="A1698" s="8">
        <v>43848.331875</v>
      </c>
      <c r="B1698" s="9" t="str">
        <f>HYPERLINK("https://twitter.com/PCAPonline","@PCAPonline")</f>
        <v>@PCAPonline</v>
      </c>
      <c r="C1698" s="10" t="s">
        <v>7386</v>
      </c>
      <c r="D1698" s="10" t="s">
        <v>7387</v>
      </c>
      <c r="E1698" s="9" t="str">
        <f>HYPERLINK("https://twitter.com/PCAPonline/status/1218517871552352257","1218517871552352257")</f>
        <v>1218517871552352257</v>
      </c>
      <c r="F1698" s="11" t="s">
        <v>7388</v>
      </c>
      <c r="G1698" s="13"/>
      <c r="H1698" s="13"/>
      <c r="I1698" s="14">
        <v>7.0</v>
      </c>
      <c r="J1698" s="14">
        <v>8.0</v>
      </c>
      <c r="K1698" s="9" t="str">
        <f>HYPERLINK("http://twitter.com/download/iphone","Twitter for iPhone")</f>
        <v>Twitter for iPhone</v>
      </c>
      <c r="L1698" s="15">
        <v>1436.0</v>
      </c>
      <c r="M1698" s="15">
        <v>1519.0</v>
      </c>
      <c r="N1698" s="15">
        <v>28.0</v>
      </c>
      <c r="O1698" s="16"/>
      <c r="P1698" s="17">
        <v>39927.708287037036</v>
      </c>
      <c r="Q1698" s="10" t="s">
        <v>7389</v>
      </c>
      <c r="R1698" s="10" t="s">
        <v>7390</v>
      </c>
      <c r="S1698" s="11" t="s">
        <v>7391</v>
      </c>
      <c r="T1698" s="13"/>
      <c r="U1698" s="18" t="str">
        <f>HYPERLINK("https://pbs.twimg.com/profile_images/1089646800326283266/efEjcQP0.jpg","View")</f>
        <v>View</v>
      </c>
      <c r="V1698" s="13"/>
      <c r="W1698" s="13"/>
      <c r="X1698" s="13"/>
      <c r="Y1698" s="13"/>
      <c r="Z1698" s="13"/>
    </row>
    <row r="1699">
      <c r="A1699" s="8">
        <v>43848.33162037037</v>
      </c>
      <c r="B1699" s="9" t="str">
        <f>HYPERLINK("https://twitter.com/vitalizedfuture","@vitalizedfuture")</f>
        <v>@vitalizedfuture</v>
      </c>
      <c r="C1699" s="10" t="s">
        <v>3038</v>
      </c>
      <c r="D1699" s="10" t="s">
        <v>7392</v>
      </c>
      <c r="E1699" s="9" t="str">
        <f>HYPERLINK("https://twitter.com/vitalizedfuture/status/1218517780326121472","1218517780326121472")</f>
        <v>1218517780326121472</v>
      </c>
      <c r="F1699" s="11" t="s">
        <v>3040</v>
      </c>
      <c r="G1699" s="13"/>
      <c r="H1699" s="13"/>
      <c r="I1699" s="14">
        <v>0.0</v>
      </c>
      <c r="J1699" s="14">
        <v>0.0</v>
      </c>
      <c r="K1699" s="9" t="str">
        <f>HYPERLINK("https://vitalizedfuture.com","vitalizedfuture Tweet App")</f>
        <v>vitalizedfuture Tweet App</v>
      </c>
      <c r="L1699" s="15">
        <v>4707.0</v>
      </c>
      <c r="M1699" s="15">
        <v>5068.0</v>
      </c>
      <c r="N1699" s="15">
        <v>9.0</v>
      </c>
      <c r="O1699" s="16"/>
      <c r="P1699" s="17">
        <v>43547.41599537037</v>
      </c>
      <c r="Q1699" s="10" t="s">
        <v>2102</v>
      </c>
      <c r="R1699" s="10" t="s">
        <v>3041</v>
      </c>
      <c r="S1699" s="11" t="s">
        <v>3042</v>
      </c>
      <c r="T1699" s="13"/>
      <c r="U1699" s="18" t="str">
        <f>HYPERLINK("https://pbs.twimg.com/profile_images/1110633387587526657/cIGwdRtj.png","View")</f>
        <v>View</v>
      </c>
      <c r="V1699" s="13"/>
      <c r="W1699" s="13"/>
      <c r="X1699" s="13"/>
      <c r="Y1699" s="13"/>
      <c r="Z1699" s="13"/>
    </row>
    <row r="1700">
      <c r="A1700" s="8">
        <v>43848.33107638889</v>
      </c>
      <c r="B1700" s="9" t="str">
        <f>HYPERLINK("https://twitter.com/DonelaLinas","@DonelaLinas")</f>
        <v>@DonelaLinas</v>
      </c>
      <c r="C1700" s="10" t="s">
        <v>1838</v>
      </c>
      <c r="D1700" s="10" t="s">
        <v>7393</v>
      </c>
      <c r="E1700" s="9" t="str">
        <f>HYPERLINK("https://twitter.com/DonelaLinas/status/1218517584376745984","1218517584376745984")</f>
        <v>1218517584376745984</v>
      </c>
      <c r="F1700" s="13"/>
      <c r="G1700" s="13"/>
      <c r="H1700" s="13"/>
      <c r="I1700" s="14">
        <v>0.0</v>
      </c>
      <c r="J1700" s="14">
        <v>0.0</v>
      </c>
      <c r="K1700" s="9" t="str">
        <f>HYPERLINK("http://twitter.com/download/android","Twitter for Android")</f>
        <v>Twitter for Android</v>
      </c>
      <c r="L1700" s="15">
        <v>34.0</v>
      </c>
      <c r="M1700" s="15">
        <v>57.0</v>
      </c>
      <c r="N1700" s="15">
        <v>0.0</v>
      </c>
      <c r="O1700" s="16"/>
      <c r="P1700" s="17">
        <v>42519.46498842593</v>
      </c>
      <c r="Q1700" s="10" t="s">
        <v>1840</v>
      </c>
      <c r="R1700" s="10" t="s">
        <v>1841</v>
      </c>
      <c r="S1700" s="13"/>
      <c r="T1700" s="13"/>
      <c r="U1700" s="18" t="str">
        <f>HYPERLINK("https://pbs.twimg.com/profile_images/737072476367269888/aenGDd9p.jpg","View")</f>
        <v>View</v>
      </c>
      <c r="V1700" s="13"/>
      <c r="W1700" s="13"/>
      <c r="X1700" s="13"/>
      <c r="Y1700" s="13"/>
      <c r="Z1700" s="13"/>
    </row>
    <row r="1701">
      <c r="A1701" s="8">
        <v>43848.33090277778</v>
      </c>
      <c r="B1701" s="9" t="str">
        <f>HYPERLINK("https://twitter.com/UsmanRx","@UsmanRx")</f>
        <v>@UsmanRx</v>
      </c>
      <c r="C1701" s="10" t="s">
        <v>7394</v>
      </c>
      <c r="D1701" s="10" t="s">
        <v>238</v>
      </c>
      <c r="E1701" s="9" t="str">
        <f>HYPERLINK("https://twitter.com/UsmanRx/status/1218517518488305664","1218517518488305664")</f>
        <v>1218517518488305664</v>
      </c>
      <c r="F1701" s="13"/>
      <c r="G1701" s="13"/>
      <c r="H1701" s="13"/>
      <c r="I1701" s="14">
        <v>0.0</v>
      </c>
      <c r="J1701" s="14">
        <v>2.0</v>
      </c>
      <c r="K1701" s="9" t="str">
        <f t="shared" ref="K1701:K1705" si="208">HYPERLINK("http://twitter.com/download/iphone","Twitter for iPhone")</f>
        <v>Twitter for iPhone</v>
      </c>
      <c r="L1701" s="15">
        <v>2421.0</v>
      </c>
      <c r="M1701" s="15">
        <v>1674.0</v>
      </c>
      <c r="N1701" s="15">
        <v>19.0</v>
      </c>
      <c r="O1701" s="16"/>
      <c r="P1701" s="17">
        <v>41313.11200231481</v>
      </c>
      <c r="Q1701" s="10" t="s">
        <v>3593</v>
      </c>
      <c r="R1701" s="10" t="s">
        <v>7395</v>
      </c>
      <c r="S1701" s="13"/>
      <c r="T1701" s="13"/>
      <c r="U1701" s="18" t="str">
        <f>HYPERLINK("https://pbs.twimg.com/profile_images/1202622440259694592/L5cenM8G.jpg","View")</f>
        <v>View</v>
      </c>
      <c r="V1701" s="13"/>
      <c r="W1701" s="13"/>
      <c r="X1701" s="13"/>
      <c r="Y1701" s="13"/>
      <c r="Z1701" s="13"/>
    </row>
    <row r="1702">
      <c r="A1702" s="8">
        <v>43848.33070601852</v>
      </c>
      <c r="B1702" s="9" t="str">
        <f>HYPERLINK("https://twitter.com/JeremyDHWhite","@JeremyDHWhite")</f>
        <v>@JeremyDHWhite</v>
      </c>
      <c r="C1702" s="10" t="s">
        <v>7396</v>
      </c>
      <c r="D1702" s="10" t="s">
        <v>7397</v>
      </c>
      <c r="E1702" s="9" t="str">
        <f>HYPERLINK("https://twitter.com/JeremyDHWhite/status/1218517449043333120","1218517449043333120")</f>
        <v>1218517449043333120</v>
      </c>
      <c r="F1702" s="13"/>
      <c r="G1702" s="13"/>
      <c r="H1702" s="13"/>
      <c r="I1702" s="14">
        <v>0.0</v>
      </c>
      <c r="J1702" s="14">
        <v>0.0</v>
      </c>
      <c r="K1702" s="9" t="str">
        <f t="shared" si="208"/>
        <v>Twitter for iPhone</v>
      </c>
      <c r="L1702" s="15">
        <v>17.0</v>
      </c>
      <c r="M1702" s="15">
        <v>88.0</v>
      </c>
      <c r="N1702" s="15">
        <v>0.0</v>
      </c>
      <c r="O1702" s="16"/>
      <c r="P1702" s="17">
        <v>43805.30803240741</v>
      </c>
      <c r="Q1702" s="10" t="s">
        <v>7398</v>
      </c>
      <c r="R1702" s="10" t="s">
        <v>7399</v>
      </c>
      <c r="S1702" s="13"/>
      <c r="T1702" s="13"/>
      <c r="U1702" s="18" t="str">
        <f>HYPERLINK("https://pbs.twimg.com/profile_images/1202927025985609729/pTFqBYL8.jpg","View")</f>
        <v>View</v>
      </c>
      <c r="V1702" s="13"/>
      <c r="W1702" s="13"/>
      <c r="X1702" s="13"/>
      <c r="Y1702" s="13"/>
      <c r="Z1702" s="13"/>
    </row>
    <row r="1703">
      <c r="A1703" s="8">
        <v>43848.330671296295</v>
      </c>
      <c r="B1703" s="9" t="str">
        <f>HYPERLINK("https://twitter.com/KeithMProperty","@KeithMProperty")</f>
        <v>@KeithMProperty</v>
      </c>
      <c r="C1703" s="10" t="s">
        <v>7400</v>
      </c>
      <c r="D1703" s="10" t="s">
        <v>7401</v>
      </c>
      <c r="E1703" s="9" t="str">
        <f>HYPERLINK("https://twitter.com/KeithMProperty/status/1218517435168514048","1218517435168514048")</f>
        <v>1218517435168514048</v>
      </c>
      <c r="F1703" s="13"/>
      <c r="G1703" s="11" t="s">
        <v>7402</v>
      </c>
      <c r="H1703" s="13"/>
      <c r="I1703" s="14">
        <v>0.0</v>
      </c>
      <c r="J1703" s="14">
        <v>0.0</v>
      </c>
      <c r="K1703" s="9" t="str">
        <f t="shared" si="208"/>
        <v>Twitter for iPhone</v>
      </c>
      <c r="L1703" s="15">
        <v>26.0</v>
      </c>
      <c r="M1703" s="15">
        <v>54.0</v>
      </c>
      <c r="N1703" s="15">
        <v>0.0</v>
      </c>
      <c r="O1703" s="16"/>
      <c r="P1703" s="17">
        <v>43286.13440972222</v>
      </c>
      <c r="Q1703" s="13"/>
      <c r="R1703" s="10" t="s">
        <v>7403</v>
      </c>
      <c r="S1703" s="13"/>
      <c r="T1703" s="13"/>
      <c r="U1703" s="18" t="str">
        <f>HYPERLINK("https://pbs.twimg.com/profile_images/1014771952526004224/f3-y9bKu.jpg","View")</f>
        <v>View</v>
      </c>
      <c r="V1703" s="13"/>
      <c r="W1703" s="13"/>
      <c r="X1703" s="13"/>
      <c r="Y1703" s="13"/>
      <c r="Z1703" s="13"/>
    </row>
    <row r="1704">
      <c r="A1704" s="8">
        <v>43848.33034722222</v>
      </c>
      <c r="B1704" s="9" t="str">
        <f>HYPERLINK("https://twitter.com/DannyGautama","@DannyGautama")</f>
        <v>@DannyGautama</v>
      </c>
      <c r="C1704" s="10" t="s">
        <v>2919</v>
      </c>
      <c r="D1704" s="10" t="s">
        <v>7404</v>
      </c>
      <c r="E1704" s="9" t="str">
        <f>HYPERLINK("https://twitter.com/DannyGautama/status/1218517317304422405","1218517317304422405")</f>
        <v>1218517317304422405</v>
      </c>
      <c r="F1704" s="13"/>
      <c r="G1704" s="11" t="s">
        <v>7405</v>
      </c>
      <c r="H1704" s="13"/>
      <c r="I1704" s="14">
        <v>0.0</v>
      </c>
      <c r="J1704" s="14">
        <v>2.0</v>
      </c>
      <c r="K1704" s="9" t="str">
        <f t="shared" si="208"/>
        <v>Twitter for iPhone</v>
      </c>
      <c r="L1704" s="15">
        <v>565.0</v>
      </c>
      <c r="M1704" s="15">
        <v>421.0</v>
      </c>
      <c r="N1704" s="15">
        <v>2.0</v>
      </c>
      <c r="O1704" s="16"/>
      <c r="P1704" s="17">
        <v>43706.59824074074</v>
      </c>
      <c r="Q1704" s="10" t="s">
        <v>63</v>
      </c>
      <c r="R1704" s="10" t="s">
        <v>2922</v>
      </c>
      <c r="S1704" s="13"/>
      <c r="T1704" s="13"/>
      <c r="U1704" s="18" t="str">
        <f>HYPERLINK("https://pbs.twimg.com/profile_images/1167169532445843460/t8kh07bv.jpg","View")</f>
        <v>View</v>
      </c>
      <c r="V1704" s="13"/>
      <c r="W1704" s="13"/>
      <c r="X1704" s="13"/>
      <c r="Y1704" s="13"/>
      <c r="Z1704" s="13"/>
    </row>
    <row r="1705">
      <c r="A1705" s="8">
        <v>43848.328668981485</v>
      </c>
      <c r="B1705" s="9" t="str">
        <f>HYPERLINK("https://twitter.com/Sarah5harp","@Sarah5harp")</f>
        <v>@Sarah5harp</v>
      </c>
      <c r="C1705" s="10" t="s">
        <v>7406</v>
      </c>
      <c r="D1705" s="10" t="s">
        <v>7407</v>
      </c>
      <c r="E1705" s="9" t="str">
        <f>HYPERLINK("https://twitter.com/Sarah5harp/status/1218516711625908225","1218516711625908225")</f>
        <v>1218516711625908225</v>
      </c>
      <c r="F1705" s="13"/>
      <c r="G1705" s="11" t="s">
        <v>7408</v>
      </c>
      <c r="H1705" s="13"/>
      <c r="I1705" s="14">
        <v>0.0</v>
      </c>
      <c r="J1705" s="14">
        <v>2.0</v>
      </c>
      <c r="K1705" s="9" t="str">
        <f t="shared" si="208"/>
        <v>Twitter for iPhone</v>
      </c>
      <c r="L1705" s="15">
        <v>478.0</v>
      </c>
      <c r="M1705" s="15">
        <v>1621.0</v>
      </c>
      <c r="N1705" s="15">
        <v>11.0</v>
      </c>
      <c r="O1705" s="16"/>
      <c r="P1705" s="17">
        <v>39558.78637731481</v>
      </c>
      <c r="Q1705" s="10" t="s">
        <v>7409</v>
      </c>
      <c r="R1705" s="10" t="s">
        <v>7410</v>
      </c>
      <c r="S1705" s="13"/>
      <c r="T1705" s="13"/>
      <c r="U1705" s="18" t="str">
        <f>HYPERLINK("https://pbs.twimg.com/profile_images/1036989266352582656/NUEQgeof.jpg","View")</f>
        <v>View</v>
      </c>
      <c r="V1705" s="13"/>
      <c r="W1705" s="13"/>
      <c r="X1705" s="13"/>
      <c r="Y1705" s="13"/>
      <c r="Z1705" s="13"/>
    </row>
    <row r="1706">
      <c r="A1706" s="8">
        <v>43848.32863425926</v>
      </c>
      <c r="B1706" s="9" t="str">
        <f>HYPERLINK("https://twitter.com/dudeamandafit","@dudeamandafit")</f>
        <v>@dudeamandafit</v>
      </c>
      <c r="C1706" s="10" t="s">
        <v>7411</v>
      </c>
      <c r="D1706" s="10" t="s">
        <v>7412</v>
      </c>
      <c r="E1706" s="9" t="str">
        <f>HYPERLINK("https://twitter.com/dudeamandafit/status/1218516700036886528","1218516700036886528")</f>
        <v>1218516700036886528</v>
      </c>
      <c r="F1706" s="11" t="s">
        <v>7413</v>
      </c>
      <c r="G1706" s="13"/>
      <c r="H1706" s="13"/>
      <c r="I1706" s="14">
        <v>0.0</v>
      </c>
      <c r="J1706" s="14">
        <v>0.0</v>
      </c>
      <c r="K1706" s="9" t="str">
        <f>HYPERLINK("http://instagram.com","Instagram")</f>
        <v>Instagram</v>
      </c>
      <c r="L1706" s="15">
        <v>91.0</v>
      </c>
      <c r="M1706" s="15">
        <v>28.0</v>
      </c>
      <c r="N1706" s="15">
        <v>48.0</v>
      </c>
      <c r="O1706" s="16"/>
      <c r="P1706" s="17">
        <v>42576.50908564815</v>
      </c>
      <c r="Q1706" s="10" t="s">
        <v>7414</v>
      </c>
      <c r="R1706" s="10" t="s">
        <v>7415</v>
      </c>
      <c r="S1706" s="11" t="s">
        <v>7416</v>
      </c>
      <c r="T1706" s="13"/>
      <c r="U1706" s="18" t="str">
        <f>HYPERLINK("https://pbs.twimg.com/profile_images/878806370350510081/QRO6RbDy.jpg","View")</f>
        <v>View</v>
      </c>
      <c r="V1706" s="13"/>
      <c r="W1706" s="13"/>
      <c r="X1706" s="13"/>
      <c r="Y1706" s="13"/>
      <c r="Z1706" s="13"/>
    </row>
    <row r="1707">
      <c r="A1707" s="8">
        <v>43848.32837962963</v>
      </c>
      <c r="B1707" s="9" t="str">
        <f>HYPERLINK("https://twitter.com/NIMentalHealth","@NIMentalHealth")</f>
        <v>@NIMentalHealth</v>
      </c>
      <c r="C1707" s="10" t="s">
        <v>7417</v>
      </c>
      <c r="D1707" s="10" t="s">
        <v>7418</v>
      </c>
      <c r="E1707" s="9" t="str">
        <f>HYPERLINK("https://twitter.com/NIMentalHealth/status/1218516606462185478","1218516606462185478")</f>
        <v>1218516606462185478</v>
      </c>
      <c r="F1707" s="11" t="s">
        <v>7419</v>
      </c>
      <c r="G1707" s="11" t="s">
        <v>7420</v>
      </c>
      <c r="H1707" s="13"/>
      <c r="I1707" s="14">
        <v>0.0</v>
      </c>
      <c r="J1707" s="14">
        <v>0.0</v>
      </c>
      <c r="K1707" s="9" t="str">
        <f t="shared" ref="K1707:K1710" si="209">HYPERLINK("http://twitter.com/download/iphone","Twitter for iPhone")</f>
        <v>Twitter for iPhone</v>
      </c>
      <c r="L1707" s="15">
        <v>135.0</v>
      </c>
      <c r="M1707" s="15">
        <v>91.0</v>
      </c>
      <c r="N1707" s="15">
        <v>0.0</v>
      </c>
      <c r="O1707" s="16"/>
      <c r="P1707" s="17">
        <v>43843.710011574076</v>
      </c>
      <c r="Q1707" s="10" t="s">
        <v>7421</v>
      </c>
      <c r="R1707" s="10" t="s">
        <v>7422</v>
      </c>
      <c r="S1707" s="13"/>
      <c r="T1707" s="13"/>
      <c r="U1707" s="18" t="str">
        <f>HYPERLINK("https://pbs.twimg.com/profile_images/1216854992470134784/INNs2F4P.jpg","View")</f>
        <v>View</v>
      </c>
      <c r="V1707" s="13"/>
      <c r="W1707" s="13"/>
      <c r="X1707" s="13"/>
      <c r="Y1707" s="13"/>
      <c r="Z1707" s="13"/>
    </row>
    <row r="1708">
      <c r="A1708" s="8">
        <v>43848.32837962963</v>
      </c>
      <c r="B1708" s="9" t="str">
        <f>HYPERLINK("https://twitter.com/Healthyhappy50","@Healthyhappy50")</f>
        <v>@Healthyhappy50</v>
      </c>
      <c r="C1708" s="10" t="s">
        <v>7423</v>
      </c>
      <c r="D1708" s="10" t="s">
        <v>7424</v>
      </c>
      <c r="E1708" s="9" t="str">
        <f>HYPERLINK("https://twitter.com/Healthyhappy50/status/1218516605354815488","1218516605354815488")</f>
        <v>1218516605354815488</v>
      </c>
      <c r="F1708" s="10" t="s">
        <v>7425</v>
      </c>
      <c r="G1708" s="11" t="s">
        <v>7426</v>
      </c>
      <c r="H1708" s="13"/>
      <c r="I1708" s="14">
        <v>0.0</v>
      </c>
      <c r="J1708" s="14">
        <v>2.0</v>
      </c>
      <c r="K1708" s="9" t="str">
        <f t="shared" si="209"/>
        <v>Twitter for iPhone</v>
      </c>
      <c r="L1708" s="15">
        <v>3919.0</v>
      </c>
      <c r="M1708" s="15">
        <v>2198.0</v>
      </c>
      <c r="N1708" s="15">
        <v>130.0</v>
      </c>
      <c r="O1708" s="16"/>
      <c r="P1708" s="17">
        <v>42309.40708333333</v>
      </c>
      <c r="Q1708" s="10" t="s">
        <v>7427</v>
      </c>
      <c r="R1708" s="10" t="s">
        <v>7428</v>
      </c>
      <c r="S1708" s="11" t="s">
        <v>7429</v>
      </c>
      <c r="T1708" s="13"/>
      <c r="U1708" s="18" t="str">
        <f>HYPERLINK("https://pbs.twimg.com/profile_images/1179131879460626439/AKCCgQRC.jpg","View")</f>
        <v>View</v>
      </c>
      <c r="V1708" s="13"/>
      <c r="W1708" s="13"/>
      <c r="X1708" s="13"/>
      <c r="Y1708" s="13"/>
      <c r="Z1708" s="13"/>
    </row>
    <row r="1709">
      <c r="A1709" s="8">
        <v>43848.32784722222</v>
      </c>
      <c r="B1709" s="9" t="str">
        <f>HYPERLINK("https://twitter.com/StantonGary","@StantonGary")</f>
        <v>@StantonGary</v>
      </c>
      <c r="C1709" s="10" t="s">
        <v>7430</v>
      </c>
      <c r="D1709" s="10" t="s">
        <v>238</v>
      </c>
      <c r="E1709" s="9" t="str">
        <f>HYPERLINK("https://twitter.com/StantonGary/status/1218516411867435008","1218516411867435008")</f>
        <v>1218516411867435008</v>
      </c>
      <c r="F1709" s="13"/>
      <c r="G1709" s="13"/>
      <c r="H1709" s="13"/>
      <c r="I1709" s="14">
        <v>0.0</v>
      </c>
      <c r="J1709" s="14">
        <v>0.0</v>
      </c>
      <c r="K1709" s="9" t="str">
        <f t="shared" si="209"/>
        <v>Twitter for iPhone</v>
      </c>
      <c r="L1709" s="15">
        <v>110.0</v>
      </c>
      <c r="M1709" s="15">
        <v>277.0</v>
      </c>
      <c r="N1709" s="15">
        <v>1.0</v>
      </c>
      <c r="O1709" s="16"/>
      <c r="P1709" s="17">
        <v>40819.57200231482</v>
      </c>
      <c r="Q1709" s="10" t="s">
        <v>7431</v>
      </c>
      <c r="R1709" s="10" t="s">
        <v>7432</v>
      </c>
      <c r="S1709" s="13"/>
      <c r="T1709" s="13"/>
      <c r="U1709" s="18" t="str">
        <f>HYPERLINK("https://pbs.twimg.com/profile_images/1190034714624741376/FUzdZRqa.jpg","View")</f>
        <v>View</v>
      </c>
      <c r="V1709" s="13"/>
      <c r="W1709" s="13"/>
      <c r="X1709" s="13"/>
      <c r="Y1709" s="13"/>
      <c r="Z1709" s="13"/>
    </row>
    <row r="1710">
      <c r="A1710" s="8">
        <v>43848.32697916667</v>
      </c>
      <c r="B1710" s="9" t="str">
        <f>HYPERLINK("https://twitter.com/JustLouiseBurke","@JustLouiseBurke")</f>
        <v>@JustLouiseBurke</v>
      </c>
      <c r="C1710" s="10" t="s">
        <v>7433</v>
      </c>
      <c r="D1710" s="10" t="s">
        <v>7434</v>
      </c>
      <c r="E1710" s="9" t="str">
        <f>HYPERLINK("https://twitter.com/JustLouiseBurke/status/1218516096539557889","1218516096539557889")</f>
        <v>1218516096539557889</v>
      </c>
      <c r="F1710" s="13"/>
      <c r="G1710" s="11" t="s">
        <v>7435</v>
      </c>
      <c r="H1710" s="13"/>
      <c r="I1710" s="14">
        <v>0.0</v>
      </c>
      <c r="J1710" s="14">
        <v>5.0</v>
      </c>
      <c r="K1710" s="9" t="str">
        <f t="shared" si="209"/>
        <v>Twitter for iPhone</v>
      </c>
      <c r="L1710" s="15">
        <v>44.0</v>
      </c>
      <c r="M1710" s="15">
        <v>291.0</v>
      </c>
      <c r="N1710" s="15">
        <v>0.0</v>
      </c>
      <c r="O1710" s="16"/>
      <c r="P1710" s="17">
        <v>43284.44471064815</v>
      </c>
      <c r="Q1710" s="10" t="s">
        <v>4132</v>
      </c>
      <c r="R1710" s="10" t="s">
        <v>7436</v>
      </c>
      <c r="S1710" s="13"/>
      <c r="T1710" s="13"/>
      <c r="U1710" s="18" t="str">
        <f>HYPERLINK("https://pbs.twimg.com/profile_images/1014203007033069568/lcZula-F.jpg","View")</f>
        <v>View</v>
      </c>
      <c r="V1710" s="13"/>
      <c r="W1710" s="13"/>
      <c r="X1710" s="13"/>
      <c r="Y1710" s="13"/>
      <c r="Z1710" s="13"/>
    </row>
    <row r="1711">
      <c r="A1711" s="8">
        <v>43848.32648148148</v>
      </c>
      <c r="B1711" s="9" t="str">
        <f>HYPERLINK("https://twitter.com/tschmenk","@tschmenk")</f>
        <v>@tschmenk</v>
      </c>
      <c r="C1711" s="10" t="s">
        <v>7236</v>
      </c>
      <c r="D1711" s="10" t="s">
        <v>7237</v>
      </c>
      <c r="E1711" s="9" t="str">
        <f>HYPERLINK("https://twitter.com/tschmenk/status/1218515917321228288","1218515917321228288")</f>
        <v>1218515917321228288</v>
      </c>
      <c r="F1711" s="13"/>
      <c r="G1711" s="11" t="s">
        <v>7437</v>
      </c>
      <c r="H1711" s="13"/>
      <c r="I1711" s="14">
        <v>1.0</v>
      </c>
      <c r="J1711" s="14">
        <v>3.0</v>
      </c>
      <c r="K1711" s="9" t="str">
        <f>HYPERLINK("https://crowdfireapp.com","Crowdfire App")</f>
        <v>Crowdfire App</v>
      </c>
      <c r="L1711" s="15">
        <v>30.0</v>
      </c>
      <c r="M1711" s="15">
        <v>21.0</v>
      </c>
      <c r="N1711" s="15">
        <v>0.0</v>
      </c>
      <c r="O1711" s="16"/>
      <c r="P1711" s="17">
        <v>40989.07858796296</v>
      </c>
      <c r="Q1711" s="10" t="s">
        <v>7239</v>
      </c>
      <c r="R1711" s="10" t="s">
        <v>7240</v>
      </c>
      <c r="S1711" s="11" t="s">
        <v>7241</v>
      </c>
      <c r="T1711" s="13"/>
      <c r="U1711" s="18" t="str">
        <f>HYPERLINK("https://pbs.twimg.com/profile_images/915407004142780416/sm8xLcEt.jpg","View")</f>
        <v>View</v>
      </c>
      <c r="V1711" s="13"/>
      <c r="W1711" s="13"/>
      <c r="X1711" s="13"/>
      <c r="Y1711" s="13"/>
      <c r="Z1711" s="13"/>
    </row>
    <row r="1712">
      <c r="A1712" s="8">
        <v>43848.326469907406</v>
      </c>
      <c r="B1712" s="9" t="str">
        <f>HYPERLINK("https://twitter.com/MentalHealthRec","@MentalHealthRec")</f>
        <v>@MentalHealthRec</v>
      </c>
      <c r="C1712" s="10" t="s">
        <v>7438</v>
      </c>
      <c r="D1712" s="10" t="s">
        <v>7439</v>
      </c>
      <c r="E1712" s="9" t="str">
        <f>HYPERLINK("https://twitter.com/MentalHealthRec/status/1218515913403764736","1218515913403764736")</f>
        <v>1218515913403764736</v>
      </c>
      <c r="F1712" s="13"/>
      <c r="G1712" s="11" t="s">
        <v>7440</v>
      </c>
      <c r="H1712" s="13"/>
      <c r="I1712" s="14">
        <v>1.0</v>
      </c>
      <c r="J1712" s="14">
        <v>0.0</v>
      </c>
      <c r="K1712" s="9" t="str">
        <f>HYPERLINK("https://www.hootsuite.com","Hootsuite Inc.")</f>
        <v>Hootsuite Inc.</v>
      </c>
      <c r="L1712" s="15">
        <v>1396.0</v>
      </c>
      <c r="M1712" s="15">
        <v>1003.0</v>
      </c>
      <c r="N1712" s="15">
        <v>21.0</v>
      </c>
      <c r="O1712" s="16"/>
      <c r="P1712" s="17">
        <v>40779.15950231481</v>
      </c>
      <c r="Q1712" s="10" t="s">
        <v>7441</v>
      </c>
      <c r="R1712" s="10" t="s">
        <v>7442</v>
      </c>
      <c r="S1712" s="11" t="s">
        <v>7443</v>
      </c>
      <c r="T1712" s="13"/>
      <c r="U1712" s="18" t="str">
        <f>HYPERLINK("https://pbs.twimg.com/profile_images/378800000342715412/4f7aaf0591d49423e6bd0aace1a943f0.jpeg","View")</f>
        <v>View</v>
      </c>
      <c r="V1712" s="13"/>
      <c r="W1712" s="13"/>
      <c r="X1712" s="13"/>
      <c r="Y1712" s="13"/>
      <c r="Z1712" s="13"/>
    </row>
    <row r="1713">
      <c r="A1713" s="8">
        <v>43848.32645833334</v>
      </c>
      <c r="B1713" s="9" t="str">
        <f>HYPERLINK("https://twitter.com/Triathleteby35","@Triathleteby35")</f>
        <v>@Triathleteby35</v>
      </c>
      <c r="C1713" s="10" t="s">
        <v>7444</v>
      </c>
      <c r="D1713" s="10" t="s">
        <v>7445</v>
      </c>
      <c r="E1713" s="9" t="str">
        <f>HYPERLINK("https://twitter.com/Triathleteby35/status/1218515911776329728","1218515911776329728")</f>
        <v>1218515911776329728</v>
      </c>
      <c r="F1713" s="13"/>
      <c r="G1713" s="13"/>
      <c r="H1713" s="13"/>
      <c r="I1713" s="14">
        <v>1.0</v>
      </c>
      <c r="J1713" s="14">
        <v>43.0</v>
      </c>
      <c r="K1713" s="9" t="str">
        <f>HYPERLINK("http://twitter.com/download/android","Twitter for Android")</f>
        <v>Twitter for Android</v>
      </c>
      <c r="L1713" s="15">
        <v>3981.0</v>
      </c>
      <c r="M1713" s="15">
        <v>1577.0</v>
      </c>
      <c r="N1713" s="15">
        <v>20.0</v>
      </c>
      <c r="O1713" s="16"/>
      <c r="P1713" s="17">
        <v>43173.9112962963</v>
      </c>
      <c r="Q1713" s="13"/>
      <c r="R1713" s="10" t="s">
        <v>7446</v>
      </c>
      <c r="S1713" s="13"/>
      <c r="T1713" s="13"/>
      <c r="U1713" s="18" t="str">
        <f>HYPERLINK("https://pbs.twimg.com/profile_images/1081017147604766721/h7xZkxAD.jpg","View")</f>
        <v>View</v>
      </c>
      <c r="V1713" s="13"/>
      <c r="W1713" s="13"/>
      <c r="X1713" s="13"/>
      <c r="Y1713" s="13"/>
      <c r="Z1713" s="13"/>
    </row>
    <row r="1714">
      <c r="A1714" s="8">
        <v>43848.32642361111</v>
      </c>
      <c r="B1714" s="9" t="str">
        <f>HYPERLINK("https://twitter.com/koraldawn","@koraldawn")</f>
        <v>@koraldawn</v>
      </c>
      <c r="C1714" s="10" t="s">
        <v>7447</v>
      </c>
      <c r="D1714" s="10" t="s">
        <v>7448</v>
      </c>
      <c r="E1714" s="9" t="str">
        <f>HYPERLINK("https://twitter.com/koraldawn/status/1218515899105390592","1218515899105390592")</f>
        <v>1218515899105390592</v>
      </c>
      <c r="F1714" s="11" t="s">
        <v>7449</v>
      </c>
      <c r="G1714" s="13"/>
      <c r="H1714" s="13"/>
      <c r="I1714" s="14">
        <v>1.0</v>
      </c>
      <c r="J1714" s="14">
        <v>1.0</v>
      </c>
      <c r="K1714" s="9" t="str">
        <f t="shared" ref="K1714:K1715" si="210">HYPERLINK("https://www.hootsuite.com","Hootsuite Inc.")</f>
        <v>Hootsuite Inc.</v>
      </c>
      <c r="L1714" s="15">
        <v>913.0</v>
      </c>
      <c r="M1714" s="15">
        <v>371.0</v>
      </c>
      <c r="N1714" s="15">
        <v>45.0</v>
      </c>
      <c r="O1714" s="16"/>
      <c r="P1714" s="17">
        <v>41962.96107638889</v>
      </c>
      <c r="Q1714" s="10" t="s">
        <v>1099</v>
      </c>
      <c r="R1714" s="10" t="s">
        <v>7450</v>
      </c>
      <c r="S1714" s="11" t="s">
        <v>7451</v>
      </c>
      <c r="T1714" s="13"/>
      <c r="U1714" s="18" t="str">
        <f>HYPERLINK("https://pbs.twimg.com/profile_images/1144269199906344960/lPuxqh6q.jpg","View")</f>
        <v>View</v>
      </c>
      <c r="V1714" s="13"/>
      <c r="W1714" s="13"/>
      <c r="X1714" s="13"/>
      <c r="Y1714" s="13"/>
      <c r="Z1714" s="13"/>
    </row>
    <row r="1715">
      <c r="A1715" s="8">
        <v>43848.32642361111</v>
      </c>
      <c r="B1715" s="9" t="str">
        <f>HYPERLINK("https://twitter.com/TrueNorthPsych","@TrueNorthPsych")</f>
        <v>@TrueNorthPsych</v>
      </c>
      <c r="C1715" s="10" t="s">
        <v>7452</v>
      </c>
      <c r="D1715" s="10" t="s">
        <v>7453</v>
      </c>
      <c r="E1715" s="9" t="str">
        <f>HYPERLINK("https://twitter.com/TrueNorthPsych/status/1218515898065149953","1218515898065149953")</f>
        <v>1218515898065149953</v>
      </c>
      <c r="F1715" s="11" t="s">
        <v>7454</v>
      </c>
      <c r="G1715" s="13"/>
      <c r="H1715" s="13"/>
      <c r="I1715" s="14">
        <v>0.0</v>
      </c>
      <c r="J1715" s="14">
        <v>1.0</v>
      </c>
      <c r="K1715" s="9" t="str">
        <f t="shared" si="210"/>
        <v>Hootsuite Inc.</v>
      </c>
      <c r="L1715" s="15">
        <v>238.0</v>
      </c>
      <c r="M1715" s="15">
        <v>422.0</v>
      </c>
      <c r="N1715" s="15">
        <v>1.0</v>
      </c>
      <c r="O1715" s="16"/>
      <c r="P1715" s="17">
        <v>43070.33671296296</v>
      </c>
      <c r="Q1715" s="10" t="s">
        <v>3106</v>
      </c>
      <c r="R1715" s="10" t="s">
        <v>7455</v>
      </c>
      <c r="S1715" s="11" t="s">
        <v>7456</v>
      </c>
      <c r="T1715" s="13"/>
      <c r="U1715" s="18" t="str">
        <f>HYPERLINK("https://pbs.twimg.com/profile_images/936584176056389632/PVztPV2n.jpg","View")</f>
        <v>View</v>
      </c>
      <c r="V1715" s="13"/>
      <c r="W1715" s="13"/>
      <c r="X1715" s="13"/>
      <c r="Y1715" s="13"/>
      <c r="Z1715" s="13"/>
    </row>
    <row r="1716">
      <c r="A1716" s="8">
        <v>43848.326261574075</v>
      </c>
      <c r="B1716" s="9" t="str">
        <f>HYPERLINK("https://twitter.com/ellyzabeth_","@ellyzabeth_")</f>
        <v>@ellyzabeth_</v>
      </c>
      <c r="C1716" s="10" t="s">
        <v>7457</v>
      </c>
      <c r="D1716" s="10" t="s">
        <v>238</v>
      </c>
      <c r="E1716" s="9" t="str">
        <f>HYPERLINK("https://twitter.com/ellyzabeth_/status/1218515840322166787","1218515840322166787")</f>
        <v>1218515840322166787</v>
      </c>
      <c r="F1716" s="13"/>
      <c r="G1716" s="13"/>
      <c r="H1716" s="13"/>
      <c r="I1716" s="14">
        <v>0.0</v>
      </c>
      <c r="J1716" s="14">
        <v>1.0</v>
      </c>
      <c r="K1716" s="9" t="str">
        <f>HYPERLINK("http://twitter.com/download/android","Twitter for Android")</f>
        <v>Twitter for Android</v>
      </c>
      <c r="L1716" s="15">
        <v>243.0</v>
      </c>
      <c r="M1716" s="15">
        <v>348.0</v>
      </c>
      <c r="N1716" s="15">
        <v>0.0</v>
      </c>
      <c r="O1716" s="16"/>
      <c r="P1716" s="17">
        <v>42858.53408564815</v>
      </c>
      <c r="Q1716" s="13"/>
      <c r="R1716" s="13"/>
      <c r="S1716" s="13"/>
      <c r="T1716" s="13"/>
      <c r="U1716" s="18" t="str">
        <f>HYPERLINK("https://pbs.twimg.com/profile_images/1213557039273693184/z7bmZlTA.jpg","View")</f>
        <v>View</v>
      </c>
      <c r="V1716" s="13"/>
      <c r="W1716" s="13"/>
      <c r="X1716" s="13"/>
      <c r="Y1716" s="13"/>
      <c r="Z1716" s="13"/>
    </row>
    <row r="1717">
      <c r="A1717" s="8">
        <v>43848.326215277775</v>
      </c>
      <c r="B1717" s="9" t="str">
        <f>HYPERLINK("https://twitter.com/womensbrainpro","@womensbrainpro")</f>
        <v>@womensbrainpro</v>
      </c>
      <c r="C1717" s="10" t="s">
        <v>7011</v>
      </c>
      <c r="D1717" s="10" t="s">
        <v>7458</v>
      </c>
      <c r="E1717" s="9" t="str">
        <f>HYPERLINK("https://twitter.com/womensbrainpro/status/1218515821644959744","1218515821644959744")</f>
        <v>1218515821644959744</v>
      </c>
      <c r="F1717" s="13"/>
      <c r="G1717" s="11" t="s">
        <v>7459</v>
      </c>
      <c r="H1717" s="13"/>
      <c r="I1717" s="14">
        <v>1.0</v>
      </c>
      <c r="J1717" s="14">
        <v>3.0</v>
      </c>
      <c r="K1717" s="9" t="str">
        <f t="shared" ref="K1717:K1718" si="211">HYPERLINK("http://twitter.com/download/iphone","Twitter for iPhone")</f>
        <v>Twitter for iPhone</v>
      </c>
      <c r="L1717" s="15">
        <v>4136.0</v>
      </c>
      <c r="M1717" s="15">
        <v>5000.0</v>
      </c>
      <c r="N1717" s="15">
        <v>64.0</v>
      </c>
      <c r="O1717" s="16"/>
      <c r="P1717" s="17">
        <v>42779.67152777778</v>
      </c>
      <c r="Q1717" s="10" t="s">
        <v>7014</v>
      </c>
      <c r="R1717" s="10" t="s">
        <v>7015</v>
      </c>
      <c r="S1717" s="11" t="s">
        <v>7016</v>
      </c>
      <c r="T1717" s="13"/>
      <c r="U1717" s="18" t="str">
        <f>HYPERLINK("https://pbs.twimg.com/profile_images/831249224557875200/6sL7dKBO.jpg","View")</f>
        <v>View</v>
      </c>
      <c r="V1717" s="13"/>
      <c r="W1717" s="13"/>
      <c r="X1717" s="13"/>
      <c r="Y1717" s="13"/>
      <c r="Z1717" s="13"/>
    </row>
    <row r="1718">
      <c r="A1718" s="8">
        <v>43848.32591435185</v>
      </c>
      <c r="B1718" s="9" t="str">
        <f>HYPERLINK("https://twitter.com/SteezySpeaks","@SteezySpeaks")</f>
        <v>@SteezySpeaks</v>
      </c>
      <c r="C1718" s="10" t="s">
        <v>7460</v>
      </c>
      <c r="D1718" s="10" t="s">
        <v>7461</v>
      </c>
      <c r="E1718" s="9" t="str">
        <f>HYPERLINK("https://twitter.com/SteezySpeaks/status/1218515713499058177","1218515713499058177")</f>
        <v>1218515713499058177</v>
      </c>
      <c r="F1718" s="13"/>
      <c r="G1718" s="13"/>
      <c r="H1718" s="13"/>
      <c r="I1718" s="14">
        <v>0.0</v>
      </c>
      <c r="J1718" s="14">
        <v>0.0</v>
      </c>
      <c r="K1718" s="9" t="str">
        <f t="shared" si="211"/>
        <v>Twitter for iPhone</v>
      </c>
      <c r="L1718" s="15">
        <v>1.0</v>
      </c>
      <c r="M1718" s="15">
        <v>17.0</v>
      </c>
      <c r="N1718" s="15">
        <v>0.0</v>
      </c>
      <c r="O1718" s="16"/>
      <c r="P1718" s="17">
        <v>43844.43486111111</v>
      </c>
      <c r="Q1718" s="10" t="s">
        <v>660</v>
      </c>
      <c r="R1718" s="10" t="s">
        <v>7462</v>
      </c>
      <c r="S1718" s="11" t="s">
        <v>7463</v>
      </c>
      <c r="T1718" s="13"/>
      <c r="U1718" s="18" t="str">
        <f>HYPERLINK("https://pbs.twimg.com/profile_images/1217108524964163586/zhG_HKOn.jpg","View")</f>
        <v>View</v>
      </c>
      <c r="V1718" s="13"/>
      <c r="W1718" s="13"/>
      <c r="X1718" s="13"/>
      <c r="Y1718" s="13"/>
      <c r="Z1718" s="13"/>
    </row>
    <row r="1719">
      <c r="A1719" s="8">
        <v>43848.32555555555</v>
      </c>
      <c r="B1719" s="9" t="str">
        <f>HYPERLINK("https://twitter.com/billmls96_bill","@billmls96_bill")</f>
        <v>@billmls96_bill</v>
      </c>
      <c r="C1719" s="10" t="s">
        <v>7464</v>
      </c>
      <c r="D1719" s="10" t="s">
        <v>238</v>
      </c>
      <c r="E1719" s="9" t="str">
        <f>HYPERLINK("https://twitter.com/billmls96_bill/status/1218515580891881472","1218515580891881472")</f>
        <v>1218515580891881472</v>
      </c>
      <c r="F1719" s="13"/>
      <c r="G1719" s="13"/>
      <c r="H1719" s="13"/>
      <c r="I1719" s="14">
        <v>0.0</v>
      </c>
      <c r="J1719" s="14">
        <v>0.0</v>
      </c>
      <c r="K1719" s="9" t="str">
        <f>HYPERLINK("http://twitter.com/download/android","Twitter for Android")</f>
        <v>Twitter for Android</v>
      </c>
      <c r="L1719" s="15">
        <v>175.0</v>
      </c>
      <c r="M1719" s="15">
        <v>49.0</v>
      </c>
      <c r="N1719" s="15">
        <v>0.0</v>
      </c>
      <c r="O1719" s="16"/>
      <c r="P1719" s="17">
        <v>41787.67875</v>
      </c>
      <c r="Q1719" s="10" t="s">
        <v>360</v>
      </c>
      <c r="R1719" s="10" t="s">
        <v>7465</v>
      </c>
      <c r="S1719" s="13"/>
      <c r="T1719" s="13"/>
      <c r="U1719" s="18" t="str">
        <f>HYPERLINK("https://pbs.twimg.com/profile_images/1008923768373293056/cnDhIDBu.jpg","View")</f>
        <v>View</v>
      </c>
      <c r="V1719" s="13"/>
      <c r="W1719" s="13"/>
      <c r="X1719" s="13"/>
      <c r="Y1719" s="13"/>
      <c r="Z1719" s="13"/>
    </row>
    <row r="1720">
      <c r="A1720" s="8">
        <v>43848.32548611111</v>
      </c>
      <c r="B1720" s="9" t="str">
        <f>HYPERLINK("https://twitter.com/author_tyson","@author_tyson")</f>
        <v>@author_tyson</v>
      </c>
      <c r="C1720" s="10" t="s">
        <v>7466</v>
      </c>
      <c r="D1720" s="10" t="s">
        <v>7467</v>
      </c>
      <c r="E1720" s="9" t="str">
        <f>HYPERLINK("https://twitter.com/author_tyson/status/1218515559538708482","1218515559538708482")</f>
        <v>1218515559538708482</v>
      </c>
      <c r="F1720" s="11" t="s">
        <v>7468</v>
      </c>
      <c r="G1720" s="13"/>
      <c r="H1720" s="13"/>
      <c r="I1720" s="14">
        <v>2.0</v>
      </c>
      <c r="J1720" s="14">
        <v>4.0</v>
      </c>
      <c r="K1720" s="9" t="str">
        <f>HYPERLINK("http://twitter.com/download/iphone","Twitter for iPhone")</f>
        <v>Twitter for iPhone</v>
      </c>
      <c r="L1720" s="15">
        <v>180.0</v>
      </c>
      <c r="M1720" s="15">
        <v>600.0</v>
      </c>
      <c r="N1720" s="15">
        <v>0.0</v>
      </c>
      <c r="O1720" s="16"/>
      <c r="P1720" s="17">
        <v>43617.53990740741</v>
      </c>
      <c r="Q1720" s="10" t="s">
        <v>1099</v>
      </c>
      <c r="R1720" s="10" t="s">
        <v>7469</v>
      </c>
      <c r="S1720" s="11" t="s">
        <v>7470</v>
      </c>
      <c r="T1720" s="13"/>
      <c r="U1720" s="18" t="str">
        <f>HYPERLINK("https://pbs.twimg.com/profile_images/1134866819821572096/Uf0HVN07.jpg","View")</f>
        <v>View</v>
      </c>
      <c r="V1720" s="13"/>
      <c r="W1720" s="13"/>
      <c r="X1720" s="13"/>
      <c r="Y1720" s="13"/>
      <c r="Z1720" s="13"/>
    </row>
    <row r="1721">
      <c r="A1721" s="8">
        <v>43848.32487268519</v>
      </c>
      <c r="B1721" s="9" t="str">
        <f>HYPERLINK("https://twitter.com/VtRecruitment","@VtRecruitment")</f>
        <v>@VtRecruitment</v>
      </c>
      <c r="C1721" s="10" t="s">
        <v>6002</v>
      </c>
      <c r="D1721" s="10" t="s">
        <v>7471</v>
      </c>
      <c r="E1721" s="9" t="str">
        <f>HYPERLINK("https://twitter.com/VtRecruitment/status/1218515337269743616","1218515337269743616")</f>
        <v>1218515337269743616</v>
      </c>
      <c r="F1721" s="11" t="s">
        <v>7472</v>
      </c>
      <c r="G1721" s="13"/>
      <c r="H1721" s="9" t="str">
        <f>HYPERLINK("https://ctrlq.org/maps/address/#44.2152614,-72.5861615","Map")</f>
        <v>Map</v>
      </c>
      <c r="I1721" s="14">
        <v>0.0</v>
      </c>
      <c r="J1721" s="14">
        <v>0.0</v>
      </c>
      <c r="K1721" s="9" t="str">
        <f>HYPERLINK("https://www.careerarc.com","CareerArc 2.0")</f>
        <v>CareerArc 2.0</v>
      </c>
      <c r="L1721" s="15">
        <v>282.0</v>
      </c>
      <c r="M1721" s="15">
        <v>86.0</v>
      </c>
      <c r="N1721" s="15">
        <v>122.0</v>
      </c>
      <c r="O1721" s="16"/>
      <c r="P1721" s="17">
        <v>42027.55734953703</v>
      </c>
      <c r="Q1721" s="10" t="s">
        <v>6005</v>
      </c>
      <c r="R1721" s="10" t="s">
        <v>6006</v>
      </c>
      <c r="S1721" s="11" t="s">
        <v>6007</v>
      </c>
      <c r="T1721" s="13"/>
      <c r="U1721" s="18" t="str">
        <f>HYPERLINK("https://pbs.twimg.com/profile_images/639099577593823232/2Tr0YLtD.jpg","View")</f>
        <v>View</v>
      </c>
      <c r="V1721" s="13"/>
      <c r="W1721" s="13"/>
      <c r="X1721" s="13"/>
      <c r="Y1721" s="13"/>
      <c r="Z1721" s="13"/>
    </row>
    <row r="1722">
      <c r="A1722" s="8">
        <v>43848.32438657407</v>
      </c>
      <c r="B1722" s="9" t="str">
        <f>HYPERLINK("https://twitter.com/DebiecJacek","@DebiecJacek")</f>
        <v>@DebiecJacek</v>
      </c>
      <c r="C1722" s="10" t="s">
        <v>7473</v>
      </c>
      <c r="D1722" s="10" t="s">
        <v>7474</v>
      </c>
      <c r="E1722" s="9" t="str">
        <f>HYPERLINK("https://twitter.com/DebiecJacek/status/1218515160635265024","1218515160635265024")</f>
        <v>1218515160635265024</v>
      </c>
      <c r="F1722" s="10" t="s">
        <v>7475</v>
      </c>
      <c r="G1722" s="13"/>
      <c r="H1722" s="13"/>
      <c r="I1722" s="14">
        <v>8.0</v>
      </c>
      <c r="J1722" s="14">
        <v>8.0</v>
      </c>
      <c r="K1722" s="9" t="str">
        <f>HYPERLINK("https://mobile.twitter.com","Twitter Web App")</f>
        <v>Twitter Web App</v>
      </c>
      <c r="L1722" s="15">
        <v>3589.0</v>
      </c>
      <c r="M1722" s="15">
        <v>2730.0</v>
      </c>
      <c r="N1722" s="15">
        <v>110.0</v>
      </c>
      <c r="O1722" s="16"/>
      <c r="P1722" s="17">
        <v>41964.64221064815</v>
      </c>
      <c r="Q1722" s="10" t="s">
        <v>7476</v>
      </c>
      <c r="R1722" s="10" t="s">
        <v>7477</v>
      </c>
      <c r="S1722" s="11" t="s">
        <v>7478</v>
      </c>
      <c r="T1722" s="13"/>
      <c r="U1722" s="18" t="str">
        <f>HYPERLINK("https://pbs.twimg.com/profile_images/1182108731720523778/DCGI_Jrt.jpg","View")</f>
        <v>View</v>
      </c>
      <c r="V1722" s="13"/>
      <c r="W1722" s="13"/>
      <c r="X1722" s="13"/>
      <c r="Y1722" s="13"/>
      <c r="Z1722" s="13"/>
    </row>
    <row r="1723">
      <c r="A1723" s="8">
        <v>43848.32428240741</v>
      </c>
      <c r="B1723" s="9" t="str">
        <f>HYPERLINK("https://twitter.com/scofieldsballum","@scofieldsballum")</f>
        <v>@scofieldsballum</v>
      </c>
      <c r="C1723" s="10" t="s">
        <v>7479</v>
      </c>
      <c r="D1723" s="10" t="s">
        <v>7480</v>
      </c>
      <c r="E1723" s="9" t="str">
        <f>HYPERLINK("https://twitter.com/scofieldsballum/status/1218515121854668800","1218515121854668800")</f>
        <v>1218515121854668800</v>
      </c>
      <c r="F1723" s="11" t="s">
        <v>7481</v>
      </c>
      <c r="G1723" s="13"/>
      <c r="H1723" s="13"/>
      <c r="I1723" s="14">
        <v>2.0</v>
      </c>
      <c r="J1723" s="14">
        <v>4.0</v>
      </c>
      <c r="K1723" s="9" t="str">
        <f>HYPERLINK("http://twitter.com/download/iphone","Twitter for iPhone")</f>
        <v>Twitter for iPhone</v>
      </c>
      <c r="L1723" s="15">
        <v>218.0</v>
      </c>
      <c r="M1723" s="15">
        <v>91.0</v>
      </c>
      <c r="N1723" s="15">
        <v>2.0</v>
      </c>
      <c r="O1723" s="16"/>
      <c r="P1723" s="17">
        <v>43723.56119212963</v>
      </c>
      <c r="Q1723" s="10" t="s">
        <v>7482</v>
      </c>
      <c r="R1723" s="10" t="s">
        <v>7483</v>
      </c>
      <c r="S1723" s="11" t="s">
        <v>7484</v>
      </c>
      <c r="T1723" s="13"/>
      <c r="U1723" s="18" t="str">
        <f>HYPERLINK("https://pbs.twimg.com/profile_images/1212723156710035456/MAvsX9tS.jpg","View")</f>
        <v>View</v>
      </c>
      <c r="V1723" s="13"/>
      <c r="W1723" s="13"/>
      <c r="X1723" s="13"/>
      <c r="Y1723" s="13"/>
      <c r="Z1723" s="13"/>
    </row>
    <row r="1724">
      <c r="A1724" s="8">
        <v>43848.324224537035</v>
      </c>
      <c r="B1724" s="9" t="str">
        <f>HYPERLINK("https://twitter.com/finlay007","@finlay007")</f>
        <v>@finlay007</v>
      </c>
      <c r="C1724" s="10" t="s">
        <v>7485</v>
      </c>
      <c r="D1724" s="10" t="s">
        <v>7486</v>
      </c>
      <c r="E1724" s="9" t="str">
        <f>HYPERLINK("https://twitter.com/finlay007/status/1218515102019747840","1218515102019747840")</f>
        <v>1218515102019747840</v>
      </c>
      <c r="F1724" s="11" t="s">
        <v>7487</v>
      </c>
      <c r="G1724" s="13"/>
      <c r="H1724" s="13"/>
      <c r="I1724" s="14">
        <v>0.0</v>
      </c>
      <c r="J1724" s="14">
        <v>0.0</v>
      </c>
      <c r="K1724" s="9" t="str">
        <f>HYPERLINK("http://instagram.com","Instagram")</f>
        <v>Instagram</v>
      </c>
      <c r="L1724" s="15">
        <v>81.0</v>
      </c>
      <c r="M1724" s="15">
        <v>435.0</v>
      </c>
      <c r="N1724" s="15">
        <v>10.0</v>
      </c>
      <c r="O1724" s="16"/>
      <c r="P1724" s="17">
        <v>40424.198645833334</v>
      </c>
      <c r="Q1724" s="10" t="s">
        <v>7488</v>
      </c>
      <c r="R1724" s="10" t="s">
        <v>7489</v>
      </c>
      <c r="S1724" s="13"/>
      <c r="T1724" s="13"/>
      <c r="U1724" s="18" t="str">
        <f>HYPERLINK("https://pbs.twimg.com/profile_images/1173976642508722181/6_wi3L0H.jpg","View")</f>
        <v>View</v>
      </c>
      <c r="V1724" s="13"/>
      <c r="W1724" s="13"/>
      <c r="X1724" s="13"/>
      <c r="Y1724" s="13"/>
      <c r="Z1724" s="13"/>
    </row>
    <row r="1725">
      <c r="A1725" s="8">
        <v>43848.32378472222</v>
      </c>
      <c r="B1725" s="9" t="str">
        <f>HYPERLINK("https://twitter.com/officialHauwaA","@officialHauwaA")</f>
        <v>@officialHauwaA</v>
      </c>
      <c r="C1725" s="10" t="s">
        <v>7490</v>
      </c>
      <c r="D1725" s="10" t="s">
        <v>238</v>
      </c>
      <c r="E1725" s="9" t="str">
        <f>HYPERLINK("https://twitter.com/officialHauwaA/status/1218514941214367746","1218514941214367746")</f>
        <v>1218514941214367746</v>
      </c>
      <c r="F1725" s="13"/>
      <c r="G1725" s="13"/>
      <c r="H1725" s="13"/>
      <c r="I1725" s="14">
        <v>2.0</v>
      </c>
      <c r="J1725" s="14">
        <v>2.0</v>
      </c>
      <c r="K1725" s="9" t="str">
        <f>HYPERLINK("http://twitter.com/download/android","Twitter for Android")</f>
        <v>Twitter for Android</v>
      </c>
      <c r="L1725" s="15">
        <v>460.0</v>
      </c>
      <c r="M1725" s="15">
        <v>465.0</v>
      </c>
      <c r="N1725" s="15">
        <v>0.0</v>
      </c>
      <c r="O1725" s="16"/>
      <c r="P1725" s="17">
        <v>43118.37564814815</v>
      </c>
      <c r="Q1725" s="13"/>
      <c r="R1725" s="10" t="s">
        <v>7491</v>
      </c>
      <c r="S1725" s="11" t="s">
        <v>7492</v>
      </c>
      <c r="T1725" s="13"/>
      <c r="U1725" s="18" t="str">
        <f>HYPERLINK("https://pbs.twimg.com/profile_images/1102347498482528256/ZAfcQVMR.jpg","View")</f>
        <v>View</v>
      </c>
      <c r="V1725" s="13"/>
      <c r="W1725" s="13"/>
      <c r="X1725" s="13"/>
      <c r="Y1725" s="13"/>
      <c r="Z1725" s="13"/>
    </row>
    <row r="1726">
      <c r="A1726" s="8">
        <v>43848.323692129634</v>
      </c>
      <c r="B1726" s="9" t="str">
        <f>HYPERLINK("https://twitter.com/lilsoulscapist","@lilsoulscapist")</f>
        <v>@lilsoulscapist</v>
      </c>
      <c r="C1726" s="10" t="s">
        <v>7493</v>
      </c>
      <c r="D1726" s="10" t="s">
        <v>7494</v>
      </c>
      <c r="E1726" s="9" t="str">
        <f>HYPERLINK("https://twitter.com/lilsoulscapist/status/1218514909266313217","1218514909266313217")</f>
        <v>1218514909266313217</v>
      </c>
      <c r="F1726" s="11" t="s">
        <v>7495</v>
      </c>
      <c r="G1726" s="13"/>
      <c r="H1726" s="13"/>
      <c r="I1726" s="14">
        <v>0.0</v>
      </c>
      <c r="J1726" s="14">
        <v>0.0</v>
      </c>
      <c r="K1726" s="9" t="str">
        <f>HYPERLINK("https://mobile.twitter.com","Twitter Web App")</f>
        <v>Twitter Web App</v>
      </c>
      <c r="L1726" s="15">
        <v>5812.0</v>
      </c>
      <c r="M1726" s="15">
        <v>2636.0</v>
      </c>
      <c r="N1726" s="15">
        <v>164.0</v>
      </c>
      <c r="O1726" s="16"/>
      <c r="P1726" s="17">
        <v>40193.48314814815</v>
      </c>
      <c r="Q1726" s="10" t="s">
        <v>7496</v>
      </c>
      <c r="R1726" s="10" t="s">
        <v>7497</v>
      </c>
      <c r="S1726" s="13"/>
      <c r="T1726" s="13"/>
      <c r="U1726" s="18" t="str">
        <f>HYPERLINK("https://pbs.twimg.com/profile_images/1212429775727235072/sSqubckl.jpg","View")</f>
        <v>View</v>
      </c>
      <c r="V1726" s="13"/>
      <c r="W1726" s="13"/>
      <c r="X1726" s="13"/>
      <c r="Y1726" s="13"/>
      <c r="Z1726" s="13"/>
    </row>
    <row r="1727">
      <c r="A1727" s="8">
        <v>43848.32368055556</v>
      </c>
      <c r="B1727" s="9" t="str">
        <f>HYPERLINK("https://twitter.com/CWKEARY","@CWKEARY")</f>
        <v>@CWKEARY</v>
      </c>
      <c r="C1727" s="10" t="s">
        <v>7498</v>
      </c>
      <c r="D1727" s="10" t="s">
        <v>7499</v>
      </c>
      <c r="E1727" s="9" t="str">
        <f>HYPERLINK("https://twitter.com/CWKEARY/status/1218514901766832128","1218514901766832128")</f>
        <v>1218514901766832128</v>
      </c>
      <c r="F1727" s="13"/>
      <c r="G1727" s="11" t="s">
        <v>7500</v>
      </c>
      <c r="H1727" s="13"/>
      <c r="I1727" s="14">
        <v>0.0</v>
      </c>
      <c r="J1727" s="14">
        <v>3.0</v>
      </c>
      <c r="K1727" s="9" t="str">
        <f>HYPERLINK("http://twitter.com/download/iphone","Twitter for iPhone")</f>
        <v>Twitter for iPhone</v>
      </c>
      <c r="L1727" s="15">
        <v>1459.0</v>
      </c>
      <c r="M1727" s="15">
        <v>2668.0</v>
      </c>
      <c r="N1727" s="15">
        <v>46.0</v>
      </c>
      <c r="O1727" s="16"/>
      <c r="P1727" s="17">
        <v>40488.90557870371</v>
      </c>
      <c r="Q1727" s="10" t="s">
        <v>7501</v>
      </c>
      <c r="R1727" s="10" t="s">
        <v>7502</v>
      </c>
      <c r="S1727" s="11" t="s">
        <v>7503</v>
      </c>
      <c r="T1727" s="13"/>
      <c r="U1727" s="18" t="str">
        <f>HYPERLINK("https://pbs.twimg.com/profile_images/1038321021848182784/tsXtSndn.jpg","View")</f>
        <v>View</v>
      </c>
      <c r="V1727" s="13"/>
      <c r="W1727" s="13"/>
      <c r="X1727" s="13"/>
      <c r="Y1727" s="13"/>
      <c r="Z1727" s="13"/>
    </row>
    <row r="1728">
      <c r="A1728" s="8">
        <v>43848.32319444444</v>
      </c>
      <c r="B1728" s="9" t="str">
        <f>HYPERLINK("https://twitter.com/manojpandey66","@manojpandey66")</f>
        <v>@manojpandey66</v>
      </c>
      <c r="C1728" s="10" t="s">
        <v>7504</v>
      </c>
      <c r="D1728" s="10" t="s">
        <v>7505</v>
      </c>
      <c r="E1728" s="9" t="str">
        <f>HYPERLINK("https://twitter.com/manojpandey66/status/1218514726990139393","1218514726990139393")</f>
        <v>1218514726990139393</v>
      </c>
      <c r="F1728" s="13"/>
      <c r="G1728" s="11" t="s">
        <v>7506</v>
      </c>
      <c r="H1728" s="13"/>
      <c r="I1728" s="14">
        <v>0.0</v>
      </c>
      <c r="J1728" s="14">
        <v>1.0</v>
      </c>
      <c r="K1728" s="9" t="str">
        <f>HYPERLINK("https://mobile.twitter.com","Twitter Web App")</f>
        <v>Twitter Web App</v>
      </c>
      <c r="L1728" s="15">
        <v>1372.0</v>
      </c>
      <c r="M1728" s="15">
        <v>555.0</v>
      </c>
      <c r="N1728" s="15">
        <v>7.0</v>
      </c>
      <c r="O1728" s="16"/>
      <c r="P1728" s="17">
        <v>40746.0390625</v>
      </c>
      <c r="Q1728" s="10" t="s">
        <v>7507</v>
      </c>
      <c r="R1728" s="10" t="s">
        <v>7508</v>
      </c>
      <c r="S1728" s="11" t="s">
        <v>7509</v>
      </c>
      <c r="T1728" s="13"/>
      <c r="U1728" s="18" t="str">
        <f>HYPERLINK("https://pbs.twimg.com/profile_images/1134750107302125569/VwLz3fkd.png","View")</f>
        <v>View</v>
      </c>
      <c r="V1728" s="13"/>
      <c r="W1728" s="13"/>
      <c r="X1728" s="13"/>
      <c r="Y1728" s="13"/>
      <c r="Z1728" s="13"/>
    </row>
    <row r="1729">
      <c r="A1729" s="8">
        <v>43848.32304398148</v>
      </c>
      <c r="B1729" s="9" t="str">
        <f>HYPERLINK("https://twitter.com/DKlemitz","@DKlemitz")</f>
        <v>@DKlemitz</v>
      </c>
      <c r="C1729" s="10" t="s">
        <v>7510</v>
      </c>
      <c r="D1729" s="10" t="s">
        <v>238</v>
      </c>
      <c r="E1729" s="9" t="str">
        <f>HYPERLINK("https://twitter.com/DKlemitz/status/1218514674393600000","1218514674393600000")</f>
        <v>1218514674393600000</v>
      </c>
      <c r="F1729" s="13"/>
      <c r="G1729" s="13"/>
      <c r="H1729" s="13"/>
      <c r="I1729" s="14">
        <v>0.0</v>
      </c>
      <c r="J1729" s="14">
        <v>0.0</v>
      </c>
      <c r="K1729" s="9" t="str">
        <f>HYPERLINK("http://twitter.com/download/android","Twitter for Android")</f>
        <v>Twitter for Android</v>
      </c>
      <c r="L1729" s="15">
        <v>465.0</v>
      </c>
      <c r="M1729" s="15">
        <v>2116.0</v>
      </c>
      <c r="N1729" s="15">
        <v>11.0</v>
      </c>
      <c r="O1729" s="16"/>
      <c r="P1729" s="17">
        <v>41912.85046296296</v>
      </c>
      <c r="Q1729" s="13"/>
      <c r="R1729" s="13"/>
      <c r="S1729" s="13"/>
      <c r="T1729" s="13"/>
      <c r="U1729" s="18" t="str">
        <f>HYPERLINK("https://pbs.twimg.com/profile_images/517245168173334529/uVMAfIlg.jpeg","View")</f>
        <v>View</v>
      </c>
      <c r="V1729" s="13"/>
      <c r="W1729" s="13"/>
      <c r="X1729" s="13"/>
      <c r="Y1729" s="13"/>
      <c r="Z1729" s="13"/>
    </row>
    <row r="1730">
      <c r="A1730" s="8">
        <v>43848.322962962964</v>
      </c>
      <c r="B1730" s="9" t="str">
        <f>HYPERLINK("https://twitter.com/CWAcharity","@CWAcharity")</f>
        <v>@CWAcharity</v>
      </c>
      <c r="C1730" s="10" t="s">
        <v>7511</v>
      </c>
      <c r="D1730" s="10" t="s">
        <v>7512</v>
      </c>
      <c r="E1730" s="9" t="str">
        <f>HYPERLINK("https://twitter.com/CWAcharity/status/1218514643246899201","1218514643246899201")</f>
        <v>1218514643246899201</v>
      </c>
      <c r="F1730" s="11" t="s">
        <v>7513</v>
      </c>
      <c r="G1730" s="11" t="s">
        <v>7514</v>
      </c>
      <c r="H1730" s="13"/>
      <c r="I1730" s="14">
        <v>0.0</v>
      </c>
      <c r="J1730" s="14">
        <v>0.0</v>
      </c>
      <c r="K1730" s="9" t="str">
        <f>HYPERLINK("https://www.hootsuite.com","Hootsuite Inc.")</f>
        <v>Hootsuite Inc.</v>
      </c>
      <c r="L1730" s="15">
        <v>2051.0</v>
      </c>
      <c r="M1730" s="15">
        <v>911.0</v>
      </c>
      <c r="N1730" s="15">
        <v>47.0</v>
      </c>
      <c r="O1730" s="16"/>
      <c r="P1730" s="17">
        <v>40990.37988425926</v>
      </c>
      <c r="Q1730" s="10" t="s">
        <v>7515</v>
      </c>
      <c r="R1730" s="10" t="s">
        <v>7516</v>
      </c>
      <c r="S1730" s="11" t="s">
        <v>7517</v>
      </c>
      <c r="T1730" s="13"/>
      <c r="U1730" s="18" t="str">
        <f>HYPERLINK("https://pbs.twimg.com/profile_images/1153622764256993281/2JpUcmvH.jpg","View")</f>
        <v>View</v>
      </c>
      <c r="V1730" s="13"/>
      <c r="W1730" s="13"/>
      <c r="X1730" s="13"/>
      <c r="Y1730" s="13"/>
      <c r="Z1730" s="13"/>
    </row>
    <row r="1731">
      <c r="A1731" s="8">
        <v>43848.32290509259</v>
      </c>
      <c r="B1731" s="9" t="str">
        <f>HYPERLINK("https://twitter.com/cwoodheadhunter","@cwoodheadhunter")</f>
        <v>@cwoodheadhunter</v>
      </c>
      <c r="C1731" s="10" t="s">
        <v>7518</v>
      </c>
      <c r="D1731" s="10" t="s">
        <v>7131</v>
      </c>
      <c r="E1731" s="9" t="str">
        <f>HYPERLINK("https://twitter.com/cwoodheadhunter/status/1218514623801982977","1218514623801982977")</f>
        <v>1218514623801982977</v>
      </c>
      <c r="F1731" s="11" t="s">
        <v>7519</v>
      </c>
      <c r="G1731" s="13"/>
      <c r="H1731" s="13"/>
      <c r="I1731" s="14">
        <v>0.0</v>
      </c>
      <c r="J1731" s="14">
        <v>1.0</v>
      </c>
      <c r="K1731" s="9" t="str">
        <f>HYPERLINK("http://www.hubspot.com/","HubSpot")</f>
        <v>HubSpot</v>
      </c>
      <c r="L1731" s="15">
        <v>1394.0</v>
      </c>
      <c r="M1731" s="15">
        <v>969.0</v>
      </c>
      <c r="N1731" s="15">
        <v>579.0</v>
      </c>
      <c r="O1731" s="16"/>
      <c r="P1731" s="17">
        <v>40261.379432870366</v>
      </c>
      <c r="Q1731" s="10" t="s">
        <v>7133</v>
      </c>
      <c r="R1731" s="10" t="s">
        <v>7520</v>
      </c>
      <c r="S1731" s="11" t="s">
        <v>7521</v>
      </c>
      <c r="T1731" s="13"/>
      <c r="U1731" s="18" t="str">
        <f>HYPERLINK("https://pbs.twimg.com/profile_images/876688746476969985/NWZmhtoI.jpg","View")</f>
        <v>View</v>
      </c>
      <c r="V1731" s="13"/>
      <c r="W1731" s="13"/>
      <c r="X1731" s="13"/>
      <c r="Y1731" s="13"/>
      <c r="Z1731" s="13"/>
    </row>
    <row r="1732">
      <c r="A1732" s="8">
        <v>43848.322604166664</v>
      </c>
      <c r="B1732" s="9" t="str">
        <f>HYPERLINK("https://twitter.com/thepatchworkfox","@thepatchworkfox")</f>
        <v>@thepatchworkfox</v>
      </c>
      <c r="C1732" s="10" t="s">
        <v>7522</v>
      </c>
      <c r="D1732" s="10" t="s">
        <v>7523</v>
      </c>
      <c r="E1732" s="9" t="str">
        <f>HYPERLINK("https://twitter.com/thepatchworkfox/status/1218514514657914881","1218514514657914881")</f>
        <v>1218514514657914881</v>
      </c>
      <c r="F1732" s="11" t="s">
        <v>7524</v>
      </c>
      <c r="G1732" s="13"/>
      <c r="H1732" s="13"/>
      <c r="I1732" s="14">
        <v>0.0</v>
      </c>
      <c r="J1732" s="14">
        <v>5.0</v>
      </c>
      <c r="K1732" s="9" t="str">
        <f>HYPERLINK("https://mobile.twitter.com","Twitter Web App")</f>
        <v>Twitter Web App</v>
      </c>
      <c r="L1732" s="15">
        <v>5763.0</v>
      </c>
      <c r="M1732" s="15">
        <v>1544.0</v>
      </c>
      <c r="N1732" s="15">
        <v>27.0</v>
      </c>
      <c r="O1732" s="16"/>
      <c r="P1732" s="17">
        <v>42551.610173611116</v>
      </c>
      <c r="Q1732" s="10" t="s">
        <v>2814</v>
      </c>
      <c r="R1732" s="10" t="s">
        <v>7525</v>
      </c>
      <c r="S1732" s="11" t="s">
        <v>7524</v>
      </c>
      <c r="T1732" s="13"/>
      <c r="U1732" s="18" t="str">
        <f>HYPERLINK("https://pbs.twimg.com/profile_images/1203367781418356737/9ROFECku.jpg","View")</f>
        <v>View</v>
      </c>
      <c r="V1732" s="13"/>
      <c r="W1732" s="13"/>
      <c r="X1732" s="13"/>
      <c r="Y1732" s="13"/>
      <c r="Z1732" s="13"/>
    </row>
    <row r="1733">
      <c r="A1733" s="8">
        <v>43848.322222222225</v>
      </c>
      <c r="B1733" s="9" t="str">
        <f>HYPERLINK("https://twitter.com/YIKAM","@YIKAM")</f>
        <v>@YIKAM</v>
      </c>
      <c r="C1733" s="10" t="s">
        <v>7526</v>
      </c>
      <c r="D1733" s="10" t="s">
        <v>238</v>
      </c>
      <c r="E1733" s="9" t="str">
        <f>HYPERLINK("https://twitter.com/YIKAM/status/1218514376577208320","1218514376577208320")</f>
        <v>1218514376577208320</v>
      </c>
      <c r="F1733" s="13"/>
      <c r="G1733" s="13"/>
      <c r="H1733" s="13"/>
      <c r="I1733" s="14">
        <v>0.0</v>
      </c>
      <c r="J1733" s="14">
        <v>0.0</v>
      </c>
      <c r="K1733" s="9" t="str">
        <f>HYPERLINK("http://twitter.com/download/iphone","Twitter for iPhone")</f>
        <v>Twitter for iPhone</v>
      </c>
      <c r="L1733" s="15">
        <v>182.0</v>
      </c>
      <c r="M1733" s="15">
        <v>1370.0</v>
      </c>
      <c r="N1733" s="15">
        <v>0.0</v>
      </c>
      <c r="O1733" s="16"/>
      <c r="P1733" s="17">
        <v>40000.32896990741</v>
      </c>
      <c r="Q1733" s="10" t="s">
        <v>7527</v>
      </c>
      <c r="R1733" s="13"/>
      <c r="S1733" s="13"/>
      <c r="T1733" s="13"/>
      <c r="U1733" s="18" t="str">
        <f>HYPERLINK("https://pbs.twimg.com/profile_images/440996460470226944/z0cJDOzA.jpeg","View")</f>
        <v>View</v>
      </c>
      <c r="V1733" s="13"/>
      <c r="W1733" s="13"/>
      <c r="X1733" s="13"/>
      <c r="Y1733" s="13"/>
      <c r="Z1733" s="13"/>
    </row>
    <row r="1734">
      <c r="A1734" s="8">
        <v>43848.32204861111</v>
      </c>
      <c r="B1734" s="9" t="str">
        <f>HYPERLINK("https://twitter.com/YangBanking","@YangBanking")</f>
        <v>@YangBanking</v>
      </c>
      <c r="C1734" s="10" t="s">
        <v>7528</v>
      </c>
      <c r="D1734" s="10" t="s">
        <v>7529</v>
      </c>
      <c r="E1734" s="9" t="str">
        <f>HYPERLINK("https://twitter.com/YangBanking/status/1218514313255772160","1218514313255772160")</f>
        <v>1218514313255772160</v>
      </c>
      <c r="F1734" s="10" t="s">
        <v>7530</v>
      </c>
      <c r="G1734" s="13"/>
      <c r="H1734" s="13"/>
      <c r="I1734" s="14">
        <v>1.0</v>
      </c>
      <c r="J1734" s="14">
        <v>0.0</v>
      </c>
      <c r="K1734" s="9" t="str">
        <f>HYPERLINK("https://yangbanking.com","YangBanking")</f>
        <v>YangBanking</v>
      </c>
      <c r="L1734" s="15">
        <v>367.0</v>
      </c>
      <c r="M1734" s="15">
        <v>8.0</v>
      </c>
      <c r="N1734" s="15">
        <v>3.0</v>
      </c>
      <c r="O1734" s="16"/>
      <c r="P1734" s="17">
        <v>43709.008356481485</v>
      </c>
      <c r="Q1734" s="13"/>
      <c r="R1734" s="10" t="s">
        <v>7531</v>
      </c>
      <c r="S1734" s="11" t="s">
        <v>7532</v>
      </c>
      <c r="T1734" s="13"/>
      <c r="U1734" s="18" t="str">
        <f>HYPERLINK("https://pbs.twimg.com/profile_images/1172147807475515392/yLWABnMt.jpg","View")</f>
        <v>View</v>
      </c>
      <c r="V1734" s="13"/>
      <c r="W1734" s="13"/>
      <c r="X1734" s="13"/>
      <c r="Y1734" s="13"/>
      <c r="Z1734" s="13"/>
    </row>
    <row r="1735">
      <c r="A1735" s="8">
        <v>43848.32188657408</v>
      </c>
      <c r="B1735" s="9" t="str">
        <f>HYPERLINK("https://twitter.com/thesunshineser1","@thesunshineser1")</f>
        <v>@thesunshineser1</v>
      </c>
      <c r="C1735" s="10" t="s">
        <v>7533</v>
      </c>
      <c r="D1735" s="10" t="s">
        <v>7534</v>
      </c>
      <c r="E1735" s="9" t="str">
        <f>HYPERLINK("https://twitter.com/thesunshineser1/status/1218514254464278528","1218514254464278528")</f>
        <v>1218514254464278528</v>
      </c>
      <c r="F1735" s="13"/>
      <c r="G1735" s="11" t="s">
        <v>7535</v>
      </c>
      <c r="H1735" s="13"/>
      <c r="I1735" s="14">
        <v>1.0</v>
      </c>
      <c r="J1735" s="14">
        <v>3.0</v>
      </c>
      <c r="K1735" s="9" t="str">
        <f>HYPERLINK("http://twitter.com/download/android","Twitter for Android")</f>
        <v>Twitter for Android</v>
      </c>
      <c r="L1735" s="15">
        <v>8.0</v>
      </c>
      <c r="M1735" s="15">
        <v>12.0</v>
      </c>
      <c r="N1735" s="15">
        <v>0.0</v>
      </c>
      <c r="O1735" s="16"/>
      <c r="P1735" s="17">
        <v>43827.46233796296</v>
      </c>
      <c r="Q1735" s="13"/>
      <c r="R1735" s="10" t="s">
        <v>7536</v>
      </c>
      <c r="S1735" s="13"/>
      <c r="T1735" s="13"/>
      <c r="U1735" s="18" t="str">
        <f>HYPERLINK("https://pbs.twimg.com/profile_images/1210955193015291904/PwDDiHTS.jpg","View")</f>
        <v>View</v>
      </c>
      <c r="V1735" s="13"/>
      <c r="W1735" s="13"/>
      <c r="X1735" s="13"/>
      <c r="Y1735" s="13"/>
      <c r="Z1735" s="13"/>
    </row>
    <row r="1736">
      <c r="A1736" s="8">
        <v>43848.32163194445</v>
      </c>
      <c r="B1736" s="9" t="str">
        <f>HYPERLINK("https://twitter.com/MartinBell1966","@MartinBell1966")</f>
        <v>@MartinBell1966</v>
      </c>
      <c r="C1736" s="10" t="s">
        <v>7537</v>
      </c>
      <c r="D1736" s="10" t="s">
        <v>7538</v>
      </c>
      <c r="E1736" s="9" t="str">
        <f>HYPERLINK("https://twitter.com/MartinBell1966/status/1218514159631060992","1218514159631060992")</f>
        <v>1218514159631060992</v>
      </c>
      <c r="F1736" s="13"/>
      <c r="G1736" s="11" t="s">
        <v>7539</v>
      </c>
      <c r="H1736" s="13"/>
      <c r="I1736" s="14">
        <v>0.0</v>
      </c>
      <c r="J1736" s="14">
        <v>7.0</v>
      </c>
      <c r="K1736" s="9" t="str">
        <f>HYPERLINK("http://twitter.com/download/iphone","Twitter for iPhone")</f>
        <v>Twitter for iPhone</v>
      </c>
      <c r="L1736" s="15">
        <v>2443.0</v>
      </c>
      <c r="M1736" s="15">
        <v>5002.0</v>
      </c>
      <c r="N1736" s="15">
        <v>35.0</v>
      </c>
      <c r="O1736" s="16"/>
      <c r="P1736" s="17">
        <v>42763.78361111111</v>
      </c>
      <c r="Q1736" s="10" t="s">
        <v>7540</v>
      </c>
      <c r="R1736" s="10" t="s">
        <v>7541</v>
      </c>
      <c r="S1736" s="13"/>
      <c r="T1736" s="13"/>
      <c r="U1736" s="18" t="str">
        <f>HYPERLINK("https://pbs.twimg.com/profile_images/838450165069533189/tLtX783p.jpg","View")</f>
        <v>View</v>
      </c>
      <c r="V1736" s="13"/>
      <c r="W1736" s="13"/>
      <c r="X1736" s="13"/>
      <c r="Y1736" s="13"/>
      <c r="Z1736" s="13"/>
    </row>
    <row r="1737">
      <c r="A1737" s="8">
        <v>43848.32152777778</v>
      </c>
      <c r="B1737" s="9" t="str">
        <f>HYPERLINK("https://twitter.com/Mindful_Tech","@Mindful_Tech")</f>
        <v>@Mindful_Tech</v>
      </c>
      <c r="C1737" s="10" t="s">
        <v>7542</v>
      </c>
      <c r="D1737" s="10" t="s">
        <v>7543</v>
      </c>
      <c r="E1737" s="9" t="str">
        <f>HYPERLINK("https://twitter.com/Mindful_Tech/status/1218514122792493056","1218514122792493056")</f>
        <v>1218514122792493056</v>
      </c>
      <c r="F1737" s="11" t="s">
        <v>7544</v>
      </c>
      <c r="G1737" s="13"/>
      <c r="H1737" s="13"/>
      <c r="I1737" s="14">
        <v>0.0</v>
      </c>
      <c r="J1737" s="14">
        <v>0.0</v>
      </c>
      <c r="K1737" s="9" t="str">
        <f>HYPERLINK("https://buffer.com","Buffer")</f>
        <v>Buffer</v>
      </c>
      <c r="L1737" s="15">
        <v>14942.0</v>
      </c>
      <c r="M1737" s="15">
        <v>1547.0</v>
      </c>
      <c r="N1737" s="15">
        <v>603.0</v>
      </c>
      <c r="O1737" s="16"/>
      <c r="P1737" s="17">
        <v>40170.7202662037</v>
      </c>
      <c r="Q1737" s="10" t="s">
        <v>261</v>
      </c>
      <c r="R1737" s="10" t="s">
        <v>7545</v>
      </c>
      <c r="S1737" s="11" t="s">
        <v>7546</v>
      </c>
      <c r="T1737" s="13"/>
      <c r="U1737" s="18" t="str">
        <f>HYPERLINK("https://pbs.twimg.com/profile_images/1034129257520349184/m3lyPUpn.jpg","View")</f>
        <v>View</v>
      </c>
      <c r="V1737" s="13"/>
      <c r="W1737" s="13"/>
      <c r="X1737" s="13"/>
      <c r="Y1737" s="13"/>
      <c r="Z1737" s="13"/>
    </row>
    <row r="1738">
      <c r="A1738" s="8">
        <v>43848.32126157408</v>
      </c>
      <c r="B1738" s="9" t="str">
        <f>HYPERLINK("https://twitter.com/BunsenLearner","@BunsenLearner")</f>
        <v>@BunsenLearner</v>
      </c>
      <c r="C1738" s="10" t="s">
        <v>7547</v>
      </c>
      <c r="D1738" s="10" t="s">
        <v>7548</v>
      </c>
      <c r="E1738" s="9" t="str">
        <f>HYPERLINK("https://twitter.com/BunsenLearner/status/1218514026025627648","1218514026025627648")</f>
        <v>1218514026025627648</v>
      </c>
      <c r="F1738" s="13"/>
      <c r="G1738" s="13"/>
      <c r="H1738" s="13"/>
      <c r="I1738" s="14">
        <v>0.0</v>
      </c>
      <c r="J1738" s="14">
        <v>4.0</v>
      </c>
      <c r="K1738" s="9" t="str">
        <f>HYPERLINK("http://twitter.com/download/android","Twitter for Android")</f>
        <v>Twitter for Android</v>
      </c>
      <c r="L1738" s="15">
        <v>1312.0</v>
      </c>
      <c r="M1738" s="15">
        <v>3115.0</v>
      </c>
      <c r="N1738" s="15">
        <v>7.0</v>
      </c>
      <c r="O1738" s="16"/>
      <c r="P1738" s="17">
        <v>43167.59127314815</v>
      </c>
      <c r="Q1738" s="10" t="s">
        <v>7549</v>
      </c>
      <c r="R1738" s="10" t="s">
        <v>7550</v>
      </c>
      <c r="S1738" s="13"/>
      <c r="T1738" s="13"/>
      <c r="U1738" s="18" t="str">
        <f>HYPERLINK("https://pbs.twimg.com/profile_images/1158353668678279168/7pRJwYGL.jpg","View")</f>
        <v>View</v>
      </c>
      <c r="V1738" s="13"/>
      <c r="W1738" s="13"/>
      <c r="X1738" s="13"/>
      <c r="Y1738" s="13"/>
      <c r="Z1738" s="13"/>
    </row>
    <row r="1739">
      <c r="A1739" s="8">
        <v>43848.320868055554</v>
      </c>
      <c r="B1739" s="9" t="str">
        <f>HYPERLINK("https://twitter.com/PeteMoring","@PeteMoring")</f>
        <v>@PeteMoring</v>
      </c>
      <c r="C1739" s="10" t="s">
        <v>7551</v>
      </c>
      <c r="D1739" s="10" t="s">
        <v>7552</v>
      </c>
      <c r="E1739" s="9" t="str">
        <f>HYPERLINK("https://twitter.com/PeteMoring/status/1218513882907541504","1218513882907541504")</f>
        <v>1218513882907541504</v>
      </c>
      <c r="F1739" s="11" t="s">
        <v>7553</v>
      </c>
      <c r="G1739" s="13"/>
      <c r="H1739" s="13"/>
      <c r="I1739" s="14">
        <v>0.0</v>
      </c>
      <c r="J1739" s="14">
        <v>0.0</v>
      </c>
      <c r="K1739" s="9" t="str">
        <f>HYPERLINK("http://twitter.com","Twitter Web Client")</f>
        <v>Twitter Web Client</v>
      </c>
      <c r="L1739" s="15">
        <v>4302.0</v>
      </c>
      <c r="M1739" s="15">
        <v>4458.0</v>
      </c>
      <c r="N1739" s="15">
        <v>345.0</v>
      </c>
      <c r="O1739" s="16"/>
      <c r="P1739" s="17">
        <v>39201.27011574074</v>
      </c>
      <c r="Q1739" s="10" t="s">
        <v>7554</v>
      </c>
      <c r="R1739" s="10" t="s">
        <v>7555</v>
      </c>
      <c r="S1739" s="11" t="s">
        <v>7556</v>
      </c>
      <c r="T1739" s="13"/>
      <c r="U1739" s="18" t="str">
        <f>HYPERLINK("https://pbs.twimg.com/profile_images/881154452/My_Face.jpg","View")</f>
        <v>View</v>
      </c>
      <c r="V1739" s="13"/>
      <c r="W1739" s="13"/>
      <c r="X1739" s="13"/>
      <c r="Y1739" s="13"/>
      <c r="Z1739" s="13"/>
    </row>
    <row r="1740">
      <c r="A1740" s="8">
        <v>43848.32008101852</v>
      </c>
      <c r="B1740" s="9" t="str">
        <f>HYPERLINK("https://twitter.com/Sarinah20201","@Sarinah20201")</f>
        <v>@Sarinah20201</v>
      </c>
      <c r="C1740" s="10" t="s">
        <v>7557</v>
      </c>
      <c r="D1740" s="10" t="s">
        <v>7558</v>
      </c>
      <c r="E1740" s="9" t="str">
        <f>HYPERLINK("https://twitter.com/Sarinah20201/status/1218513598131187713","1218513598131187713")</f>
        <v>1218513598131187713</v>
      </c>
      <c r="F1740" s="11" t="s">
        <v>7559</v>
      </c>
      <c r="G1740" s="11" t="s">
        <v>7560</v>
      </c>
      <c r="H1740" s="13"/>
      <c r="I1740" s="14">
        <v>0.0</v>
      </c>
      <c r="J1740" s="14">
        <v>0.0</v>
      </c>
      <c r="K1740" s="9" t="str">
        <f>HYPERLINK("https://mobile.twitter.com","Twitter Web App")</f>
        <v>Twitter Web App</v>
      </c>
      <c r="L1740" s="15">
        <v>6.0</v>
      </c>
      <c r="M1740" s="15">
        <v>65.0</v>
      </c>
      <c r="N1740" s="15">
        <v>0.0</v>
      </c>
      <c r="O1740" s="16"/>
      <c r="P1740" s="17">
        <v>43734.359560185185</v>
      </c>
      <c r="Q1740" s="13"/>
      <c r="R1740" s="10" t="s">
        <v>7561</v>
      </c>
      <c r="S1740" s="13"/>
      <c r="T1740" s="13"/>
      <c r="U1740" s="18" t="str">
        <f>HYPERLINK("https://pbs.twimg.com/profile_images/1177202291553820672/zEhqxiTA.jpg","View")</f>
        <v>View</v>
      </c>
      <c r="V1740" s="13"/>
      <c r="W1740" s="13"/>
      <c r="X1740" s="13"/>
      <c r="Y1740" s="13"/>
      <c r="Z1740" s="13"/>
    </row>
    <row r="1741">
      <c r="A1741" s="8">
        <v>43848.31998842592</v>
      </c>
      <c r="B1741" s="9" t="str">
        <f>HYPERLINK("https://twitter.com/hepadie","@hepadie")</f>
        <v>@hepadie</v>
      </c>
      <c r="C1741" s="10" t="s">
        <v>7562</v>
      </c>
      <c r="D1741" s="10" t="s">
        <v>238</v>
      </c>
      <c r="E1741" s="9" t="str">
        <f>HYPERLINK("https://twitter.com/hepadie/status/1218513564941606913","1218513564941606913")</f>
        <v>1218513564941606913</v>
      </c>
      <c r="F1741" s="13"/>
      <c r="G1741" s="13"/>
      <c r="H1741" s="13"/>
      <c r="I1741" s="14">
        <v>0.0</v>
      </c>
      <c r="J1741" s="14">
        <v>0.0</v>
      </c>
      <c r="K1741" s="9" t="str">
        <f>HYPERLINK("http://twitter.com/#!/download/ipad","Twitter for iPad")</f>
        <v>Twitter for iPad</v>
      </c>
      <c r="L1741" s="15">
        <v>296.0</v>
      </c>
      <c r="M1741" s="15">
        <v>152.0</v>
      </c>
      <c r="N1741" s="15">
        <v>394.0</v>
      </c>
      <c r="O1741" s="16"/>
      <c r="P1741" s="17">
        <v>39921.53109953704</v>
      </c>
      <c r="Q1741" s="10" t="s">
        <v>7563</v>
      </c>
      <c r="R1741" s="13"/>
      <c r="S1741" s="13"/>
      <c r="T1741" s="13"/>
      <c r="U1741" s="18" t="str">
        <f>HYPERLINK("https://pbs.twimg.com/profile_images/805375531059384324/E440SPuY.jpg","View")</f>
        <v>View</v>
      </c>
      <c r="V1741" s="13"/>
      <c r="W1741" s="13"/>
      <c r="X1741" s="13"/>
      <c r="Y1741" s="13"/>
      <c r="Z1741" s="13"/>
    </row>
    <row r="1742">
      <c r="A1742" s="8">
        <v>43848.31972222222</v>
      </c>
      <c r="B1742" s="9" t="str">
        <f>HYPERLINK("https://twitter.com/UpbeatImpulse","@UpbeatImpulse")</f>
        <v>@UpbeatImpulse</v>
      </c>
      <c r="C1742" s="10" t="s">
        <v>7564</v>
      </c>
      <c r="D1742" s="10" t="s">
        <v>7565</v>
      </c>
      <c r="E1742" s="9" t="str">
        <f>HYPERLINK("https://twitter.com/UpbeatImpulse/status/1218513468023803904","1218513468023803904")</f>
        <v>1218513468023803904</v>
      </c>
      <c r="F1742" s="11" t="s">
        <v>7566</v>
      </c>
      <c r="G1742" s="13"/>
      <c r="H1742" s="13"/>
      <c r="I1742" s="14">
        <v>0.0</v>
      </c>
      <c r="J1742" s="14">
        <v>0.0</v>
      </c>
      <c r="K1742" s="9" t="str">
        <f>HYPERLINK("http://twitter.com/download/android","Twitter for Android")</f>
        <v>Twitter for Android</v>
      </c>
      <c r="L1742" s="15">
        <v>76.0</v>
      </c>
      <c r="M1742" s="15">
        <v>46.0</v>
      </c>
      <c r="N1742" s="15">
        <v>3.0</v>
      </c>
      <c r="O1742" s="16"/>
      <c r="P1742" s="17">
        <v>42963.177199074074</v>
      </c>
      <c r="Q1742" s="10" t="s">
        <v>7567</v>
      </c>
      <c r="R1742" s="10" t="s">
        <v>7568</v>
      </c>
      <c r="S1742" s="11" t="s">
        <v>7569</v>
      </c>
      <c r="T1742" s="13"/>
      <c r="U1742" s="18" t="str">
        <f>HYPERLINK("https://pbs.twimg.com/profile_images/1212087955596226561/VHFtcx8l.jpg","View")</f>
        <v>View</v>
      </c>
      <c r="V1742" s="13"/>
      <c r="W1742" s="13"/>
      <c r="X1742" s="13"/>
      <c r="Y1742" s="13"/>
      <c r="Z1742" s="13"/>
    </row>
    <row r="1743">
      <c r="A1743" s="8">
        <v>43848.319444444445</v>
      </c>
      <c r="B1743" s="9" t="str">
        <f>HYPERLINK("https://twitter.com/HannahDurham_","@HannahDurham_")</f>
        <v>@HannahDurham_</v>
      </c>
      <c r="C1743" s="10" t="s">
        <v>7570</v>
      </c>
      <c r="D1743" s="10" t="s">
        <v>7571</v>
      </c>
      <c r="E1743" s="9" t="str">
        <f>HYPERLINK("https://twitter.com/HannahDurham_/status/1218513366941143042","1218513366941143042")</f>
        <v>1218513366941143042</v>
      </c>
      <c r="F1743" s="11" t="s">
        <v>7572</v>
      </c>
      <c r="G1743" s="11" t="s">
        <v>7573</v>
      </c>
      <c r="H1743" s="13"/>
      <c r="I1743" s="14">
        <v>0.0</v>
      </c>
      <c r="J1743" s="14">
        <v>0.0</v>
      </c>
      <c r="K1743" s="9" t="str">
        <f>HYPERLINK("https://about.twitter.com/products/tweetdeck","TweetDeck")</f>
        <v>TweetDeck</v>
      </c>
      <c r="L1743" s="15">
        <v>624.0</v>
      </c>
      <c r="M1743" s="15">
        <v>291.0</v>
      </c>
      <c r="N1743" s="15">
        <v>94.0</v>
      </c>
      <c r="O1743" s="16"/>
      <c r="P1743" s="17">
        <v>40815.42400462963</v>
      </c>
      <c r="Q1743" s="10" t="s">
        <v>3138</v>
      </c>
      <c r="R1743" s="10" t="s">
        <v>7574</v>
      </c>
      <c r="S1743" s="11" t="s">
        <v>7575</v>
      </c>
      <c r="T1743" s="13"/>
      <c r="U1743" s="18" t="str">
        <f>HYPERLINK("https://pbs.twimg.com/profile_images/1217749405295697920/pE2-ECwV.jpg","View")</f>
        <v>View</v>
      </c>
      <c r="V1743" s="13"/>
      <c r="W1743" s="13"/>
      <c r="X1743" s="13"/>
      <c r="Y1743" s="13"/>
      <c r="Z1743" s="13"/>
    </row>
    <row r="1744">
      <c r="A1744" s="8">
        <v>43848.31943287037</v>
      </c>
      <c r="B1744" s="9" t="str">
        <f>HYPERLINK("https://twitter.com/GloryRoseBud","@GloryRoseBud")</f>
        <v>@GloryRoseBud</v>
      </c>
      <c r="C1744" s="10" t="s">
        <v>7576</v>
      </c>
      <c r="D1744" s="10" t="s">
        <v>7577</v>
      </c>
      <c r="E1744" s="9" t="str">
        <f>HYPERLINK("https://twitter.com/GloryRoseBud/status/1218513365653475328","1218513365653475328")</f>
        <v>1218513365653475328</v>
      </c>
      <c r="F1744" s="13"/>
      <c r="G1744" s="11" t="s">
        <v>7578</v>
      </c>
      <c r="H1744" s="13"/>
      <c r="I1744" s="14">
        <v>1.0</v>
      </c>
      <c r="J1744" s="14">
        <v>20.0</v>
      </c>
      <c r="K1744" s="9" t="str">
        <f>HYPERLINK("http://twitter.com/download/iphone","Twitter for iPhone")</f>
        <v>Twitter for iPhone</v>
      </c>
      <c r="L1744" s="15">
        <v>1108.0</v>
      </c>
      <c r="M1744" s="15">
        <v>2461.0</v>
      </c>
      <c r="N1744" s="15">
        <v>2.0</v>
      </c>
      <c r="O1744" s="16"/>
      <c r="P1744" s="17">
        <v>43791.397615740745</v>
      </c>
      <c r="Q1744" s="10" t="s">
        <v>7579</v>
      </c>
      <c r="R1744" s="10" t="s">
        <v>7580</v>
      </c>
      <c r="S1744" s="11" t="s">
        <v>7581</v>
      </c>
      <c r="T1744" s="13"/>
      <c r="U1744" s="18" t="str">
        <f>HYPERLINK("https://pbs.twimg.com/profile_images/1198039032741150720/POMkL5T2.jpg","View")</f>
        <v>View</v>
      </c>
      <c r="V1744" s="13"/>
      <c r="W1744" s="13"/>
      <c r="X1744" s="13"/>
      <c r="Y1744" s="13"/>
      <c r="Z1744" s="13"/>
    </row>
    <row r="1745">
      <c r="A1745" s="8">
        <v>43848.31915509259</v>
      </c>
      <c r="B1745" s="9" t="str">
        <f>HYPERLINK("https://twitter.com/this_Katie","@this_Katie")</f>
        <v>@this_Katie</v>
      </c>
      <c r="C1745" s="10" t="s">
        <v>7582</v>
      </c>
      <c r="D1745" s="10" t="s">
        <v>7583</v>
      </c>
      <c r="E1745" s="9" t="str">
        <f>HYPERLINK("https://twitter.com/this_Katie/status/1218513261961916416","1218513261961916416")</f>
        <v>1218513261961916416</v>
      </c>
      <c r="F1745" s="13"/>
      <c r="G1745" s="11" t="s">
        <v>7584</v>
      </c>
      <c r="H1745" s="13"/>
      <c r="I1745" s="14">
        <v>0.0</v>
      </c>
      <c r="J1745" s="14">
        <v>0.0</v>
      </c>
      <c r="K1745" s="9" t="str">
        <f>HYPERLINK("http://twitter.com/download/android","Twitter for Android")</f>
        <v>Twitter for Android</v>
      </c>
      <c r="L1745" s="15">
        <v>1826.0</v>
      </c>
      <c r="M1745" s="15">
        <v>1915.0</v>
      </c>
      <c r="N1745" s="15">
        <v>104.0</v>
      </c>
      <c r="O1745" s="16"/>
      <c r="P1745" s="17">
        <v>39964.57100694445</v>
      </c>
      <c r="Q1745" s="10" t="s">
        <v>1442</v>
      </c>
      <c r="R1745" s="10" t="s">
        <v>7585</v>
      </c>
      <c r="S1745" s="11" t="s">
        <v>7586</v>
      </c>
      <c r="T1745" s="13"/>
      <c r="U1745" s="18" t="str">
        <f>HYPERLINK("https://pbs.twimg.com/profile_images/1197221154559340544/Lf9Jbl14.jpg","View")</f>
        <v>View</v>
      </c>
      <c r="V1745" s="13"/>
      <c r="W1745" s="13"/>
      <c r="X1745" s="13"/>
      <c r="Y1745" s="13"/>
      <c r="Z1745" s="13"/>
    </row>
    <row r="1746">
      <c r="A1746" s="8">
        <v>43848.31909722222</v>
      </c>
      <c r="B1746" s="9" t="str">
        <f>HYPERLINK("https://twitter.com/wijones1","@wijones1")</f>
        <v>@wijones1</v>
      </c>
      <c r="C1746" s="10" t="s">
        <v>7587</v>
      </c>
      <c r="D1746" s="10" t="s">
        <v>7588</v>
      </c>
      <c r="E1746" s="9" t="str">
        <f>HYPERLINK("https://twitter.com/wijones1/status/1218513242689015809","1218513242689015809")</f>
        <v>1218513242689015809</v>
      </c>
      <c r="F1746" s="11" t="s">
        <v>7589</v>
      </c>
      <c r="G1746" s="11" t="s">
        <v>7590</v>
      </c>
      <c r="H1746" s="13"/>
      <c r="I1746" s="14">
        <v>0.0</v>
      </c>
      <c r="J1746" s="14">
        <v>1.0</v>
      </c>
      <c r="K1746" s="9" t="str">
        <f t="shared" ref="K1746:K1747" si="212">HYPERLINK("http://twitter.com/download/iphone","Twitter for iPhone")</f>
        <v>Twitter for iPhone</v>
      </c>
      <c r="L1746" s="15">
        <v>959.0</v>
      </c>
      <c r="M1746" s="15">
        <v>2016.0</v>
      </c>
      <c r="N1746" s="15">
        <v>178.0</v>
      </c>
      <c r="O1746" s="16"/>
      <c r="P1746" s="17">
        <v>40026.4740625</v>
      </c>
      <c r="Q1746" s="10" t="s">
        <v>2850</v>
      </c>
      <c r="R1746" s="10" t="s">
        <v>7591</v>
      </c>
      <c r="S1746" s="13"/>
      <c r="T1746" s="13"/>
      <c r="U1746" s="18" t="str">
        <f>HYPERLINK("https://pbs.twimg.com/profile_images/996462336247500806/Z0OobJVm.jpg","View")</f>
        <v>View</v>
      </c>
      <c r="V1746" s="13"/>
      <c r="W1746" s="13"/>
      <c r="X1746" s="13"/>
      <c r="Y1746" s="13"/>
      <c r="Z1746" s="13"/>
    </row>
    <row r="1747">
      <c r="A1747" s="8">
        <v>43848.31898148148</v>
      </c>
      <c r="B1747" s="9" t="str">
        <f>HYPERLINK("https://twitter.com/JVan3610","@JVan3610")</f>
        <v>@JVan3610</v>
      </c>
      <c r="C1747" s="10" t="s">
        <v>6166</v>
      </c>
      <c r="D1747" s="10" t="s">
        <v>7592</v>
      </c>
      <c r="E1747" s="9" t="str">
        <f>HYPERLINK("https://twitter.com/JVan3610/status/1218513200158781440","1218513200158781440")</f>
        <v>1218513200158781440</v>
      </c>
      <c r="F1747" s="13"/>
      <c r="G1747" s="13"/>
      <c r="H1747" s="13"/>
      <c r="I1747" s="14">
        <v>0.0</v>
      </c>
      <c r="J1747" s="14">
        <v>1.0</v>
      </c>
      <c r="K1747" s="9" t="str">
        <f t="shared" si="212"/>
        <v>Twitter for iPhone</v>
      </c>
      <c r="L1747" s="15">
        <v>2018.0</v>
      </c>
      <c r="M1747" s="15">
        <v>1448.0</v>
      </c>
      <c r="N1747" s="15">
        <v>16.0</v>
      </c>
      <c r="O1747" s="16"/>
      <c r="P1747" s="17">
        <v>43400.626655092594</v>
      </c>
      <c r="Q1747" s="13"/>
      <c r="R1747" s="10" t="s">
        <v>6169</v>
      </c>
      <c r="S1747" s="11" t="s">
        <v>6170</v>
      </c>
      <c r="T1747" s="13"/>
      <c r="U1747" s="18" t="str">
        <f>HYPERLINK("https://pbs.twimg.com/profile_images/1121738707084693508/NHTQkmlI.jpg","View")</f>
        <v>View</v>
      </c>
      <c r="V1747" s="13"/>
      <c r="W1747" s="13"/>
      <c r="X1747" s="13"/>
      <c r="Y1747" s="13"/>
      <c r="Z1747" s="13"/>
    </row>
    <row r="1748">
      <c r="A1748" s="8">
        <v>43848.31884259259</v>
      </c>
      <c r="B1748" s="9" t="str">
        <f>HYPERLINK("https://twitter.com/Dragonfly_blog","@Dragonfly_blog")</f>
        <v>@Dragonfly_blog</v>
      </c>
      <c r="C1748" s="10" t="s">
        <v>7593</v>
      </c>
      <c r="D1748" s="10" t="s">
        <v>7594</v>
      </c>
      <c r="E1748" s="9" t="str">
        <f>HYPERLINK("https://twitter.com/Dragonfly_blog/status/1218513149902585857","1218513149902585857")</f>
        <v>1218513149902585857</v>
      </c>
      <c r="F1748" s="11" t="s">
        <v>7595</v>
      </c>
      <c r="G1748" s="11" t="s">
        <v>7596</v>
      </c>
      <c r="H1748" s="13"/>
      <c r="I1748" s="14">
        <v>0.0</v>
      </c>
      <c r="J1748" s="14">
        <v>0.0</v>
      </c>
      <c r="K1748" s="9" t="str">
        <f>HYPERLINK("http://publicize.wp.com/","WordPress.com")</f>
        <v>WordPress.com</v>
      </c>
      <c r="L1748" s="15">
        <v>21.0</v>
      </c>
      <c r="M1748" s="15">
        <v>223.0</v>
      </c>
      <c r="N1748" s="15">
        <v>0.0</v>
      </c>
      <c r="O1748" s="16"/>
      <c r="P1748" s="17">
        <v>43269.43766203704</v>
      </c>
      <c r="Q1748" s="10" t="s">
        <v>7597</v>
      </c>
      <c r="R1748" s="10" t="s">
        <v>7598</v>
      </c>
      <c r="S1748" s="11" t="s">
        <v>7599</v>
      </c>
      <c r="T1748" s="13"/>
      <c r="U1748" s="18" t="str">
        <f>HYPERLINK("https://pbs.twimg.com/profile_images/1008730745806864384/ljXgJa6Z.jpg","View")</f>
        <v>View</v>
      </c>
      <c r="V1748" s="13"/>
      <c r="W1748" s="13"/>
      <c r="X1748" s="13"/>
      <c r="Y1748" s="13"/>
      <c r="Z1748" s="13"/>
    </row>
    <row r="1749">
      <c r="A1749" s="8">
        <v>43848.318391203706</v>
      </c>
      <c r="B1749" s="9" t="str">
        <f>HYPERLINK("https://twitter.com/DrShawnPark1","@DrShawnPark1")</f>
        <v>@DrShawnPark1</v>
      </c>
      <c r="C1749" s="10" t="s">
        <v>3558</v>
      </c>
      <c r="D1749" s="10" t="s">
        <v>7600</v>
      </c>
      <c r="E1749" s="9" t="str">
        <f>HYPERLINK("https://twitter.com/DrShawnPark1/status/1218512987947859969","1218512987947859969")</f>
        <v>1218512987947859969</v>
      </c>
      <c r="F1749" s="11" t="s">
        <v>7601</v>
      </c>
      <c r="G1749" s="13"/>
      <c r="H1749" s="13"/>
      <c r="I1749" s="14">
        <v>0.0</v>
      </c>
      <c r="J1749" s="14">
        <v>0.0</v>
      </c>
      <c r="K1749" s="9" t="str">
        <f>HYPERLINK("https://apps.twitter.com","Twit4ShawnPark")</f>
        <v>Twit4ShawnPark</v>
      </c>
      <c r="L1749" s="15">
        <v>9208.0</v>
      </c>
      <c r="M1749" s="15">
        <v>3793.0</v>
      </c>
      <c r="N1749" s="15">
        <v>374.0</v>
      </c>
      <c r="O1749" s="16"/>
      <c r="P1749" s="17">
        <v>41980.460752314815</v>
      </c>
      <c r="Q1749" s="10" t="s">
        <v>266</v>
      </c>
      <c r="R1749" s="10" t="s">
        <v>3560</v>
      </c>
      <c r="S1749" s="11" t="s">
        <v>3561</v>
      </c>
      <c r="T1749" s="13"/>
      <c r="U1749" s="18" t="str">
        <f>HYPERLINK("https://pbs.twimg.com/profile_images/541624210569719809/bdEmUear.jpeg","View")</f>
        <v>View</v>
      </c>
      <c r="V1749" s="13"/>
      <c r="W1749" s="13"/>
      <c r="X1749" s="13"/>
      <c r="Y1749" s="13"/>
      <c r="Z1749" s="13"/>
    </row>
    <row r="1750">
      <c r="A1750" s="8">
        <v>43848.318125000005</v>
      </c>
      <c r="B1750" s="9" t="str">
        <f>HYPERLINK("https://twitter.com/TheDevinaKaur","@TheDevinaKaur")</f>
        <v>@TheDevinaKaur</v>
      </c>
      <c r="C1750" s="10" t="s">
        <v>295</v>
      </c>
      <c r="D1750" s="10" t="s">
        <v>1483</v>
      </c>
      <c r="E1750" s="9" t="str">
        <f>HYPERLINK("https://twitter.com/TheDevinaKaur/status/1218512888421404672","1218512888421404672")</f>
        <v>1218512888421404672</v>
      </c>
      <c r="F1750" s="11" t="s">
        <v>1484</v>
      </c>
      <c r="G1750" s="11" t="s">
        <v>7602</v>
      </c>
      <c r="H1750" s="13"/>
      <c r="I1750" s="14">
        <v>2.0</v>
      </c>
      <c r="J1750" s="14">
        <v>2.0</v>
      </c>
      <c r="K1750" s="9" t="str">
        <f>HYPERLINK("https://postfity.com","Postfity.com")</f>
        <v>Postfity.com</v>
      </c>
      <c r="L1750" s="15">
        <v>7406.0</v>
      </c>
      <c r="M1750" s="15">
        <v>3869.0</v>
      </c>
      <c r="N1750" s="15">
        <v>36.0</v>
      </c>
      <c r="O1750" s="16"/>
      <c r="P1750" s="17">
        <v>42815.69490740741</v>
      </c>
      <c r="Q1750" s="10" t="s">
        <v>177</v>
      </c>
      <c r="R1750" s="10" t="s">
        <v>299</v>
      </c>
      <c r="S1750" s="11" t="s">
        <v>297</v>
      </c>
      <c r="T1750" s="13"/>
      <c r="U1750" s="18" t="str">
        <f>HYPERLINK("https://pbs.twimg.com/profile_images/1147663141389656064/dg9XFyFN.jpg","View")</f>
        <v>View</v>
      </c>
      <c r="V1750" s="13"/>
      <c r="W1750" s="13"/>
      <c r="X1750" s="13"/>
      <c r="Y1750" s="13"/>
      <c r="Z1750" s="13"/>
    </row>
    <row r="1751">
      <c r="A1751" s="8">
        <v>43848.31784722222</v>
      </c>
      <c r="B1751" s="9" t="str">
        <f>HYPERLINK("https://twitter.com/AlegriaGuzman","@AlegriaGuzman")</f>
        <v>@AlegriaGuzman</v>
      </c>
      <c r="C1751" s="10" t="s">
        <v>7603</v>
      </c>
      <c r="D1751" s="10" t="s">
        <v>238</v>
      </c>
      <c r="E1751" s="9" t="str">
        <f>HYPERLINK("https://twitter.com/AlegriaGuzman/status/1218512787946852354","1218512787946852354")</f>
        <v>1218512787946852354</v>
      </c>
      <c r="F1751" s="13"/>
      <c r="G1751" s="13"/>
      <c r="H1751" s="13"/>
      <c r="I1751" s="14">
        <v>0.0</v>
      </c>
      <c r="J1751" s="14">
        <v>0.0</v>
      </c>
      <c r="K1751" s="9" t="str">
        <f>HYPERLINK("http://twitter.com/download/android","Twitter for Android")</f>
        <v>Twitter for Android</v>
      </c>
      <c r="L1751" s="15">
        <v>247.0</v>
      </c>
      <c r="M1751" s="15">
        <v>266.0</v>
      </c>
      <c r="N1751" s="15">
        <v>1.0</v>
      </c>
      <c r="O1751" s="16"/>
      <c r="P1751" s="17">
        <v>40706.41229166667</v>
      </c>
      <c r="Q1751" s="10" t="s">
        <v>7604</v>
      </c>
      <c r="R1751" s="10" t="s">
        <v>7605</v>
      </c>
      <c r="S1751" s="13"/>
      <c r="T1751" s="13"/>
      <c r="U1751" s="18" t="str">
        <f>HYPERLINK("https://pbs.twimg.com/profile_images/1083189592419897345/krUvfeQU.jpg","View")</f>
        <v>View</v>
      </c>
      <c r="V1751" s="13"/>
      <c r="W1751" s="13"/>
      <c r="X1751" s="13"/>
      <c r="Y1751" s="13"/>
      <c r="Z1751" s="13"/>
    </row>
    <row r="1752">
      <c r="A1752" s="8">
        <v>43848.3165625</v>
      </c>
      <c r="B1752" s="9" t="str">
        <f>HYPERLINK("https://twitter.com/JulietteBurton","@JulietteBurton")</f>
        <v>@JulietteBurton</v>
      </c>
      <c r="C1752" s="10" t="s">
        <v>7606</v>
      </c>
      <c r="D1752" s="10" t="s">
        <v>7607</v>
      </c>
      <c r="E1752" s="9" t="str">
        <f>HYPERLINK("https://twitter.com/JulietteBurton/status/1218512322400047105","1218512322400047105")</f>
        <v>1218512322400047105</v>
      </c>
      <c r="F1752" s="13"/>
      <c r="G1752" s="11" t="s">
        <v>7608</v>
      </c>
      <c r="H1752" s="13"/>
      <c r="I1752" s="14">
        <v>2.0</v>
      </c>
      <c r="J1752" s="14">
        <v>27.0</v>
      </c>
      <c r="K1752" s="9" t="str">
        <f>HYPERLINK("http://twitter.com/download/iphone","Twitter for iPhone")</f>
        <v>Twitter for iPhone</v>
      </c>
      <c r="L1752" s="15">
        <v>5637.0</v>
      </c>
      <c r="M1752" s="15">
        <v>1604.0</v>
      </c>
      <c r="N1752" s="15">
        <v>176.0</v>
      </c>
      <c r="O1752" s="16"/>
      <c r="P1752" s="17">
        <v>39947.92731481481</v>
      </c>
      <c r="Q1752" s="10" t="s">
        <v>2102</v>
      </c>
      <c r="R1752" s="10" t="s">
        <v>7609</v>
      </c>
      <c r="S1752" s="11" t="s">
        <v>7610</v>
      </c>
      <c r="T1752" s="13"/>
      <c r="U1752" s="18" t="str">
        <f>HYPERLINK("https://pbs.twimg.com/profile_images/1176072279979171840/U99cYGwF.jpg","View")</f>
        <v>View</v>
      </c>
      <c r="V1752" s="13"/>
      <c r="W1752" s="13"/>
      <c r="X1752" s="13"/>
      <c r="Y1752" s="13"/>
      <c r="Z1752" s="13"/>
    </row>
    <row r="1753">
      <c r="A1753" s="8">
        <v>43848.31636574074</v>
      </c>
      <c r="B1753" s="9" t="str">
        <f>HYPERLINK("https://twitter.com/TeamDonaldson","@TeamDonaldson")</f>
        <v>@TeamDonaldson</v>
      </c>
      <c r="C1753" s="10" t="s">
        <v>6715</v>
      </c>
      <c r="D1753" s="10" t="s">
        <v>6716</v>
      </c>
      <c r="E1753" s="9" t="str">
        <f>HYPERLINK("https://twitter.com/TeamDonaldson/status/1218512253349236737","1218512253349236737")</f>
        <v>1218512253349236737</v>
      </c>
      <c r="F1753" s="11" t="s">
        <v>6717</v>
      </c>
      <c r="G1753" s="11" t="s">
        <v>7611</v>
      </c>
      <c r="H1753" s="13"/>
      <c r="I1753" s="14">
        <v>0.0</v>
      </c>
      <c r="J1753" s="14">
        <v>1.0</v>
      </c>
      <c r="K1753" s="9" t="str">
        <f>HYPERLINK("http://publicize.wp.com/","WordPress.com")</f>
        <v>WordPress.com</v>
      </c>
      <c r="L1753" s="15">
        <v>919.0</v>
      </c>
      <c r="M1753" s="15">
        <v>1153.0</v>
      </c>
      <c r="N1753" s="15">
        <v>25.0</v>
      </c>
      <c r="O1753" s="16"/>
      <c r="P1753" s="17">
        <v>39806.927870370375</v>
      </c>
      <c r="Q1753" s="10" t="s">
        <v>5286</v>
      </c>
      <c r="R1753" s="10" t="s">
        <v>6718</v>
      </c>
      <c r="S1753" s="11" t="s">
        <v>6719</v>
      </c>
      <c r="T1753" s="13"/>
      <c r="U1753" s="18" t="str">
        <f>HYPERLINK("https://pbs.twimg.com/profile_images/1422208626/Copy_of_978935586265.jpg","View")</f>
        <v>View</v>
      </c>
      <c r="V1753" s="13"/>
      <c r="W1753" s="13"/>
      <c r="X1753" s="13"/>
      <c r="Y1753" s="13"/>
      <c r="Z1753" s="13"/>
    </row>
    <row r="1754">
      <c r="A1754" s="8">
        <v>43848.31527777778</v>
      </c>
      <c r="B1754" s="9" t="str">
        <f>HYPERLINK("https://twitter.com/CMW_CGC","@CMW_CGC")</f>
        <v>@CMW_CGC</v>
      </c>
      <c r="C1754" s="10" t="s">
        <v>7612</v>
      </c>
      <c r="D1754" s="10" t="s">
        <v>7613</v>
      </c>
      <c r="E1754" s="9" t="str">
        <f>HYPERLINK("https://twitter.com/CMW_CGC/status/1218511857134243840","1218511857134243840")</f>
        <v>1218511857134243840</v>
      </c>
      <c r="F1754" s="13"/>
      <c r="G1754" s="11" t="s">
        <v>7614</v>
      </c>
      <c r="H1754" s="13"/>
      <c r="I1754" s="14">
        <v>3.0</v>
      </c>
      <c r="J1754" s="14">
        <v>3.0</v>
      </c>
      <c r="K1754" s="9" t="str">
        <f>HYPERLINK("https://about.twitter.com/products/tweetdeck","TweetDeck")</f>
        <v>TweetDeck</v>
      </c>
      <c r="L1754" s="15">
        <v>2524.0</v>
      </c>
      <c r="M1754" s="15">
        <v>1426.0</v>
      </c>
      <c r="N1754" s="15">
        <v>55.0</v>
      </c>
      <c r="O1754" s="16"/>
      <c r="P1754" s="17">
        <v>39842.21482638889</v>
      </c>
      <c r="Q1754" s="10" t="s">
        <v>7615</v>
      </c>
      <c r="R1754" s="10" t="s">
        <v>7616</v>
      </c>
      <c r="S1754" s="11" t="s">
        <v>7617</v>
      </c>
      <c r="T1754" s="13"/>
      <c r="U1754" s="18" t="str">
        <f>HYPERLINK("https://pbs.twimg.com/profile_images/829714942341300224/QHxPnM0t.jpg","View")</f>
        <v>View</v>
      </c>
      <c r="V1754" s="13"/>
      <c r="W1754" s="13"/>
      <c r="X1754" s="13"/>
      <c r="Y1754" s="13"/>
      <c r="Z1754" s="13"/>
    </row>
    <row r="1755">
      <c r="A1755" s="8">
        <v>43848.31511574074</v>
      </c>
      <c r="B1755" s="9" t="str">
        <f>HYPERLINK("https://twitter.com/JenIsThatYou","@JenIsThatYou")</f>
        <v>@JenIsThatYou</v>
      </c>
      <c r="C1755" s="10" t="s">
        <v>7618</v>
      </c>
      <c r="D1755" s="10" t="s">
        <v>7619</v>
      </c>
      <c r="E1755" s="9" t="str">
        <f>HYPERLINK("https://twitter.com/JenIsThatYou/status/1218511800188186624","1218511800188186624")</f>
        <v>1218511800188186624</v>
      </c>
      <c r="F1755" s="13"/>
      <c r="G1755" s="11" t="s">
        <v>7620</v>
      </c>
      <c r="H1755" s="13"/>
      <c r="I1755" s="14">
        <v>0.0</v>
      </c>
      <c r="J1755" s="14">
        <v>6.0</v>
      </c>
      <c r="K1755" s="9" t="str">
        <f>HYPERLINK("http://twitter.com/download/iphone","Twitter for iPhone")</f>
        <v>Twitter for iPhone</v>
      </c>
      <c r="L1755" s="15">
        <v>354.0</v>
      </c>
      <c r="M1755" s="15">
        <v>526.0</v>
      </c>
      <c r="N1755" s="15">
        <v>2.0</v>
      </c>
      <c r="O1755" s="16"/>
      <c r="P1755" s="17">
        <v>40841.3253587963</v>
      </c>
      <c r="Q1755" s="10" t="s">
        <v>7621</v>
      </c>
      <c r="R1755" s="10" t="s">
        <v>7622</v>
      </c>
      <c r="S1755" s="11" t="s">
        <v>7623</v>
      </c>
      <c r="T1755" s="13"/>
      <c r="U1755" s="18" t="str">
        <f>HYPERLINK("https://pbs.twimg.com/profile_images/1061664752273932290/CePwjX7b.jpg","View")</f>
        <v>View</v>
      </c>
      <c r="V1755" s="13"/>
      <c r="W1755" s="13"/>
      <c r="X1755" s="13"/>
      <c r="Y1755" s="13"/>
      <c r="Z1755" s="13"/>
    </row>
    <row r="1756">
      <c r="A1756" s="8">
        <v>43848.31509259259</v>
      </c>
      <c r="B1756" s="9" t="str">
        <f>HYPERLINK("https://twitter.com/Wellexpo1","@Wellexpo1")</f>
        <v>@Wellexpo1</v>
      </c>
      <c r="C1756" s="10" t="s">
        <v>7624</v>
      </c>
      <c r="D1756" s="10" t="s">
        <v>7625</v>
      </c>
      <c r="E1756" s="9" t="str">
        <f>HYPERLINK("https://twitter.com/Wellexpo1/status/1218511789081710595","1218511789081710595")</f>
        <v>1218511789081710595</v>
      </c>
      <c r="F1756" s="13"/>
      <c r="G1756" s="11" t="s">
        <v>7626</v>
      </c>
      <c r="H1756" s="13"/>
      <c r="I1756" s="14">
        <v>0.0</v>
      </c>
      <c r="J1756" s="14">
        <v>2.0</v>
      </c>
      <c r="K1756" s="9" t="str">
        <f>HYPERLINK("http://twitter.com/download/android","Twitter for Android")</f>
        <v>Twitter for Android</v>
      </c>
      <c r="L1756" s="15">
        <v>239.0</v>
      </c>
      <c r="M1756" s="15">
        <v>614.0</v>
      </c>
      <c r="N1756" s="15">
        <v>1.0</v>
      </c>
      <c r="O1756" s="16"/>
      <c r="P1756" s="17">
        <v>43763.718298611115</v>
      </c>
      <c r="Q1756" s="10" t="s">
        <v>4132</v>
      </c>
      <c r="R1756" s="10" t="s">
        <v>7627</v>
      </c>
      <c r="S1756" s="11" t="s">
        <v>7628</v>
      </c>
      <c r="T1756" s="13"/>
      <c r="U1756" s="18" t="str">
        <f>HYPERLINK("https://pbs.twimg.com/profile_images/1195787574738075649/cuYOcesL.jpg","View")</f>
        <v>View</v>
      </c>
      <c r="V1756" s="13"/>
      <c r="W1756" s="13"/>
      <c r="X1756" s="13"/>
      <c r="Y1756" s="13"/>
      <c r="Z1756" s="13"/>
    </row>
    <row r="1757">
      <c r="A1757" s="8">
        <v>43848.314571759256</v>
      </c>
      <c r="B1757" s="9" t="str">
        <f>HYPERLINK("https://twitter.com/DrHowardLiu","@DrHowardLiu")</f>
        <v>@DrHowardLiu</v>
      </c>
      <c r="C1757" s="10" t="s">
        <v>7629</v>
      </c>
      <c r="D1757" s="10" t="s">
        <v>7630</v>
      </c>
      <c r="E1757" s="9" t="str">
        <f>HYPERLINK("https://twitter.com/DrHowardLiu/status/1218511600484831232","1218511600484831232")</f>
        <v>1218511600484831232</v>
      </c>
      <c r="F1757" s="10" t="s">
        <v>7631</v>
      </c>
      <c r="G1757" s="13"/>
      <c r="H1757" s="13"/>
      <c r="I1757" s="14">
        <v>0.0</v>
      </c>
      <c r="J1757" s="14">
        <v>3.0</v>
      </c>
      <c r="K1757" s="9" t="str">
        <f>HYPERLINK("http://twitter.com/download/iphone","Twitter for iPhone")</f>
        <v>Twitter for iPhone</v>
      </c>
      <c r="L1757" s="15">
        <v>15137.0</v>
      </c>
      <c r="M1757" s="15">
        <v>16518.0</v>
      </c>
      <c r="N1757" s="15">
        <v>141.0</v>
      </c>
      <c r="O1757" s="16"/>
      <c r="P1757" s="17">
        <v>41235.906689814816</v>
      </c>
      <c r="Q1757" s="10" t="s">
        <v>959</v>
      </c>
      <c r="R1757" s="10" t="s">
        <v>7632</v>
      </c>
      <c r="S1757" s="11" t="s">
        <v>7633</v>
      </c>
      <c r="T1757" s="13"/>
      <c r="U1757" s="18" t="str">
        <f>HYPERLINK("https://pbs.twimg.com/profile_images/463688514094526464/s0MkmhPQ.jpeg","View")</f>
        <v>View</v>
      </c>
      <c r="V1757" s="13"/>
      <c r="W1757" s="13"/>
      <c r="X1757" s="13"/>
      <c r="Y1757" s="13"/>
      <c r="Z1757" s="13"/>
    </row>
    <row r="1758">
      <c r="A1758" s="8">
        <v>43848.31372685185</v>
      </c>
      <c r="B1758" s="9" t="str">
        <f>HYPERLINK("https://twitter.com/paulwalters1989","@paulwalters1989")</f>
        <v>@paulwalters1989</v>
      </c>
      <c r="C1758" s="10" t="s">
        <v>2289</v>
      </c>
      <c r="D1758" s="10" t="s">
        <v>7634</v>
      </c>
      <c r="E1758" s="9" t="str">
        <f>HYPERLINK("https://twitter.com/paulwalters1989/status/1218511295173005313","1218511295173005313")</f>
        <v>1218511295173005313</v>
      </c>
      <c r="F1758" s="11" t="s">
        <v>7115</v>
      </c>
      <c r="G1758" s="13"/>
      <c r="H1758" s="13"/>
      <c r="I1758" s="14">
        <v>1.0</v>
      </c>
      <c r="J1758" s="14">
        <v>1.0</v>
      </c>
      <c r="K1758" s="9" t="str">
        <f>HYPERLINK("http://apps.twitter.com","Twitty4Paul")</f>
        <v>Twitty4Paul</v>
      </c>
      <c r="L1758" s="15">
        <v>4326.0</v>
      </c>
      <c r="M1758" s="15">
        <v>4982.0</v>
      </c>
      <c r="N1758" s="15">
        <v>49.0</v>
      </c>
      <c r="O1758" s="16"/>
      <c r="P1758" s="17">
        <v>41611.30431712963</v>
      </c>
      <c r="Q1758" s="10" t="s">
        <v>2292</v>
      </c>
      <c r="R1758" s="10" t="s">
        <v>2293</v>
      </c>
      <c r="S1758" s="11" t="s">
        <v>2294</v>
      </c>
      <c r="T1758" s="13"/>
      <c r="U1758" s="18" t="str">
        <f>HYPERLINK("https://pbs.twimg.com/profile_images/985150024278568960/R49sDFmD.jpg","View")</f>
        <v>View</v>
      </c>
      <c r="V1758" s="13"/>
      <c r="W1758" s="13"/>
      <c r="X1758" s="13"/>
      <c r="Y1758" s="13"/>
      <c r="Z1758" s="13"/>
    </row>
    <row r="1759">
      <c r="A1759" s="8">
        <v>43848.3134375</v>
      </c>
      <c r="B1759" s="9" t="str">
        <f>HYPERLINK("https://twitter.com/DrGurdeepParhar","@DrGurdeepParhar")</f>
        <v>@DrGurdeepParhar</v>
      </c>
      <c r="C1759" s="10" t="s">
        <v>54</v>
      </c>
      <c r="D1759" s="22" t="s">
        <v>7635</v>
      </c>
      <c r="E1759" s="9" t="str">
        <f>HYPERLINK("https://twitter.com/DrGurdeepParhar/status/1218511191414333440","1218511191414333440")</f>
        <v>1218511191414333440</v>
      </c>
      <c r="F1759" s="11" t="s">
        <v>7636</v>
      </c>
      <c r="G1759" s="13"/>
      <c r="H1759" s="13"/>
      <c r="I1759" s="14">
        <v>0.0</v>
      </c>
      <c r="J1759" s="14">
        <v>0.0</v>
      </c>
      <c r="K1759" s="9" t="str">
        <f>HYPERLINK("https://nectar.social","BHIVE Nectar")</f>
        <v>BHIVE Nectar</v>
      </c>
      <c r="L1759" s="15">
        <v>81427.0</v>
      </c>
      <c r="M1759" s="15">
        <v>30.0</v>
      </c>
      <c r="N1759" s="15">
        <v>73.0</v>
      </c>
      <c r="O1759" s="16"/>
      <c r="P1759" s="17">
        <v>42450.41334490741</v>
      </c>
      <c r="Q1759" s="10" t="s">
        <v>57</v>
      </c>
      <c r="R1759" s="10" t="s">
        <v>58</v>
      </c>
      <c r="S1759" s="11" t="s">
        <v>59</v>
      </c>
      <c r="T1759" s="13"/>
      <c r="U1759" s="18" t="str">
        <f>HYPERLINK("https://pbs.twimg.com/profile_images/1013719377697357824/2F3Qgmy6.jpg","View")</f>
        <v>View</v>
      </c>
      <c r="V1759" s="13"/>
      <c r="W1759" s="13"/>
      <c r="X1759" s="13"/>
      <c r="Y1759" s="13"/>
      <c r="Z1759" s="13"/>
    </row>
    <row r="1760">
      <c r="A1760" s="8">
        <v>43848.31280092592</v>
      </c>
      <c r="B1760" s="9" t="str">
        <f>HYPERLINK("https://twitter.com/ParentingMH","@ParentingMH")</f>
        <v>@ParentingMH</v>
      </c>
      <c r="C1760" s="10" t="s">
        <v>3058</v>
      </c>
      <c r="D1760" s="10" t="s">
        <v>7637</v>
      </c>
      <c r="E1760" s="9" t="str">
        <f>HYPERLINK("https://twitter.com/ParentingMH/status/1218510958659764224","1218510958659764224")</f>
        <v>1218510958659764224</v>
      </c>
      <c r="F1760" s="11" t="s">
        <v>3060</v>
      </c>
      <c r="G1760" s="11" t="s">
        <v>7638</v>
      </c>
      <c r="H1760" s="13"/>
      <c r="I1760" s="14">
        <v>0.0</v>
      </c>
      <c r="J1760" s="14">
        <v>0.0</v>
      </c>
      <c r="K1760" s="9" t="str">
        <f>HYPERLINK("https://www.hootsuite.com","Hootsuite Inc.")</f>
        <v>Hootsuite Inc.</v>
      </c>
      <c r="L1760" s="15">
        <v>482.0</v>
      </c>
      <c r="M1760" s="15">
        <v>583.0</v>
      </c>
      <c r="N1760" s="15">
        <v>6.0</v>
      </c>
      <c r="O1760" s="16"/>
      <c r="P1760" s="17">
        <v>41937.3233449074</v>
      </c>
      <c r="Q1760" s="10" t="s">
        <v>2050</v>
      </c>
      <c r="R1760" s="10" t="s">
        <v>3062</v>
      </c>
      <c r="S1760" s="11" t="s">
        <v>3063</v>
      </c>
      <c r="T1760" s="13"/>
      <c r="U1760" s="18" t="str">
        <f>HYPERLINK("https://pbs.twimg.com/profile_images/1102956134246289409/Z6rSYrfM.png","View")</f>
        <v>View</v>
      </c>
      <c r="V1760" s="13"/>
      <c r="W1760" s="13"/>
      <c r="X1760" s="13"/>
      <c r="Y1760" s="13"/>
      <c r="Z1760" s="13"/>
    </row>
    <row r="1761">
      <c r="A1761" s="8">
        <v>43848.31277777778</v>
      </c>
      <c r="B1761" s="9" t="str">
        <f>HYPERLINK("https://twitter.com/dlhampton","@dlhampton")</f>
        <v>@dlhampton</v>
      </c>
      <c r="C1761" s="10" t="s">
        <v>717</v>
      </c>
      <c r="D1761" s="10" t="s">
        <v>7639</v>
      </c>
      <c r="E1761" s="9" t="str">
        <f>HYPERLINK("https://twitter.com/dlhampton/status/1218510952846544897","1218510952846544897")</f>
        <v>1218510952846544897</v>
      </c>
      <c r="F1761" s="11" t="s">
        <v>7640</v>
      </c>
      <c r="G1761" s="11" t="s">
        <v>7641</v>
      </c>
      <c r="H1761" s="13"/>
      <c r="I1761" s="14">
        <v>9.0</v>
      </c>
      <c r="J1761" s="14">
        <v>15.0</v>
      </c>
      <c r="K1761" s="9" t="str">
        <f>HYPERLINK("https://buffer.com","Buffer")</f>
        <v>Buffer</v>
      </c>
      <c r="L1761" s="15">
        <v>7461.0</v>
      </c>
      <c r="M1761" s="15">
        <v>4433.0</v>
      </c>
      <c r="N1761" s="15">
        <v>622.0</v>
      </c>
      <c r="O1761" s="16"/>
      <c r="P1761" s="17">
        <v>39704.697847222225</v>
      </c>
      <c r="Q1761" s="10" t="s">
        <v>721</v>
      </c>
      <c r="R1761" s="10" t="s">
        <v>722</v>
      </c>
      <c r="S1761" s="11" t="s">
        <v>723</v>
      </c>
      <c r="T1761" s="13"/>
      <c r="U1761" s="18" t="str">
        <f>HYPERLINK("https://pbs.twimg.com/profile_images/845255674162425856/wUuxsnEE.jpg","View")</f>
        <v>View</v>
      </c>
      <c r="V1761" s="13"/>
      <c r="W1761" s="13"/>
      <c r="X1761" s="13"/>
      <c r="Y1761" s="13"/>
      <c r="Z1761" s="13"/>
    </row>
    <row r="1762">
      <c r="A1762" s="8">
        <v>43848.31275462963</v>
      </c>
      <c r="B1762" s="9" t="str">
        <f>HYPERLINK("https://twitter.com/CarolynSpring","@CarolynSpring")</f>
        <v>@CarolynSpring</v>
      </c>
      <c r="C1762" s="10" t="s">
        <v>7642</v>
      </c>
      <c r="D1762" s="10" t="s">
        <v>7643</v>
      </c>
      <c r="E1762" s="9" t="str">
        <f>HYPERLINK("https://twitter.com/CarolynSpring/status/1218510944273420288","1218510944273420288")</f>
        <v>1218510944273420288</v>
      </c>
      <c r="F1762" s="11" t="s">
        <v>7644</v>
      </c>
      <c r="G1762" s="11" t="s">
        <v>7645</v>
      </c>
      <c r="H1762" s="13"/>
      <c r="I1762" s="14">
        <v>0.0</v>
      </c>
      <c r="J1762" s="14">
        <v>5.0</v>
      </c>
      <c r="K1762" s="9" t="str">
        <f>HYPERLINK("https://www.hootsuite.com","Hootsuite Inc.")</f>
        <v>Hootsuite Inc.</v>
      </c>
      <c r="L1762" s="15">
        <v>8316.0</v>
      </c>
      <c r="M1762" s="15">
        <v>5755.0</v>
      </c>
      <c r="N1762" s="15">
        <v>95.0</v>
      </c>
      <c r="O1762" s="16"/>
      <c r="P1762" s="17">
        <v>39986.679502314815</v>
      </c>
      <c r="Q1762" s="10" t="s">
        <v>7646</v>
      </c>
      <c r="R1762" s="10" t="s">
        <v>7647</v>
      </c>
      <c r="S1762" s="11" t="s">
        <v>7648</v>
      </c>
      <c r="T1762" s="13"/>
      <c r="U1762" s="18" t="str">
        <f>HYPERLINK("https://pbs.twimg.com/profile_images/1117297610744836096/zk3R1Sk1.png","View")</f>
        <v>View</v>
      </c>
      <c r="V1762" s="13"/>
      <c r="W1762" s="13"/>
      <c r="X1762" s="13"/>
      <c r="Y1762" s="13"/>
      <c r="Z1762" s="13"/>
    </row>
    <row r="1763">
      <c r="A1763" s="8">
        <v>43848.31261574074</v>
      </c>
      <c r="B1763" s="9" t="str">
        <f>HYPERLINK("https://twitter.com/DannyGautama","@DannyGautama")</f>
        <v>@DannyGautama</v>
      </c>
      <c r="C1763" s="10" t="s">
        <v>2919</v>
      </c>
      <c r="D1763" s="10" t="s">
        <v>7649</v>
      </c>
      <c r="E1763" s="9" t="str">
        <f>HYPERLINK("https://twitter.com/DannyGautama/status/1218510891458666499","1218510891458666499")</f>
        <v>1218510891458666499</v>
      </c>
      <c r="F1763" s="13"/>
      <c r="G1763" s="11" t="s">
        <v>7650</v>
      </c>
      <c r="H1763" s="13"/>
      <c r="I1763" s="14">
        <v>0.0</v>
      </c>
      <c r="J1763" s="14">
        <v>2.0</v>
      </c>
      <c r="K1763" s="9" t="str">
        <f>HYPERLINK("http://twitter.com/download/iphone","Twitter for iPhone")</f>
        <v>Twitter for iPhone</v>
      </c>
      <c r="L1763" s="15">
        <v>565.0</v>
      </c>
      <c r="M1763" s="15">
        <v>421.0</v>
      </c>
      <c r="N1763" s="15">
        <v>2.0</v>
      </c>
      <c r="O1763" s="16"/>
      <c r="P1763" s="17">
        <v>43706.59824074074</v>
      </c>
      <c r="Q1763" s="10" t="s">
        <v>63</v>
      </c>
      <c r="R1763" s="10" t="s">
        <v>2922</v>
      </c>
      <c r="S1763" s="13"/>
      <c r="T1763" s="13"/>
      <c r="U1763" s="18" t="str">
        <f>HYPERLINK("https://pbs.twimg.com/profile_images/1167169532445843460/t8kh07bv.jpg","View")</f>
        <v>View</v>
      </c>
      <c r="V1763" s="13"/>
      <c r="W1763" s="13"/>
      <c r="X1763" s="13"/>
      <c r="Y1763" s="13"/>
      <c r="Z1763" s="13"/>
    </row>
    <row r="1764">
      <c r="A1764" s="8">
        <v>43848.312372685185</v>
      </c>
      <c r="B1764" s="9" t="str">
        <f>HYPERLINK("https://twitter.com/BookCleansing","@BookCleansing")</f>
        <v>@BookCleansing</v>
      </c>
      <c r="C1764" s="10" t="s">
        <v>3461</v>
      </c>
      <c r="D1764" s="10" t="s">
        <v>7651</v>
      </c>
      <c r="E1764" s="9" t="str">
        <f>HYPERLINK("https://twitter.com/BookCleansing/status/1218510806037532673","1218510806037532673")</f>
        <v>1218510806037532673</v>
      </c>
      <c r="F1764" s="11" t="s">
        <v>7652</v>
      </c>
      <c r="G1764" s="13"/>
      <c r="H1764" s="13"/>
      <c r="I1764" s="14">
        <v>0.0</v>
      </c>
      <c r="J1764" s="14">
        <v>1.0</v>
      </c>
      <c r="K1764" s="9" t="str">
        <f>HYPERLINK("http://twitter.com/download/android","Twitter for Android")</f>
        <v>Twitter for Android</v>
      </c>
      <c r="L1764" s="15">
        <v>2101.0</v>
      </c>
      <c r="M1764" s="15">
        <v>1938.0</v>
      </c>
      <c r="N1764" s="15">
        <v>25.0</v>
      </c>
      <c r="O1764" s="16"/>
      <c r="P1764" s="17">
        <v>43353.65725694444</v>
      </c>
      <c r="Q1764" s="10" t="s">
        <v>3464</v>
      </c>
      <c r="R1764" s="10" t="s">
        <v>3465</v>
      </c>
      <c r="S1764" s="13"/>
      <c r="T1764" s="13"/>
      <c r="U1764" s="18" t="str">
        <f>HYPERLINK("https://pbs.twimg.com/profile_images/1081318844034150400/i3PtZEyb.jpg","View")</f>
        <v>View</v>
      </c>
      <c r="V1764" s="13"/>
      <c r="W1764" s="13"/>
      <c r="X1764" s="13"/>
      <c r="Y1764" s="13"/>
      <c r="Z1764" s="13"/>
    </row>
    <row r="1765">
      <c r="A1765" s="8">
        <v>43848.31150462963</v>
      </c>
      <c r="B1765" s="9" t="str">
        <f>HYPERLINK("https://twitter.com/g13nn99","@g13nn99")</f>
        <v>@g13nn99</v>
      </c>
      <c r="C1765" s="10" t="s">
        <v>7653</v>
      </c>
      <c r="D1765" s="10" t="s">
        <v>7654</v>
      </c>
      <c r="E1765" s="9" t="str">
        <f>HYPERLINK("https://twitter.com/g13nn99/status/1218510491221471233","1218510491221471233")</f>
        <v>1218510491221471233</v>
      </c>
      <c r="F1765" s="13"/>
      <c r="G1765" s="11" t="s">
        <v>7655</v>
      </c>
      <c r="H1765" s="13"/>
      <c r="I1765" s="14">
        <v>1.0</v>
      </c>
      <c r="J1765" s="14">
        <v>9.0</v>
      </c>
      <c r="K1765" s="9" t="str">
        <f>HYPERLINK("http://twitter.com/download/iphone","Twitter for iPhone")</f>
        <v>Twitter for iPhone</v>
      </c>
      <c r="L1765" s="15">
        <v>70.0</v>
      </c>
      <c r="M1765" s="15">
        <v>310.0</v>
      </c>
      <c r="N1765" s="15">
        <v>0.0</v>
      </c>
      <c r="O1765" s="16"/>
      <c r="P1765" s="17">
        <v>42659.216516203705</v>
      </c>
      <c r="Q1765" s="13"/>
      <c r="R1765" s="10" t="s">
        <v>7656</v>
      </c>
      <c r="S1765" s="11" t="s">
        <v>7657</v>
      </c>
      <c r="T1765" s="13"/>
      <c r="U1765" s="18" t="str">
        <f>HYPERLINK("https://pbs.twimg.com/profile_images/1211986673598390272/IkFTxaOb.jpg","View")</f>
        <v>View</v>
      </c>
      <c r="V1765" s="13"/>
      <c r="W1765" s="13"/>
      <c r="X1765" s="13"/>
      <c r="Y1765" s="13"/>
      <c r="Z1765" s="13"/>
    </row>
    <row r="1766">
      <c r="A1766" s="8">
        <v>43848.31043981481</v>
      </c>
      <c r="B1766" s="9" t="str">
        <f>HYPERLINK("https://twitter.com/OffbeatBusiness","@OffbeatBusiness")</f>
        <v>@OffbeatBusiness</v>
      </c>
      <c r="C1766" s="10" t="s">
        <v>7658</v>
      </c>
      <c r="D1766" s="10" t="s">
        <v>7659</v>
      </c>
      <c r="E1766" s="9" t="str">
        <f>HYPERLINK("https://twitter.com/OffbeatBusiness/status/1218510104221356032","1218510104221356032")</f>
        <v>1218510104221356032</v>
      </c>
      <c r="F1766" s="11" t="s">
        <v>7660</v>
      </c>
      <c r="G1766" s="13"/>
      <c r="H1766" s="13"/>
      <c r="I1766" s="14">
        <v>0.0</v>
      </c>
      <c r="J1766" s="14">
        <v>0.0</v>
      </c>
      <c r="K1766" s="9" t="str">
        <f>HYPERLINK("https://www.radioking.com","Radio King LiveTweet")</f>
        <v>Radio King LiveTweet</v>
      </c>
      <c r="L1766" s="15">
        <v>1494.0</v>
      </c>
      <c r="M1766" s="15">
        <v>1663.0</v>
      </c>
      <c r="N1766" s="15">
        <v>264.0</v>
      </c>
      <c r="O1766" s="16"/>
      <c r="P1766" s="17">
        <v>41834.672997685186</v>
      </c>
      <c r="Q1766" s="10" t="s">
        <v>3116</v>
      </c>
      <c r="R1766" s="10" t="s">
        <v>7661</v>
      </c>
      <c r="S1766" s="11" t="s">
        <v>7662</v>
      </c>
      <c r="T1766" s="13"/>
      <c r="U1766" s="18" t="str">
        <f>HYPERLINK("https://pbs.twimg.com/profile_images/1129056325865017344/2G8Eio6c.png","View")</f>
        <v>View</v>
      </c>
      <c r="V1766" s="13"/>
      <c r="W1766" s="13"/>
      <c r="X1766" s="13"/>
      <c r="Y1766" s="13"/>
      <c r="Z1766" s="13"/>
    </row>
    <row r="1767">
      <c r="A1767" s="8">
        <v>43848.31028935185</v>
      </c>
      <c r="B1767" s="9" t="str">
        <f>HYPERLINK("https://twitter.com/elliott_bunker","@elliott_bunker")</f>
        <v>@elliott_bunker</v>
      </c>
      <c r="C1767" s="10" t="s">
        <v>7663</v>
      </c>
      <c r="D1767" s="10" t="s">
        <v>7664</v>
      </c>
      <c r="E1767" s="9" t="str">
        <f>HYPERLINK("https://twitter.com/elliott_bunker/status/1218510051813601285","1218510051813601285")</f>
        <v>1218510051813601285</v>
      </c>
      <c r="F1767" s="13"/>
      <c r="G1767" s="11" t="s">
        <v>7665</v>
      </c>
      <c r="H1767" s="13"/>
      <c r="I1767" s="14">
        <v>0.0</v>
      </c>
      <c r="J1767" s="14">
        <v>0.0</v>
      </c>
      <c r="K1767" s="9" t="str">
        <f>HYPERLINK("http://twitter.com/download/iphone","Twitter for iPhone")</f>
        <v>Twitter for iPhone</v>
      </c>
      <c r="L1767" s="15">
        <v>555.0</v>
      </c>
      <c r="M1767" s="15">
        <v>1015.0</v>
      </c>
      <c r="N1767" s="15">
        <v>30.0</v>
      </c>
      <c r="O1767" s="16"/>
      <c r="P1767" s="17">
        <v>39133.293020833335</v>
      </c>
      <c r="Q1767" s="10" t="s">
        <v>7666</v>
      </c>
      <c r="R1767" s="10" t="s">
        <v>7667</v>
      </c>
      <c r="S1767" s="11" t="s">
        <v>7668</v>
      </c>
      <c r="T1767" s="13"/>
      <c r="U1767" s="18" t="str">
        <f>HYPERLINK("https://pbs.twimg.com/profile_images/1194383199058698245/OIMCsj_W.jpg","View")</f>
        <v>View</v>
      </c>
      <c r="V1767" s="13"/>
      <c r="W1767" s="13"/>
      <c r="X1767" s="13"/>
      <c r="Y1767" s="13"/>
      <c r="Z1767" s="13"/>
    </row>
    <row r="1768">
      <c r="A1768" s="8">
        <v>43848.30936342593</v>
      </c>
      <c r="B1768" s="9" t="str">
        <f>HYPERLINK("https://twitter.com/BekaLombardo","@BekaLombardo")</f>
        <v>@BekaLombardo</v>
      </c>
      <c r="C1768" s="10" t="s">
        <v>4328</v>
      </c>
      <c r="D1768" s="10" t="s">
        <v>7669</v>
      </c>
      <c r="E1768" s="9" t="str">
        <f>HYPERLINK("https://twitter.com/BekaLombardo/status/1218509715073830912","1218509715073830912")</f>
        <v>1218509715073830912</v>
      </c>
      <c r="F1768" s="11" t="s">
        <v>4330</v>
      </c>
      <c r="G1768" s="11" t="s">
        <v>7670</v>
      </c>
      <c r="H1768" s="13"/>
      <c r="I1768" s="14">
        <v>1.0</v>
      </c>
      <c r="J1768" s="14">
        <v>0.0</v>
      </c>
      <c r="K1768" s="9" t="str">
        <f>HYPERLINK("http://twitter.com/download/android","Twitter for Android")</f>
        <v>Twitter for Android</v>
      </c>
      <c r="L1768" s="15">
        <v>33548.0</v>
      </c>
      <c r="M1768" s="15">
        <v>9659.0</v>
      </c>
      <c r="N1768" s="15">
        <v>672.0</v>
      </c>
      <c r="O1768" s="21" t="s">
        <v>522</v>
      </c>
      <c r="P1768" s="17">
        <v>41797.81868055556</v>
      </c>
      <c r="Q1768" s="11" t="s">
        <v>4331</v>
      </c>
      <c r="R1768" s="10" t="s">
        <v>4332</v>
      </c>
      <c r="S1768" s="11" t="s">
        <v>4333</v>
      </c>
      <c r="T1768" s="13"/>
      <c r="U1768" s="18" t="str">
        <f>HYPERLINK("https://pbs.twimg.com/profile_images/1216557433289691136/VlzpS8o_.jpg","View")</f>
        <v>View</v>
      </c>
      <c r="V1768" s="13"/>
      <c r="W1768" s="13"/>
      <c r="X1768" s="13"/>
      <c r="Y1768" s="13"/>
      <c r="Z1768" s="13"/>
    </row>
    <row r="1769">
      <c r="A1769" s="8">
        <v>43848.30903935185</v>
      </c>
      <c r="B1769" s="9" t="str">
        <f>HYPERLINK("https://twitter.com/eschoolnews","@eschoolnews")</f>
        <v>@eschoolnews</v>
      </c>
      <c r="C1769" s="10" t="s">
        <v>7671</v>
      </c>
      <c r="D1769" s="10" t="s">
        <v>7672</v>
      </c>
      <c r="E1769" s="9" t="str">
        <f>HYPERLINK("https://twitter.com/eschoolnews/status/1218509597306212352","1218509597306212352")</f>
        <v>1218509597306212352</v>
      </c>
      <c r="F1769" s="11" t="s">
        <v>7673</v>
      </c>
      <c r="G1769" s="11" t="s">
        <v>7674</v>
      </c>
      <c r="H1769" s="13"/>
      <c r="I1769" s="14">
        <v>0.0</v>
      </c>
      <c r="J1769" s="14">
        <v>2.0</v>
      </c>
      <c r="K1769" s="9" t="str">
        <f t="shared" ref="K1769:K1770" si="213">HYPERLINK("https://buffer.com","Buffer")</f>
        <v>Buffer</v>
      </c>
      <c r="L1769" s="15">
        <v>81052.0</v>
      </c>
      <c r="M1769" s="15">
        <v>3911.0</v>
      </c>
      <c r="N1769" s="15">
        <v>2535.0</v>
      </c>
      <c r="O1769" s="16"/>
      <c r="P1769" s="17">
        <v>39899.66043981482</v>
      </c>
      <c r="Q1769" s="10" t="s">
        <v>6435</v>
      </c>
      <c r="R1769" s="10" t="s">
        <v>7675</v>
      </c>
      <c r="S1769" s="11" t="s">
        <v>7676</v>
      </c>
      <c r="T1769" s="13"/>
      <c r="U1769" s="18" t="str">
        <f>HYPERLINK("https://pbs.twimg.com/profile_images/1088210484954914817/0qVHwrkE.jpg","View")</f>
        <v>View</v>
      </c>
      <c r="V1769" s="13"/>
      <c r="W1769" s="13"/>
      <c r="X1769" s="13"/>
      <c r="Y1769" s="13"/>
      <c r="Z1769" s="13"/>
    </row>
    <row r="1770">
      <c r="A1770" s="8">
        <v>43848.30903935185</v>
      </c>
      <c r="B1770" s="9" t="str">
        <f>HYPERLINK("https://twitter.com/DivergentCIO","@DivergentCIO")</f>
        <v>@DivergentCIO</v>
      </c>
      <c r="C1770" s="10" t="s">
        <v>3448</v>
      </c>
      <c r="D1770" s="10" t="s">
        <v>7677</v>
      </c>
      <c r="E1770" s="9" t="str">
        <f>HYPERLINK("https://twitter.com/DivergentCIO/status/1218509596618383360","1218509596618383360")</f>
        <v>1218509596618383360</v>
      </c>
      <c r="F1770" s="11" t="s">
        <v>7678</v>
      </c>
      <c r="G1770" s="13"/>
      <c r="H1770" s="13"/>
      <c r="I1770" s="14">
        <v>0.0</v>
      </c>
      <c r="J1770" s="14">
        <v>0.0</v>
      </c>
      <c r="K1770" s="9" t="str">
        <f t="shared" si="213"/>
        <v>Buffer</v>
      </c>
      <c r="L1770" s="15">
        <v>28703.0</v>
      </c>
      <c r="M1770" s="15">
        <v>25617.0</v>
      </c>
      <c r="N1770" s="15">
        <v>1729.0</v>
      </c>
      <c r="O1770" s="16"/>
      <c r="P1770" s="17">
        <v>42071.738854166666</v>
      </c>
      <c r="Q1770" s="10" t="s">
        <v>3451</v>
      </c>
      <c r="R1770" s="10" t="s">
        <v>3452</v>
      </c>
      <c r="S1770" s="11" t="s">
        <v>3453</v>
      </c>
      <c r="T1770" s="13"/>
      <c r="U1770" s="18" t="str">
        <f>HYPERLINK("https://pbs.twimg.com/profile_images/767507322583199745/rpfbzBzg.jpg","View")</f>
        <v>View</v>
      </c>
      <c r="V1770" s="13"/>
      <c r="W1770" s="13"/>
      <c r="X1770" s="13"/>
      <c r="Y1770" s="13"/>
      <c r="Z1770" s="13"/>
    </row>
    <row r="1771">
      <c r="A1771" s="8">
        <v>43848.30894675926</v>
      </c>
      <c r="B1771" s="9" t="str">
        <f>HYPERLINK("https://twitter.com/scriptsketches","@scriptsketches")</f>
        <v>@scriptsketches</v>
      </c>
      <c r="C1771" s="10" t="s">
        <v>7679</v>
      </c>
      <c r="D1771" s="10" t="s">
        <v>7680</v>
      </c>
      <c r="E1771" s="9" t="str">
        <f>HYPERLINK("https://twitter.com/scriptsketches/status/1218509563902730241","1218509563902730241")</f>
        <v>1218509563902730241</v>
      </c>
      <c r="F1771" s="13"/>
      <c r="G1771" s="11" t="s">
        <v>7681</v>
      </c>
      <c r="H1771" s="13"/>
      <c r="I1771" s="14">
        <v>0.0</v>
      </c>
      <c r="J1771" s="14">
        <v>0.0</v>
      </c>
      <c r="K1771" s="9" t="str">
        <f>HYPERLINK("https://mobile.twitter.com","Twitter Web App")</f>
        <v>Twitter Web App</v>
      </c>
      <c r="L1771" s="15">
        <v>119.0</v>
      </c>
      <c r="M1771" s="15">
        <v>402.0</v>
      </c>
      <c r="N1771" s="15">
        <v>1.0</v>
      </c>
      <c r="O1771" s="16"/>
      <c r="P1771" s="17">
        <v>42996.22591435185</v>
      </c>
      <c r="Q1771" s="10" t="s">
        <v>2737</v>
      </c>
      <c r="R1771" s="10" t="s">
        <v>7682</v>
      </c>
      <c r="S1771" s="11" t="s">
        <v>7683</v>
      </c>
      <c r="T1771" s="13"/>
      <c r="U1771" s="18" t="str">
        <f>HYPERLINK("https://pbs.twimg.com/profile_images/909718946386980864/Vyd03WIQ.jpg","View")</f>
        <v>View</v>
      </c>
      <c r="V1771" s="13"/>
      <c r="W1771" s="13"/>
      <c r="X1771" s="13"/>
      <c r="Y1771" s="13"/>
      <c r="Z1771" s="13"/>
    </row>
    <row r="1772">
      <c r="A1772" s="8">
        <v>43848.30865740741</v>
      </c>
      <c r="B1772" s="9" t="str">
        <f>HYPERLINK("https://twitter.com/AKousoulis","@AKousoulis")</f>
        <v>@AKousoulis</v>
      </c>
      <c r="C1772" s="10" t="s">
        <v>7684</v>
      </c>
      <c r="D1772" s="10" t="s">
        <v>7685</v>
      </c>
      <c r="E1772" s="9" t="str">
        <f>HYPERLINK("https://twitter.com/AKousoulis/status/1218509457262628864","1218509457262628864")</f>
        <v>1218509457262628864</v>
      </c>
      <c r="F1772" s="13"/>
      <c r="G1772" s="11" t="s">
        <v>7686</v>
      </c>
      <c r="H1772" s="13"/>
      <c r="I1772" s="14">
        <v>0.0</v>
      </c>
      <c r="J1772" s="14">
        <v>8.0</v>
      </c>
      <c r="K1772" s="9" t="str">
        <f>HYPERLINK("http://twitter.com/download/android","Twitter for Android")</f>
        <v>Twitter for Android</v>
      </c>
      <c r="L1772" s="15">
        <v>914.0</v>
      </c>
      <c r="M1772" s="15">
        <v>532.0</v>
      </c>
      <c r="N1772" s="15">
        <v>35.0</v>
      </c>
      <c r="O1772" s="16"/>
      <c r="P1772" s="17">
        <v>40037.47436342593</v>
      </c>
      <c r="Q1772" s="10" t="s">
        <v>2805</v>
      </c>
      <c r="R1772" s="10" t="s">
        <v>7687</v>
      </c>
      <c r="S1772" s="13"/>
      <c r="T1772" s="13"/>
      <c r="U1772" s="18" t="str">
        <f>HYPERLINK("https://pbs.twimg.com/profile_images/1046810650440355845/KsNaAUnA.jpg","View")</f>
        <v>View</v>
      </c>
      <c r="V1772" s="13"/>
      <c r="W1772" s="13"/>
      <c r="X1772" s="13"/>
      <c r="Y1772" s="13"/>
      <c r="Z1772" s="13"/>
    </row>
    <row r="1773">
      <c r="A1773" s="8">
        <v>43848.30844907407</v>
      </c>
      <c r="B1773" s="9" t="str">
        <f>HYPERLINK("https://twitter.com/GarryNLPCoach","@GarryNLPCoach")</f>
        <v>@GarryNLPCoach</v>
      </c>
      <c r="C1773" s="10" t="s">
        <v>7688</v>
      </c>
      <c r="D1773" s="10" t="s">
        <v>7689</v>
      </c>
      <c r="E1773" s="9" t="str">
        <f>HYPERLINK("https://twitter.com/GarryNLPCoach/status/1218509384994697218","1218509384994697218")</f>
        <v>1218509384994697218</v>
      </c>
      <c r="F1773" s="13"/>
      <c r="G1773" s="11" t="s">
        <v>7690</v>
      </c>
      <c r="H1773" s="13"/>
      <c r="I1773" s="14">
        <v>0.0</v>
      </c>
      <c r="J1773" s="14">
        <v>0.0</v>
      </c>
      <c r="K1773" s="9" t="str">
        <f>HYPERLINK("http://twitter.com/download/iphone","Twitter for iPhone")</f>
        <v>Twitter for iPhone</v>
      </c>
      <c r="L1773" s="15">
        <v>233.0</v>
      </c>
      <c r="M1773" s="15">
        <v>362.0</v>
      </c>
      <c r="N1773" s="15">
        <v>6.0</v>
      </c>
      <c r="O1773" s="16"/>
      <c r="P1773" s="17">
        <v>42130.51143518518</v>
      </c>
      <c r="Q1773" s="10" t="s">
        <v>7691</v>
      </c>
      <c r="R1773" s="10" t="s">
        <v>7692</v>
      </c>
      <c r="S1773" s="11" t="s">
        <v>7693</v>
      </c>
      <c r="T1773" s="13"/>
      <c r="U1773" s="18" t="str">
        <f>HYPERLINK("https://pbs.twimg.com/profile_images/743932408551071744/wGiAELFT.jpg","View")</f>
        <v>View</v>
      </c>
      <c r="V1773" s="13"/>
      <c r="W1773" s="13"/>
      <c r="X1773" s="13"/>
      <c r="Y1773" s="13"/>
      <c r="Z1773" s="13"/>
    </row>
    <row r="1774">
      <c r="A1774" s="8">
        <v>43848.30837962963</v>
      </c>
      <c r="B1774" s="9" t="str">
        <f>HYPERLINK("https://twitter.com/ambienteer","@ambienteer")</f>
        <v>@ambienteer</v>
      </c>
      <c r="C1774" s="10" t="s">
        <v>7694</v>
      </c>
      <c r="D1774" s="10" t="s">
        <v>7695</v>
      </c>
      <c r="E1774" s="9" t="str">
        <f>HYPERLINK("https://twitter.com/ambienteer/status/1218509358138568705","1218509358138568705")</f>
        <v>1218509358138568705</v>
      </c>
      <c r="F1774" s="13"/>
      <c r="G1774" s="11" t="s">
        <v>7696</v>
      </c>
      <c r="H1774" s="13"/>
      <c r="I1774" s="14">
        <v>0.0</v>
      </c>
      <c r="J1774" s="14">
        <v>8.0</v>
      </c>
      <c r="K1774" s="9" t="str">
        <f>HYPERLINK("http://twitter.com/download/android","Twitter for Android")</f>
        <v>Twitter for Android</v>
      </c>
      <c r="L1774" s="15">
        <v>2903.0</v>
      </c>
      <c r="M1774" s="15">
        <v>1590.0</v>
      </c>
      <c r="N1774" s="15">
        <v>223.0</v>
      </c>
      <c r="O1774" s="16"/>
      <c r="P1774" s="17">
        <v>39843.23810185185</v>
      </c>
      <c r="Q1774" s="10" t="s">
        <v>7697</v>
      </c>
      <c r="R1774" s="10" t="s">
        <v>7698</v>
      </c>
      <c r="S1774" s="11" t="s">
        <v>7699</v>
      </c>
      <c r="T1774" s="13"/>
      <c r="U1774" s="18" t="str">
        <f>HYPERLINK("https://pbs.twimg.com/profile_images/1207288463172800513/LVquMHXw.jpg","View")</f>
        <v>View</v>
      </c>
      <c r="V1774" s="13"/>
      <c r="W1774" s="13"/>
      <c r="X1774" s="13"/>
      <c r="Y1774" s="13"/>
      <c r="Z1774" s="13"/>
    </row>
    <row r="1775">
      <c r="A1775" s="8">
        <v>43848.30664351852</v>
      </c>
      <c r="B1775" s="9" t="str">
        <f>HYPERLINK("https://twitter.com/drpokea","@drpokea")</f>
        <v>@drpokea</v>
      </c>
      <c r="C1775" s="10" t="s">
        <v>385</v>
      </c>
      <c r="D1775" s="10" t="s">
        <v>7700</v>
      </c>
      <c r="E1775" s="9" t="str">
        <f>HYPERLINK("https://twitter.com/drpokea/status/1218508727667642369","1218508727667642369")</f>
        <v>1218508727667642369</v>
      </c>
      <c r="F1775" s="11" t="s">
        <v>7701</v>
      </c>
      <c r="G1775" s="13"/>
      <c r="H1775" s="13"/>
      <c r="I1775" s="14">
        <v>0.0</v>
      </c>
      <c r="J1775" s="14">
        <v>0.0</v>
      </c>
      <c r="K1775" s="9" t="str">
        <f>HYPERLINK("https://apps.twitter.com","TwitterHelper4John")</f>
        <v>TwitterHelper4John</v>
      </c>
      <c r="L1775" s="15">
        <v>10050.0</v>
      </c>
      <c r="M1775" s="15">
        <v>3862.0</v>
      </c>
      <c r="N1775" s="15">
        <v>409.0</v>
      </c>
      <c r="O1775" s="16"/>
      <c r="P1775" s="17">
        <v>41994.369722222225</v>
      </c>
      <c r="Q1775" s="10" t="s">
        <v>388</v>
      </c>
      <c r="R1775" s="10" t="s">
        <v>389</v>
      </c>
      <c r="S1775" s="11" t="s">
        <v>390</v>
      </c>
      <c r="T1775" s="13"/>
      <c r="U1775" s="18" t="str">
        <f>HYPERLINK("https://pbs.twimg.com/profile_images/546664706165841921/SP4ZJXOO.jpeg","View")</f>
        <v>View</v>
      </c>
      <c r="V1775" s="13"/>
      <c r="W1775" s="13"/>
      <c r="X1775" s="13"/>
      <c r="Y1775" s="13"/>
      <c r="Z1775" s="13"/>
    </row>
    <row r="1776">
      <c r="A1776" s="8">
        <v>43848.30633101852</v>
      </c>
      <c r="B1776" s="9" t="str">
        <f>HYPERLINK("https://twitter.com/Iderjleon10","@Iderjleon10")</f>
        <v>@Iderjleon10</v>
      </c>
      <c r="C1776" s="10" t="s">
        <v>7702</v>
      </c>
      <c r="D1776" s="10" t="s">
        <v>238</v>
      </c>
      <c r="E1776" s="9" t="str">
        <f>HYPERLINK("https://twitter.com/Iderjleon10/status/1218508617642643456","1218508617642643456")</f>
        <v>1218508617642643456</v>
      </c>
      <c r="F1776" s="13"/>
      <c r="G1776" s="13"/>
      <c r="H1776" s="13"/>
      <c r="I1776" s="14">
        <v>0.0</v>
      </c>
      <c r="J1776" s="14">
        <v>0.0</v>
      </c>
      <c r="K1776" s="9" t="str">
        <f t="shared" ref="K1776:K1777" si="214">HYPERLINK("http://twitter.com/download/android","Twitter for Android")</f>
        <v>Twitter for Android</v>
      </c>
      <c r="L1776" s="15">
        <v>115.0</v>
      </c>
      <c r="M1776" s="15">
        <v>92.0</v>
      </c>
      <c r="N1776" s="15">
        <v>1.0</v>
      </c>
      <c r="O1776" s="16"/>
      <c r="P1776" s="17">
        <v>40969.34805555556</v>
      </c>
      <c r="Q1776" s="13"/>
      <c r="R1776" s="13"/>
      <c r="S1776" s="13"/>
      <c r="T1776" s="13"/>
      <c r="U1776" s="18" t="str">
        <f>HYPERLINK("https://pbs.twimg.com/profile_images/854496561228902401/wmiUpqQn.jpg","View")</f>
        <v>View</v>
      </c>
      <c r="V1776" s="13"/>
      <c r="W1776" s="13"/>
      <c r="X1776" s="13"/>
      <c r="Y1776" s="13"/>
      <c r="Z1776" s="13"/>
    </row>
    <row r="1777">
      <c r="A1777" s="8">
        <v>43848.305879629625</v>
      </c>
      <c r="B1777" s="9" t="str">
        <f>HYPERLINK("https://twitter.com/Caco_en_LT","@Caco_en_LT")</f>
        <v>@Caco_en_LT</v>
      </c>
      <c r="C1777" s="10" t="s">
        <v>7703</v>
      </c>
      <c r="D1777" s="10" t="s">
        <v>238</v>
      </c>
      <c r="E1777" s="9" t="str">
        <f>HYPERLINK("https://twitter.com/Caco_en_LT/status/1218508451346894848","1218508451346894848")</f>
        <v>1218508451346894848</v>
      </c>
      <c r="F1777" s="13"/>
      <c r="G1777" s="13"/>
      <c r="H1777" s="13"/>
      <c r="I1777" s="14">
        <v>0.0</v>
      </c>
      <c r="J1777" s="14">
        <v>0.0</v>
      </c>
      <c r="K1777" s="9" t="str">
        <f t="shared" si="214"/>
        <v>Twitter for Android</v>
      </c>
      <c r="L1777" s="15">
        <v>2216.0</v>
      </c>
      <c r="M1777" s="15">
        <v>2095.0</v>
      </c>
      <c r="N1777" s="15">
        <v>20.0</v>
      </c>
      <c r="O1777" s="16"/>
      <c r="P1777" s="17">
        <v>39915.57215277778</v>
      </c>
      <c r="Q1777" s="10" t="s">
        <v>7704</v>
      </c>
      <c r="R1777" s="10" t="s">
        <v>7705</v>
      </c>
      <c r="S1777" s="11" t="s">
        <v>7706</v>
      </c>
      <c r="T1777" s="13"/>
      <c r="U1777" s="18" t="str">
        <f>HYPERLINK("https://pbs.twimg.com/profile_images/774433801539883008/iX9-lakj.jpg","View")</f>
        <v>View</v>
      </c>
      <c r="V1777" s="13"/>
      <c r="W1777" s="13"/>
      <c r="X1777" s="13"/>
      <c r="Y1777" s="13"/>
      <c r="Z1777" s="13"/>
    </row>
    <row r="1778">
      <c r="A1778" s="8">
        <v>43848.305706018524</v>
      </c>
      <c r="B1778" s="9" t="str">
        <f>HYPERLINK("https://twitter.com/SalfordCCG","@SalfordCCG")</f>
        <v>@SalfordCCG</v>
      </c>
      <c r="C1778" s="10" t="s">
        <v>7707</v>
      </c>
      <c r="D1778" s="10" t="s">
        <v>7708</v>
      </c>
      <c r="E1778" s="9" t="str">
        <f>HYPERLINK("https://twitter.com/SalfordCCG/status/1218508390504202240","1218508390504202240")</f>
        <v>1218508390504202240</v>
      </c>
      <c r="F1778" s="11" t="s">
        <v>7709</v>
      </c>
      <c r="G1778" s="11" t="s">
        <v>7710</v>
      </c>
      <c r="H1778" s="13"/>
      <c r="I1778" s="14">
        <v>0.0</v>
      </c>
      <c r="J1778" s="14">
        <v>0.0</v>
      </c>
      <c r="K1778" s="9" t="str">
        <f>HYPERLINK("https://orlo.tech","Orlo")</f>
        <v>Orlo</v>
      </c>
      <c r="L1778" s="15">
        <v>15197.0</v>
      </c>
      <c r="M1778" s="15">
        <v>1317.0</v>
      </c>
      <c r="N1778" s="15">
        <v>342.0</v>
      </c>
      <c r="O1778" s="21" t="s">
        <v>522</v>
      </c>
      <c r="P1778" s="17">
        <v>39962.777233796296</v>
      </c>
      <c r="Q1778" s="10" t="s">
        <v>7711</v>
      </c>
      <c r="R1778" s="10" t="s">
        <v>7712</v>
      </c>
      <c r="S1778" s="11" t="s">
        <v>7713</v>
      </c>
      <c r="T1778" s="13"/>
      <c r="U1778" s="18" t="str">
        <f>HYPERLINK("https://pbs.twimg.com/profile_images/1167024940484366336/CyiW8hjP.jpg","View")</f>
        <v>View</v>
      </c>
      <c r="V1778" s="13"/>
      <c r="W1778" s="13"/>
      <c r="X1778" s="13"/>
      <c r="Y1778" s="13"/>
      <c r="Z1778" s="13"/>
    </row>
    <row r="1779">
      <c r="A1779" s="8">
        <v>43848.30490740741</v>
      </c>
      <c r="B1779" s="9" t="str">
        <f>HYPERLINK("https://twitter.com/DonelaLinas","@DonelaLinas")</f>
        <v>@DonelaLinas</v>
      </c>
      <c r="C1779" s="10" t="s">
        <v>1838</v>
      </c>
      <c r="D1779" s="10" t="s">
        <v>7714</v>
      </c>
      <c r="E1779" s="9" t="str">
        <f>HYPERLINK("https://twitter.com/DonelaLinas/status/1218508102162579457","1218508102162579457")</f>
        <v>1218508102162579457</v>
      </c>
      <c r="F1779" s="13"/>
      <c r="G1779" s="13"/>
      <c r="H1779" s="13"/>
      <c r="I1779" s="14">
        <v>0.0</v>
      </c>
      <c r="J1779" s="14">
        <v>1.0</v>
      </c>
      <c r="K1779" s="9" t="str">
        <f>HYPERLINK("http://twitter.com/download/android","Twitter for Android")</f>
        <v>Twitter for Android</v>
      </c>
      <c r="L1779" s="15">
        <v>34.0</v>
      </c>
      <c r="M1779" s="15">
        <v>57.0</v>
      </c>
      <c r="N1779" s="15">
        <v>0.0</v>
      </c>
      <c r="O1779" s="16"/>
      <c r="P1779" s="17">
        <v>42519.46498842593</v>
      </c>
      <c r="Q1779" s="10" t="s">
        <v>1840</v>
      </c>
      <c r="R1779" s="10" t="s">
        <v>1841</v>
      </c>
      <c r="S1779" s="13"/>
      <c r="T1779" s="13"/>
      <c r="U1779" s="18" t="str">
        <f>HYPERLINK("https://pbs.twimg.com/profile_images/737072476367269888/aenGDd9p.jpg","View")</f>
        <v>View</v>
      </c>
      <c r="V1779" s="13"/>
      <c r="W1779" s="13"/>
      <c r="X1779" s="13"/>
      <c r="Y1779" s="13"/>
      <c r="Z1779" s="13"/>
    </row>
    <row r="1780">
      <c r="A1780" s="8">
        <v>43848.30474537037</v>
      </c>
      <c r="B1780" s="9" t="str">
        <f>HYPERLINK("https://twitter.com/and_kaus","@and_kaus")</f>
        <v>@and_kaus</v>
      </c>
      <c r="C1780" s="10" t="s">
        <v>7715</v>
      </c>
      <c r="D1780" s="10" t="s">
        <v>7716</v>
      </c>
      <c r="E1780" s="9" t="str">
        <f>HYPERLINK("https://twitter.com/and_kaus/status/1218508042259587072","1218508042259587072")</f>
        <v>1218508042259587072</v>
      </c>
      <c r="F1780" s="13"/>
      <c r="G1780" s="11" t="s">
        <v>7717</v>
      </c>
      <c r="H1780" s="13"/>
      <c r="I1780" s="14">
        <v>6.0</v>
      </c>
      <c r="J1780" s="14">
        <v>8.0</v>
      </c>
      <c r="K1780" s="9" t="str">
        <f>HYPERLINK("http://twitter.com/download/iphone","Twitter for iPhone")</f>
        <v>Twitter for iPhone</v>
      </c>
      <c r="L1780" s="15">
        <v>157.0</v>
      </c>
      <c r="M1780" s="15">
        <v>305.0</v>
      </c>
      <c r="N1780" s="15">
        <v>7.0</v>
      </c>
      <c r="O1780" s="16"/>
      <c r="P1780" s="17">
        <v>43394.350266203706</v>
      </c>
      <c r="Q1780" s="13"/>
      <c r="R1780" s="10" t="s">
        <v>7718</v>
      </c>
      <c r="S1780" s="13"/>
      <c r="T1780" s="13"/>
      <c r="U1780" s="18" t="str">
        <f>HYPERLINK("https://pbs.twimg.com/profile_images/1054002718686232576/pPWZ-L_2.jpg","View")</f>
        <v>View</v>
      </c>
      <c r="V1780" s="13"/>
      <c r="W1780" s="13"/>
      <c r="X1780" s="13"/>
      <c r="Y1780" s="13"/>
      <c r="Z1780" s="13"/>
    </row>
    <row r="1781">
      <c r="A1781" s="8">
        <v>43848.30471064815</v>
      </c>
      <c r="B1781" s="9" t="str">
        <f>HYPERLINK("https://twitter.com/TimeToTalk19","@TimeToTalk19")</f>
        <v>@TimeToTalk19</v>
      </c>
      <c r="C1781" s="10" t="s">
        <v>7719</v>
      </c>
      <c r="D1781" s="10" t="s">
        <v>7720</v>
      </c>
      <c r="E1781" s="9" t="str">
        <f>HYPERLINK("https://twitter.com/TimeToTalk19/status/1218508028040880128","1218508028040880128")</f>
        <v>1218508028040880128</v>
      </c>
      <c r="F1781" s="11" t="s">
        <v>7721</v>
      </c>
      <c r="G1781" s="11" t="s">
        <v>7722</v>
      </c>
      <c r="H1781" s="13"/>
      <c r="I1781" s="14">
        <v>0.0</v>
      </c>
      <c r="J1781" s="14">
        <v>0.0</v>
      </c>
      <c r="K1781" s="9" t="str">
        <f>HYPERLINK("http://twitter.com/#!/download/ipad","Twitter for iPad")</f>
        <v>Twitter for iPad</v>
      </c>
      <c r="L1781" s="15">
        <v>1426.0</v>
      </c>
      <c r="M1781" s="15">
        <v>1106.0</v>
      </c>
      <c r="N1781" s="15">
        <v>6.0</v>
      </c>
      <c r="O1781" s="16"/>
      <c r="P1781" s="17">
        <v>43505.49376157408</v>
      </c>
      <c r="Q1781" s="13"/>
      <c r="R1781" s="10" t="s">
        <v>7723</v>
      </c>
      <c r="S1781" s="11" t="s">
        <v>7724</v>
      </c>
      <c r="T1781" s="13"/>
      <c r="U1781" s="18" t="str">
        <f>HYPERLINK("https://pbs.twimg.com/profile_images/1177151772894334976/u3IO4rgj.jpg","View")</f>
        <v>View</v>
      </c>
      <c r="V1781" s="13"/>
      <c r="W1781" s="13"/>
      <c r="X1781" s="13"/>
      <c r="Y1781" s="13"/>
      <c r="Z1781" s="13"/>
    </row>
    <row r="1782">
      <c r="A1782" s="8">
        <v>43848.30429398148</v>
      </c>
      <c r="B1782" s="9" t="str">
        <f>HYPERLINK("https://twitter.com/ASM_Limerick","@ASM_Limerick")</f>
        <v>@ASM_Limerick</v>
      </c>
      <c r="C1782" s="10" t="s">
        <v>7725</v>
      </c>
      <c r="D1782" s="10" t="s">
        <v>7726</v>
      </c>
      <c r="E1782" s="9" t="str">
        <f>HYPERLINK("https://twitter.com/ASM_Limerick/status/1218507876970455040","1218507876970455040")</f>
        <v>1218507876970455040</v>
      </c>
      <c r="F1782" s="13"/>
      <c r="G1782" s="11" t="s">
        <v>7727</v>
      </c>
      <c r="H1782" s="13"/>
      <c r="I1782" s="14">
        <v>0.0</v>
      </c>
      <c r="J1782" s="14">
        <v>5.0</v>
      </c>
      <c r="K1782" s="9" t="str">
        <f>HYPERLINK("https://mobile.twitter.com","Twitter Web App")</f>
        <v>Twitter Web App</v>
      </c>
      <c r="L1782" s="15">
        <v>761.0</v>
      </c>
      <c r="M1782" s="15">
        <v>1198.0</v>
      </c>
      <c r="N1782" s="15">
        <v>12.0</v>
      </c>
      <c r="O1782" s="16"/>
      <c r="P1782" s="17">
        <v>42869.36822916666</v>
      </c>
      <c r="Q1782" s="10" t="s">
        <v>7172</v>
      </c>
      <c r="R1782" s="10" t="s">
        <v>7728</v>
      </c>
      <c r="S1782" s="11" t="s">
        <v>7729</v>
      </c>
      <c r="T1782" s="13"/>
      <c r="U1782" s="18" t="str">
        <f>HYPERLINK("https://pbs.twimg.com/profile_images/863739611406888960/ef8tnY0a.jpg","View")</f>
        <v>View</v>
      </c>
      <c r="V1782" s="13"/>
      <c r="W1782" s="13"/>
      <c r="X1782" s="13"/>
      <c r="Y1782" s="13"/>
      <c r="Z1782" s="13"/>
    </row>
    <row r="1783">
      <c r="A1783" s="8">
        <v>43848.304247685184</v>
      </c>
      <c r="B1783" s="9" t="str">
        <f>HYPERLINK("https://twitter.com/MizzQueenDiva","@MizzQueenDiva")</f>
        <v>@MizzQueenDiva</v>
      </c>
      <c r="C1783" s="10" t="s">
        <v>7730</v>
      </c>
      <c r="D1783" s="10" t="s">
        <v>7731</v>
      </c>
      <c r="E1783" s="9" t="str">
        <f>HYPERLINK("https://twitter.com/MizzQueenDiva/status/1218507861711564800","1218507861711564800")</f>
        <v>1218507861711564800</v>
      </c>
      <c r="F1783" s="11" t="s">
        <v>7732</v>
      </c>
      <c r="G1783" s="13"/>
      <c r="H1783" s="13"/>
      <c r="I1783" s="14">
        <v>0.0</v>
      </c>
      <c r="J1783" s="14">
        <v>0.0</v>
      </c>
      <c r="K1783" s="9" t="str">
        <f>HYPERLINK("http://instagram.com","Instagram")</f>
        <v>Instagram</v>
      </c>
      <c r="L1783" s="15">
        <v>333.0</v>
      </c>
      <c r="M1783" s="15">
        <v>2241.0</v>
      </c>
      <c r="N1783" s="15">
        <v>0.0</v>
      </c>
      <c r="O1783" s="16"/>
      <c r="P1783" s="17">
        <v>40371.510729166665</v>
      </c>
      <c r="Q1783" s="10" t="s">
        <v>7733</v>
      </c>
      <c r="R1783" s="10" t="s">
        <v>7734</v>
      </c>
      <c r="S1783" s="11" t="s">
        <v>7735</v>
      </c>
      <c r="T1783" s="13"/>
      <c r="U1783" s="18" t="str">
        <f>HYPERLINK("https://pbs.twimg.com/profile_images/1215060604370800640/_sUAX-Ba.jpg","View")</f>
        <v>View</v>
      </c>
      <c r="V1783" s="13"/>
      <c r="W1783" s="13"/>
      <c r="X1783" s="13"/>
      <c r="Y1783" s="13"/>
      <c r="Z1783" s="13"/>
    </row>
    <row r="1784">
      <c r="A1784" s="8">
        <v>43848.303888888884</v>
      </c>
      <c r="B1784" s="9" t="str">
        <f>HYPERLINK("https://twitter.com/DonelaLinas","@DonelaLinas")</f>
        <v>@DonelaLinas</v>
      </c>
      <c r="C1784" s="10" t="s">
        <v>1838</v>
      </c>
      <c r="D1784" s="10" t="s">
        <v>7736</v>
      </c>
      <c r="E1784" s="9" t="str">
        <f>HYPERLINK("https://twitter.com/DonelaLinas/status/1218507730933243904","1218507730933243904")</f>
        <v>1218507730933243904</v>
      </c>
      <c r="F1784" s="13"/>
      <c r="G1784" s="13"/>
      <c r="H1784" s="13"/>
      <c r="I1784" s="14">
        <v>0.0</v>
      </c>
      <c r="J1784" s="14">
        <v>1.0</v>
      </c>
      <c r="K1784" s="9" t="str">
        <f>HYPERLINK("http://twitter.com/download/android","Twitter for Android")</f>
        <v>Twitter for Android</v>
      </c>
      <c r="L1784" s="15">
        <v>34.0</v>
      </c>
      <c r="M1784" s="15">
        <v>57.0</v>
      </c>
      <c r="N1784" s="15">
        <v>0.0</v>
      </c>
      <c r="O1784" s="16"/>
      <c r="P1784" s="17">
        <v>42519.46498842593</v>
      </c>
      <c r="Q1784" s="10" t="s">
        <v>1840</v>
      </c>
      <c r="R1784" s="10" t="s">
        <v>1841</v>
      </c>
      <c r="S1784" s="13"/>
      <c r="T1784" s="13"/>
      <c r="U1784" s="18" t="str">
        <f>HYPERLINK("https://pbs.twimg.com/profile_images/737072476367269888/aenGDd9p.jpg","View")</f>
        <v>View</v>
      </c>
      <c r="V1784" s="13"/>
      <c r="W1784" s="13"/>
      <c r="X1784" s="13"/>
      <c r="Y1784" s="13"/>
      <c r="Z1784" s="13"/>
    </row>
    <row r="1785">
      <c r="A1785" s="8">
        <v>43848.30280092593</v>
      </c>
      <c r="B1785" s="9" t="str">
        <f>HYPERLINK("https://twitter.com/ZimriRosas","@ZimriRosas")</f>
        <v>@ZimriRosas</v>
      </c>
      <c r="C1785" s="10" t="s">
        <v>7737</v>
      </c>
      <c r="D1785" s="10" t="s">
        <v>238</v>
      </c>
      <c r="E1785" s="9" t="str">
        <f>HYPERLINK("https://twitter.com/ZimriRosas/status/1218507338031804416","1218507338031804416")</f>
        <v>1218507338031804416</v>
      </c>
      <c r="F1785" s="13"/>
      <c r="G1785" s="13"/>
      <c r="H1785" s="13"/>
      <c r="I1785" s="14">
        <v>0.0</v>
      </c>
      <c r="J1785" s="14">
        <v>0.0</v>
      </c>
      <c r="K1785" s="9" t="str">
        <f>HYPERLINK("https://mobile.twitter.com","Twitter Web App")</f>
        <v>Twitter Web App</v>
      </c>
      <c r="L1785" s="15">
        <v>4157.0</v>
      </c>
      <c r="M1785" s="15">
        <v>4985.0</v>
      </c>
      <c r="N1785" s="15">
        <v>83.0</v>
      </c>
      <c r="O1785" s="16"/>
      <c r="P1785" s="17">
        <v>40911.890127314815</v>
      </c>
      <c r="Q1785" s="10" t="s">
        <v>7738</v>
      </c>
      <c r="R1785" s="10" t="s">
        <v>7739</v>
      </c>
      <c r="S1785" s="13"/>
      <c r="T1785" s="13"/>
      <c r="U1785" s="18" t="str">
        <f>HYPERLINK("https://pbs.twimg.com/profile_images/1180073140044668929/0bjZGFic.jpg","View")</f>
        <v>View</v>
      </c>
      <c r="V1785" s="13"/>
      <c r="W1785" s="13"/>
      <c r="X1785" s="13"/>
      <c r="Y1785" s="13"/>
      <c r="Z1785" s="13"/>
    </row>
    <row r="1786">
      <c r="A1786" s="8">
        <v>43848.30275462963</v>
      </c>
      <c r="B1786" s="9" t="str">
        <f>HYPERLINK("https://twitter.com/PeterZaidan_","@PeterZaidan_")</f>
        <v>@PeterZaidan_</v>
      </c>
      <c r="C1786" s="10" t="s">
        <v>7740</v>
      </c>
      <c r="D1786" s="10" t="s">
        <v>238</v>
      </c>
      <c r="E1786" s="9" t="str">
        <f>HYPERLINK("https://twitter.com/PeterZaidan_/status/1218507321791279104","1218507321791279104")</f>
        <v>1218507321791279104</v>
      </c>
      <c r="F1786" s="13"/>
      <c r="G1786" s="13"/>
      <c r="H1786" s="13"/>
      <c r="I1786" s="14">
        <v>0.0</v>
      </c>
      <c r="J1786" s="14">
        <v>0.0</v>
      </c>
      <c r="K1786" s="9" t="str">
        <f t="shared" ref="K1786:K1787" si="215">HYPERLINK("http://twitter.com/download/iphone","Twitter for iPhone")</f>
        <v>Twitter for iPhone</v>
      </c>
      <c r="L1786" s="15">
        <v>402.0</v>
      </c>
      <c r="M1786" s="15">
        <v>657.0</v>
      </c>
      <c r="N1786" s="15">
        <v>2.0</v>
      </c>
      <c r="O1786" s="16"/>
      <c r="P1786" s="17">
        <v>40336.91071759259</v>
      </c>
      <c r="Q1786" s="10" t="s">
        <v>7441</v>
      </c>
      <c r="R1786" s="10" t="s">
        <v>7741</v>
      </c>
      <c r="S1786" s="11" t="s">
        <v>7742</v>
      </c>
      <c r="T1786" s="13"/>
      <c r="U1786" s="18" t="str">
        <f>HYPERLINK("https://pbs.twimg.com/profile_images/1195566943895318528/XUiKUUk-.jpg","View")</f>
        <v>View</v>
      </c>
      <c r="V1786" s="13"/>
      <c r="W1786" s="13"/>
      <c r="X1786" s="13"/>
      <c r="Y1786" s="13"/>
      <c r="Z1786" s="13"/>
    </row>
    <row r="1787">
      <c r="A1787" s="8">
        <v>43848.302569444444</v>
      </c>
      <c r="B1787" s="9" t="str">
        <f>HYPERLINK("https://twitter.com/barryprotrainer","@barryprotrainer")</f>
        <v>@barryprotrainer</v>
      </c>
      <c r="C1787" s="10" t="s">
        <v>7743</v>
      </c>
      <c r="D1787" s="10" t="s">
        <v>7744</v>
      </c>
      <c r="E1787" s="9" t="str">
        <f>HYPERLINK("https://twitter.com/barryprotrainer/status/1218507253818576896","1218507253818576896")</f>
        <v>1218507253818576896</v>
      </c>
      <c r="F1787" s="13"/>
      <c r="G1787" s="11" t="s">
        <v>7745</v>
      </c>
      <c r="H1787" s="13"/>
      <c r="I1787" s="14">
        <v>0.0</v>
      </c>
      <c r="J1787" s="14">
        <v>1.0</v>
      </c>
      <c r="K1787" s="9" t="str">
        <f t="shared" si="215"/>
        <v>Twitter for iPhone</v>
      </c>
      <c r="L1787" s="15">
        <v>931.0</v>
      </c>
      <c r="M1787" s="15">
        <v>986.0</v>
      </c>
      <c r="N1787" s="15">
        <v>114.0</v>
      </c>
      <c r="O1787" s="16"/>
      <c r="P1787" s="17">
        <v>40550.27694444444</v>
      </c>
      <c r="Q1787" s="10" t="s">
        <v>2102</v>
      </c>
      <c r="R1787" s="10" t="s">
        <v>7746</v>
      </c>
      <c r="S1787" s="11" t="s">
        <v>7747</v>
      </c>
      <c r="T1787" s="13"/>
      <c r="U1787" s="18" t="str">
        <f>HYPERLINK("https://pbs.twimg.com/profile_images/1049004136178634753/Aadoz5MT.jpg","View")</f>
        <v>View</v>
      </c>
      <c r="V1787" s="13"/>
      <c r="W1787" s="13"/>
      <c r="X1787" s="13"/>
      <c r="Y1787" s="13"/>
      <c r="Z1787" s="13"/>
    </row>
    <row r="1788">
      <c r="A1788" s="8">
        <v>43848.30244212963</v>
      </c>
      <c r="B1788" s="9" t="str">
        <f>HYPERLINK("https://twitter.com/OriginateLifes1","@OriginateLifes1")</f>
        <v>@OriginateLifes1</v>
      </c>
      <c r="C1788" s="10" t="s">
        <v>7748</v>
      </c>
      <c r="D1788" s="10" t="s">
        <v>7749</v>
      </c>
      <c r="E1788" s="9" t="str">
        <f>HYPERLINK("https://twitter.com/OriginateLifes1/status/1218507205311418371","1218507205311418371")</f>
        <v>1218507205311418371</v>
      </c>
      <c r="F1788" s="13"/>
      <c r="G1788" s="11" t="s">
        <v>7750</v>
      </c>
      <c r="H1788" s="13"/>
      <c r="I1788" s="14">
        <v>5.0</v>
      </c>
      <c r="J1788" s="14">
        <v>4.0</v>
      </c>
      <c r="K1788" s="9" t="str">
        <f>HYPERLINK("http://twitter.com/download/android","Twitter for Android")</f>
        <v>Twitter for Android</v>
      </c>
      <c r="L1788" s="15">
        <v>53.0</v>
      </c>
      <c r="M1788" s="15">
        <v>122.0</v>
      </c>
      <c r="N1788" s="15">
        <v>0.0</v>
      </c>
      <c r="O1788" s="16"/>
      <c r="P1788" s="17">
        <v>43669.71604166667</v>
      </c>
      <c r="Q1788" s="10" t="s">
        <v>7751</v>
      </c>
      <c r="R1788" s="10" t="s">
        <v>7752</v>
      </c>
      <c r="S1788" s="11" t="s">
        <v>7753</v>
      </c>
      <c r="T1788" s="13"/>
      <c r="U1788" s="18" t="str">
        <f>HYPERLINK("https://pbs.twimg.com/profile_images/1153774900575920128/Z2UvMwyb.jpg","View")</f>
        <v>View</v>
      </c>
      <c r="V1788" s="13"/>
      <c r="W1788" s="13"/>
      <c r="X1788" s="13"/>
      <c r="Y1788" s="13"/>
      <c r="Z1788" s="13"/>
    </row>
    <row r="1789">
      <c r="A1789" s="8">
        <v>43848.3021875</v>
      </c>
      <c r="B1789" s="9" t="str">
        <f>HYPERLINK("https://twitter.com/EHKidsHealth","@EHKidsHealth")</f>
        <v>@EHKidsHealth</v>
      </c>
      <c r="C1789" s="10" t="s">
        <v>7754</v>
      </c>
      <c r="D1789" s="10" t="s">
        <v>7755</v>
      </c>
      <c r="E1789" s="9" t="str">
        <f>HYPERLINK("https://twitter.com/EHKidsHealth/status/1218507115112935427","1218507115112935427")</f>
        <v>1218507115112935427</v>
      </c>
      <c r="F1789" s="10" t="s">
        <v>7756</v>
      </c>
      <c r="G1789" s="11" t="s">
        <v>7757</v>
      </c>
      <c r="H1789" s="13"/>
      <c r="I1789" s="14">
        <v>1.0</v>
      </c>
      <c r="J1789" s="14">
        <v>0.0</v>
      </c>
      <c r="K1789" s="9" t="str">
        <f>HYPERLINK("http://twitter.com/download/iphone","Twitter for iPhone")</f>
        <v>Twitter for iPhone</v>
      </c>
      <c r="L1789" s="15">
        <v>31.0</v>
      </c>
      <c r="M1789" s="15">
        <v>217.0</v>
      </c>
      <c r="N1789" s="15">
        <v>1.0</v>
      </c>
      <c r="O1789" s="16"/>
      <c r="P1789" s="17">
        <v>43536.45384259259</v>
      </c>
      <c r="Q1789" s="10" t="s">
        <v>474</v>
      </c>
      <c r="R1789" s="10" t="s">
        <v>7758</v>
      </c>
      <c r="S1789" s="11" t="s">
        <v>7759</v>
      </c>
      <c r="T1789" s="13"/>
      <c r="U1789" s="18" t="str">
        <f>HYPERLINK("https://pbs.twimg.com/profile_images/1136320485724000256/Q8dfdmym.jpg","View")</f>
        <v>View</v>
      </c>
      <c r="V1789" s="13"/>
      <c r="W1789" s="13"/>
      <c r="X1789" s="13"/>
      <c r="Y1789" s="13"/>
      <c r="Z1789" s="13"/>
    </row>
    <row r="1790">
      <c r="A1790" s="8">
        <v>43848.30217592593</v>
      </c>
      <c r="B1790" s="9" t="str">
        <f>HYPERLINK("https://twitter.com/mhwshow","@mhwshow")</f>
        <v>@mhwshow</v>
      </c>
      <c r="C1790" s="10" t="s">
        <v>7760</v>
      </c>
      <c r="D1790" s="10" t="s">
        <v>7761</v>
      </c>
      <c r="E1790" s="9" t="str">
        <f>HYPERLINK("https://twitter.com/mhwshow/status/1218507110742478850","1218507110742478850")</f>
        <v>1218507110742478850</v>
      </c>
      <c r="F1790" s="11" t="s">
        <v>7762</v>
      </c>
      <c r="G1790" s="13"/>
      <c r="H1790" s="13"/>
      <c r="I1790" s="14">
        <v>2.0</v>
      </c>
      <c r="J1790" s="14">
        <v>2.0</v>
      </c>
      <c r="K1790" s="9" t="str">
        <f>HYPERLINK("https://www.hootsuite.com","Hootsuite Inc.")</f>
        <v>Hootsuite Inc.</v>
      </c>
      <c r="L1790" s="15">
        <v>1451.0</v>
      </c>
      <c r="M1790" s="15">
        <v>3161.0</v>
      </c>
      <c r="N1790" s="15">
        <v>3.0</v>
      </c>
      <c r="O1790" s="16"/>
      <c r="P1790" s="17">
        <v>43729.12541666666</v>
      </c>
      <c r="Q1790" s="10" t="s">
        <v>2446</v>
      </c>
      <c r="R1790" s="10" t="s">
        <v>7763</v>
      </c>
      <c r="S1790" s="11" t="s">
        <v>7764</v>
      </c>
      <c r="T1790" s="13"/>
      <c r="U1790" s="18" t="str">
        <f>HYPERLINK("https://pbs.twimg.com/profile_images/1177141892003377152/NjdmSwFB.jpg","View")</f>
        <v>View</v>
      </c>
      <c r="V1790" s="13"/>
      <c r="W1790" s="13"/>
      <c r="X1790" s="13"/>
      <c r="Y1790" s="13"/>
      <c r="Z1790" s="13"/>
    </row>
    <row r="1791">
      <c r="A1791" s="8">
        <v>43848.30194444444</v>
      </c>
      <c r="B1791" s="9" t="str">
        <f>HYPERLINK("https://twitter.com/dr_metzner","@dr_metzner")</f>
        <v>@dr_metzner</v>
      </c>
      <c r="C1791" s="10" t="s">
        <v>1526</v>
      </c>
      <c r="D1791" s="10" t="s">
        <v>7765</v>
      </c>
      <c r="E1791" s="9" t="str">
        <f>HYPERLINK("https://twitter.com/dr_metzner/status/1218507026986237952","1218507026986237952")</f>
        <v>1218507026986237952</v>
      </c>
      <c r="F1791" s="11" t="s">
        <v>1528</v>
      </c>
      <c r="G1791" s="13"/>
      <c r="H1791" s="13"/>
      <c r="I1791" s="14">
        <v>2.0</v>
      </c>
      <c r="J1791" s="14">
        <v>1.0</v>
      </c>
      <c r="K1791" s="9" t="str">
        <f>HYPERLINK("https://apps.twitter.com","Twitty4Dave")</f>
        <v>Twitty4Dave</v>
      </c>
      <c r="L1791" s="15">
        <v>8261.0</v>
      </c>
      <c r="M1791" s="15">
        <v>4146.0</v>
      </c>
      <c r="N1791" s="15">
        <v>390.0</v>
      </c>
      <c r="O1791" s="16"/>
      <c r="P1791" s="17">
        <v>41990.31606481482</v>
      </c>
      <c r="Q1791" s="10" t="s">
        <v>266</v>
      </c>
      <c r="R1791" s="10" t="s">
        <v>1529</v>
      </c>
      <c r="S1791" s="11" t="s">
        <v>1530</v>
      </c>
      <c r="T1791" s="13"/>
      <c r="U1791" s="18" t="str">
        <f>HYPERLINK("https://pbs.twimg.com/profile_images/545196276417974272/6qcohW0K.jpeg","View")</f>
        <v>View</v>
      </c>
      <c r="V1791" s="13"/>
      <c r="W1791" s="13"/>
      <c r="X1791" s="13"/>
      <c r="Y1791" s="13"/>
      <c r="Z1791" s="13"/>
    </row>
    <row r="1792">
      <c r="A1792" s="8">
        <v>43848.30185185185</v>
      </c>
      <c r="B1792" s="9" t="str">
        <f>HYPERLINK("https://twitter.com/Pinkandwild","@Pinkandwild")</f>
        <v>@Pinkandwild</v>
      </c>
      <c r="C1792" s="10" t="s">
        <v>6641</v>
      </c>
      <c r="D1792" s="10" t="s">
        <v>7766</v>
      </c>
      <c r="E1792" s="9" t="str">
        <f>HYPERLINK("https://twitter.com/Pinkandwild/status/1218506993515868160","1218506993515868160")</f>
        <v>1218506993515868160</v>
      </c>
      <c r="F1792" s="11" t="s">
        <v>7767</v>
      </c>
      <c r="G1792" s="13"/>
      <c r="H1792" s="13"/>
      <c r="I1792" s="14">
        <v>0.0</v>
      </c>
      <c r="J1792" s="14">
        <v>0.0</v>
      </c>
      <c r="K1792" s="9" t="str">
        <f>HYPERLINK("http://instagram.com","Instagram")</f>
        <v>Instagram</v>
      </c>
      <c r="L1792" s="15">
        <v>1245.0</v>
      </c>
      <c r="M1792" s="15">
        <v>99.0</v>
      </c>
      <c r="N1792" s="15">
        <v>133.0</v>
      </c>
      <c r="O1792" s="16"/>
      <c r="P1792" s="17">
        <v>39969.79178240741</v>
      </c>
      <c r="Q1792" s="10" t="s">
        <v>6644</v>
      </c>
      <c r="R1792" s="10" t="s">
        <v>6645</v>
      </c>
      <c r="S1792" s="11" t="s">
        <v>6646</v>
      </c>
      <c r="T1792" s="13"/>
      <c r="U1792" s="18" t="str">
        <f>HYPERLINK("https://pbs.twimg.com/profile_images/1212267658294571009/RB4N2A3m.jpg","View")</f>
        <v>View</v>
      </c>
      <c r="V1792" s="13"/>
      <c r="W1792" s="13"/>
      <c r="X1792" s="13"/>
      <c r="Y1792" s="13"/>
      <c r="Z1792" s="13"/>
    </row>
    <row r="1793">
      <c r="A1793" s="8">
        <v>43848.30175925926</v>
      </c>
      <c r="B1793" s="9" t="str">
        <f>HYPERLINK("https://twitter.com/DonelaLinas","@DonelaLinas")</f>
        <v>@DonelaLinas</v>
      </c>
      <c r="C1793" s="10" t="s">
        <v>1838</v>
      </c>
      <c r="D1793" s="10" t="s">
        <v>7768</v>
      </c>
      <c r="E1793" s="9" t="str">
        <f>HYPERLINK("https://twitter.com/DonelaLinas/status/1218506960552833025","1218506960552833025")</f>
        <v>1218506960552833025</v>
      </c>
      <c r="F1793" s="13"/>
      <c r="G1793" s="13"/>
      <c r="H1793" s="13"/>
      <c r="I1793" s="14">
        <v>1.0</v>
      </c>
      <c r="J1793" s="14">
        <v>0.0</v>
      </c>
      <c r="K1793" s="9" t="str">
        <f t="shared" ref="K1793:K1797" si="216">HYPERLINK("http://twitter.com/download/android","Twitter for Android")</f>
        <v>Twitter for Android</v>
      </c>
      <c r="L1793" s="15">
        <v>34.0</v>
      </c>
      <c r="M1793" s="15">
        <v>57.0</v>
      </c>
      <c r="N1793" s="15">
        <v>0.0</v>
      </c>
      <c r="O1793" s="16"/>
      <c r="P1793" s="17">
        <v>42519.46498842593</v>
      </c>
      <c r="Q1793" s="10" t="s">
        <v>1840</v>
      </c>
      <c r="R1793" s="10" t="s">
        <v>1841</v>
      </c>
      <c r="S1793" s="13"/>
      <c r="T1793" s="13"/>
      <c r="U1793" s="18" t="str">
        <f>HYPERLINK("https://pbs.twimg.com/profile_images/737072476367269888/aenGDd9p.jpg","View")</f>
        <v>View</v>
      </c>
      <c r="V1793" s="13"/>
      <c r="W1793" s="13"/>
      <c r="X1793" s="13"/>
      <c r="Y1793" s="13"/>
      <c r="Z1793" s="13"/>
    </row>
    <row r="1794">
      <c r="A1794" s="8">
        <v>43848.30101851852</v>
      </c>
      <c r="B1794" s="9" t="str">
        <f>HYPERLINK("https://twitter.com/99syianni","@99syianni")</f>
        <v>@99syianni</v>
      </c>
      <c r="C1794" s="10" t="s">
        <v>7769</v>
      </c>
      <c r="D1794" s="10" t="s">
        <v>7770</v>
      </c>
      <c r="E1794" s="9" t="str">
        <f>HYPERLINK("https://twitter.com/99syianni/status/1218506691345633285","1218506691345633285")</f>
        <v>1218506691345633285</v>
      </c>
      <c r="F1794" s="13"/>
      <c r="G1794" s="13"/>
      <c r="H1794" s="13"/>
      <c r="I1794" s="14">
        <v>1.0</v>
      </c>
      <c r="J1794" s="14">
        <v>0.0</v>
      </c>
      <c r="K1794" s="9" t="str">
        <f t="shared" si="216"/>
        <v>Twitter for Android</v>
      </c>
      <c r="L1794" s="15">
        <v>726.0</v>
      </c>
      <c r="M1794" s="15">
        <v>2201.0</v>
      </c>
      <c r="N1794" s="15">
        <v>2.0</v>
      </c>
      <c r="O1794" s="16"/>
      <c r="P1794" s="17">
        <v>41448.45479166666</v>
      </c>
      <c r="Q1794" s="13"/>
      <c r="R1794" s="10" t="s">
        <v>7771</v>
      </c>
      <c r="S1794" s="13"/>
      <c r="T1794" s="13"/>
      <c r="U1794" s="18" t="str">
        <f>HYPERLINK("https://pbs.twimg.com/profile_images/808027680960548871/tTMwix-t.jpg","View")</f>
        <v>View</v>
      </c>
      <c r="V1794" s="13"/>
      <c r="W1794" s="13"/>
      <c r="X1794" s="13"/>
      <c r="Y1794" s="13"/>
      <c r="Z1794" s="13"/>
    </row>
    <row r="1795">
      <c r="A1795" s="8">
        <v>43848.30091435185</v>
      </c>
      <c r="B1795" s="9" t="str">
        <f>HYPERLINK("https://twitter.com/ironboy19720","@ironboy19720")</f>
        <v>@ironboy19720</v>
      </c>
      <c r="C1795" s="10" t="s">
        <v>7772</v>
      </c>
      <c r="D1795" s="10" t="s">
        <v>7773</v>
      </c>
      <c r="E1795" s="9" t="str">
        <f>HYPERLINK("https://twitter.com/ironboy19720/status/1218506651772366848","1218506651772366848")</f>
        <v>1218506651772366848</v>
      </c>
      <c r="F1795" s="13"/>
      <c r="G1795" s="13"/>
      <c r="H1795" s="13"/>
      <c r="I1795" s="14">
        <v>3.0</v>
      </c>
      <c r="J1795" s="14">
        <v>17.0</v>
      </c>
      <c r="K1795" s="9" t="str">
        <f t="shared" si="216"/>
        <v>Twitter for Android</v>
      </c>
      <c r="L1795" s="15">
        <v>303.0</v>
      </c>
      <c r="M1795" s="15">
        <v>376.0</v>
      </c>
      <c r="N1795" s="15">
        <v>1.0</v>
      </c>
      <c r="O1795" s="16"/>
      <c r="P1795" s="17">
        <v>43553.25721064815</v>
      </c>
      <c r="Q1795" s="13"/>
      <c r="R1795" s="10" t="s">
        <v>7774</v>
      </c>
      <c r="S1795" s="13"/>
      <c r="T1795" s="13"/>
      <c r="U1795" s="18" t="str">
        <f>HYPERLINK("https://pbs.twimg.com/profile_images/1218689730797285378/GDMb5qiR.jpg","View")</f>
        <v>View</v>
      </c>
      <c r="V1795" s="13"/>
      <c r="W1795" s="13"/>
      <c r="X1795" s="13"/>
      <c r="Y1795" s="13"/>
      <c r="Z1795" s="13"/>
    </row>
    <row r="1796">
      <c r="A1796" s="8">
        <v>43848.30071759259</v>
      </c>
      <c r="B1796" s="9" t="str">
        <f>HYPERLINK("https://twitter.com/MarkOneinFour","@MarkOneinFour")</f>
        <v>@MarkOneinFour</v>
      </c>
      <c r="C1796" s="10" t="s">
        <v>7775</v>
      </c>
      <c r="D1796" s="10" t="s">
        <v>7776</v>
      </c>
      <c r="E1796" s="9" t="str">
        <f>HYPERLINK("https://twitter.com/MarkOneinFour/status/1218506582289416192","1218506582289416192")</f>
        <v>1218506582289416192</v>
      </c>
      <c r="F1796" s="11" t="s">
        <v>7777</v>
      </c>
      <c r="G1796" s="13"/>
      <c r="H1796" s="13"/>
      <c r="I1796" s="14">
        <v>3.0</v>
      </c>
      <c r="J1796" s="14">
        <v>2.0</v>
      </c>
      <c r="K1796" s="9" t="str">
        <f t="shared" si="216"/>
        <v>Twitter for Android</v>
      </c>
      <c r="L1796" s="15">
        <v>24998.0</v>
      </c>
      <c r="M1796" s="15">
        <v>5135.0</v>
      </c>
      <c r="N1796" s="15">
        <v>744.0</v>
      </c>
      <c r="O1796" s="21" t="s">
        <v>522</v>
      </c>
      <c r="P1796" s="17">
        <v>39926.712858796294</v>
      </c>
      <c r="Q1796" s="10" t="s">
        <v>95</v>
      </c>
      <c r="R1796" s="10" t="s">
        <v>7778</v>
      </c>
      <c r="S1796" s="11" t="s">
        <v>7779</v>
      </c>
      <c r="T1796" s="13"/>
      <c r="U1796" s="18" t="str">
        <f>HYPERLINK("https://pbs.twimg.com/profile_images/818630297931673600/fhQZgDkw.jpg","View")</f>
        <v>View</v>
      </c>
      <c r="V1796" s="13"/>
      <c r="W1796" s="13"/>
      <c r="X1796" s="13"/>
      <c r="Y1796" s="13"/>
      <c r="Z1796" s="13"/>
    </row>
    <row r="1797">
      <c r="A1797" s="8">
        <v>43848.30033564815</v>
      </c>
      <c r="B1797" s="9" t="str">
        <f>HYPERLINK("https://twitter.com/DarkHorseDate","@DarkHorseDate")</f>
        <v>@DarkHorseDate</v>
      </c>
      <c r="C1797" s="10" t="s">
        <v>7780</v>
      </c>
      <c r="D1797" s="10" t="s">
        <v>7781</v>
      </c>
      <c r="E1797" s="9" t="str">
        <f>HYPERLINK("https://twitter.com/DarkHorseDate/status/1218506444536008707","1218506444536008707")</f>
        <v>1218506444536008707</v>
      </c>
      <c r="F1797" s="11" t="s">
        <v>7782</v>
      </c>
      <c r="G1797" s="13"/>
      <c r="H1797" s="13"/>
      <c r="I1797" s="14">
        <v>0.0</v>
      </c>
      <c r="J1797" s="14">
        <v>0.0</v>
      </c>
      <c r="K1797" s="9" t="str">
        <f t="shared" si="216"/>
        <v>Twitter for Android</v>
      </c>
      <c r="L1797" s="15">
        <v>341.0</v>
      </c>
      <c r="M1797" s="15">
        <v>257.0</v>
      </c>
      <c r="N1797" s="15">
        <v>10.0</v>
      </c>
      <c r="O1797" s="16"/>
      <c r="P1797" s="17">
        <v>42209.1805787037</v>
      </c>
      <c r="Q1797" s="13"/>
      <c r="R1797" s="13"/>
      <c r="S1797" s="13"/>
      <c r="T1797" s="13"/>
      <c r="U1797" s="18" t="str">
        <f>HYPERLINK("https://pbs.twimg.com/profile_images/1180161995707957248/DzPaZOm_.jpg","View")</f>
        <v>View</v>
      </c>
      <c r="V1797" s="13"/>
      <c r="W1797" s="13"/>
      <c r="X1797" s="13"/>
      <c r="Y1797" s="13"/>
      <c r="Z1797" s="13"/>
    </row>
    <row r="1798">
      <c r="A1798" s="8">
        <v>43848.300312499996</v>
      </c>
      <c r="B1798" s="9" t="str">
        <f>HYPERLINK("https://twitter.com/slitterick17","@slitterick17")</f>
        <v>@slitterick17</v>
      </c>
      <c r="C1798" s="10" t="s">
        <v>7783</v>
      </c>
      <c r="D1798" s="10" t="s">
        <v>7784</v>
      </c>
      <c r="E1798" s="9" t="str">
        <f>HYPERLINK("https://twitter.com/slitterick17/status/1218506436877148160","1218506436877148160")</f>
        <v>1218506436877148160</v>
      </c>
      <c r="F1798" s="13"/>
      <c r="G1798" s="13"/>
      <c r="H1798" s="13"/>
      <c r="I1798" s="14">
        <v>0.0</v>
      </c>
      <c r="J1798" s="14">
        <v>0.0</v>
      </c>
      <c r="K1798" s="9" t="str">
        <f>HYPERLINK("http://twitter.com/download/iphone","Twitter for iPhone")</f>
        <v>Twitter for iPhone</v>
      </c>
      <c r="L1798" s="15">
        <v>154.0</v>
      </c>
      <c r="M1798" s="15">
        <v>159.0</v>
      </c>
      <c r="N1798" s="15">
        <v>1.0</v>
      </c>
      <c r="O1798" s="16"/>
      <c r="P1798" s="17">
        <v>40752.81287037037</v>
      </c>
      <c r="Q1798" s="10" t="s">
        <v>2442</v>
      </c>
      <c r="R1798" s="10" t="s">
        <v>7785</v>
      </c>
      <c r="S1798" s="13"/>
      <c r="T1798" s="13"/>
      <c r="U1798" s="18" t="str">
        <f>HYPERLINK("https://pbs.twimg.com/profile_images/1218633407971938305/8Y1Cb5s7.jpg","View")</f>
        <v>View</v>
      </c>
      <c r="V1798" s="13"/>
      <c r="W1798" s="13"/>
      <c r="X1798" s="13"/>
      <c r="Y1798" s="13"/>
      <c r="Z1798" s="13"/>
    </row>
    <row r="1799">
      <c r="A1799" s="8">
        <v>43848.29958333333</v>
      </c>
      <c r="B1799" s="9" t="str">
        <f>HYPERLINK("https://twitter.com/DrBillChen","@DrBillChen")</f>
        <v>@DrBillChen</v>
      </c>
      <c r="C1799" s="10" t="s">
        <v>6508</v>
      </c>
      <c r="D1799" s="10" t="s">
        <v>7786</v>
      </c>
      <c r="E1799" s="9" t="str">
        <f>HYPERLINK("https://twitter.com/DrBillChen/status/1218506172615053312","1218506172615053312")</f>
        <v>1218506172615053312</v>
      </c>
      <c r="F1799" s="11" t="s">
        <v>7787</v>
      </c>
      <c r="G1799" s="13"/>
      <c r="H1799" s="13"/>
      <c r="I1799" s="14">
        <v>1.0</v>
      </c>
      <c r="J1799" s="14">
        <v>3.0</v>
      </c>
      <c r="K1799" s="9" t="str">
        <f>HYPERLINK("http://twitter.com","BillTwitty")</f>
        <v>BillTwitty</v>
      </c>
      <c r="L1799" s="15">
        <v>9387.0</v>
      </c>
      <c r="M1799" s="15">
        <v>7383.0</v>
      </c>
      <c r="N1799" s="15">
        <v>513.0</v>
      </c>
      <c r="O1799" s="16"/>
      <c r="P1799" s="17">
        <v>41711.76940972223</v>
      </c>
      <c r="Q1799" s="10" t="s">
        <v>6511</v>
      </c>
      <c r="R1799" s="10" t="s">
        <v>6512</v>
      </c>
      <c r="S1799" s="11" t="s">
        <v>6513</v>
      </c>
      <c r="T1799" s="13"/>
      <c r="U1799" s="18" t="str">
        <f>HYPERLINK("https://pbs.twimg.com/profile_images/949746128005689344/28ea9HyJ.jpg","View")</f>
        <v>View</v>
      </c>
      <c r="V1799" s="13"/>
      <c r="W1799" s="13"/>
      <c r="X1799" s="13"/>
      <c r="Y1799" s="13"/>
      <c r="Z1799" s="13"/>
    </row>
    <row r="1800">
      <c r="A1800" s="8">
        <v>43848.29946759259</v>
      </c>
      <c r="B1800" s="9" t="str">
        <f>HYPERLINK("https://twitter.com/DonelaLinas","@DonelaLinas")</f>
        <v>@DonelaLinas</v>
      </c>
      <c r="C1800" s="10" t="s">
        <v>1838</v>
      </c>
      <c r="D1800" s="10" t="s">
        <v>7788</v>
      </c>
      <c r="E1800" s="9" t="str">
        <f>HYPERLINK("https://twitter.com/DonelaLinas/status/1218506130122592258","1218506130122592258")</f>
        <v>1218506130122592258</v>
      </c>
      <c r="F1800" s="13"/>
      <c r="G1800" s="13"/>
      <c r="H1800" s="13"/>
      <c r="I1800" s="14">
        <v>1.0</v>
      </c>
      <c r="J1800" s="14">
        <v>0.0</v>
      </c>
      <c r="K1800" s="9" t="str">
        <f t="shared" ref="K1800:K1802" si="217">HYPERLINK("http://twitter.com/download/android","Twitter for Android")</f>
        <v>Twitter for Android</v>
      </c>
      <c r="L1800" s="15">
        <v>34.0</v>
      </c>
      <c r="M1800" s="15">
        <v>57.0</v>
      </c>
      <c r="N1800" s="15">
        <v>0.0</v>
      </c>
      <c r="O1800" s="16"/>
      <c r="P1800" s="17">
        <v>42519.46498842593</v>
      </c>
      <c r="Q1800" s="10" t="s">
        <v>1840</v>
      </c>
      <c r="R1800" s="10" t="s">
        <v>1841</v>
      </c>
      <c r="S1800" s="13"/>
      <c r="T1800" s="13"/>
      <c r="U1800" s="18" t="str">
        <f>HYPERLINK("https://pbs.twimg.com/profile_images/737072476367269888/aenGDd9p.jpg","View")</f>
        <v>View</v>
      </c>
      <c r="V1800" s="13"/>
      <c r="W1800" s="13"/>
      <c r="X1800" s="13"/>
      <c r="Y1800" s="13"/>
      <c r="Z1800" s="13"/>
    </row>
    <row r="1801">
      <c r="A1801" s="8">
        <v>43848.29887731481</v>
      </c>
      <c r="B1801" s="9" t="str">
        <f>HYPERLINK("https://twitter.com/Sophabed","@Sophabed")</f>
        <v>@Sophabed</v>
      </c>
      <c r="C1801" s="10" t="s">
        <v>7789</v>
      </c>
      <c r="D1801" s="10" t="s">
        <v>7790</v>
      </c>
      <c r="E1801" s="9" t="str">
        <f>HYPERLINK("https://twitter.com/Sophabed/status/1218505916858937345","1218505916858937345")</f>
        <v>1218505916858937345</v>
      </c>
      <c r="F1801" s="13"/>
      <c r="G1801" s="11" t="s">
        <v>7791</v>
      </c>
      <c r="H1801" s="13"/>
      <c r="I1801" s="14">
        <v>0.0</v>
      </c>
      <c r="J1801" s="14">
        <v>2.0</v>
      </c>
      <c r="K1801" s="9" t="str">
        <f t="shared" si="217"/>
        <v>Twitter for Android</v>
      </c>
      <c r="L1801" s="15">
        <v>1162.0</v>
      </c>
      <c r="M1801" s="15">
        <v>2561.0</v>
      </c>
      <c r="N1801" s="15">
        <v>37.0</v>
      </c>
      <c r="O1801" s="16"/>
      <c r="P1801" s="17">
        <v>40423.2716087963</v>
      </c>
      <c r="Q1801" s="10" t="s">
        <v>7792</v>
      </c>
      <c r="R1801" s="10" t="s">
        <v>7793</v>
      </c>
      <c r="S1801" s="11" t="s">
        <v>7794</v>
      </c>
      <c r="T1801" s="13"/>
      <c r="U1801" s="18" t="str">
        <f>HYPERLINK("https://pbs.twimg.com/profile_images/1046882489770360832/ZSHcIKw0.jpg","View")</f>
        <v>View</v>
      </c>
      <c r="V1801" s="13"/>
      <c r="W1801" s="13"/>
      <c r="X1801" s="13"/>
      <c r="Y1801" s="13"/>
      <c r="Z1801" s="13"/>
    </row>
    <row r="1802">
      <c r="A1802" s="8">
        <v>43848.2987037037</v>
      </c>
      <c r="B1802" s="9" t="str">
        <f>HYPERLINK("https://twitter.com/shoppinghacks4u","@shoppinghacks4u")</f>
        <v>@shoppinghacks4u</v>
      </c>
      <c r="C1802" s="10" t="s">
        <v>7795</v>
      </c>
      <c r="D1802" s="10" t="s">
        <v>7796</v>
      </c>
      <c r="E1802" s="9" t="str">
        <f>HYPERLINK("https://twitter.com/shoppinghacks4u/status/1218505851696078849","1218505851696078849")</f>
        <v>1218505851696078849</v>
      </c>
      <c r="F1802" s="13"/>
      <c r="G1802" s="13"/>
      <c r="H1802" s="13"/>
      <c r="I1802" s="14">
        <v>0.0</v>
      </c>
      <c r="J1802" s="14">
        <v>0.0</v>
      </c>
      <c r="K1802" s="9" t="str">
        <f t="shared" si="217"/>
        <v>Twitter for Android</v>
      </c>
      <c r="L1802" s="15">
        <v>8.0</v>
      </c>
      <c r="M1802" s="15">
        <v>62.0</v>
      </c>
      <c r="N1802" s="15">
        <v>0.0</v>
      </c>
      <c r="O1802" s="16"/>
      <c r="P1802" s="17">
        <v>43816.370092592595</v>
      </c>
      <c r="Q1802" s="13"/>
      <c r="R1802" s="10" t="s">
        <v>7797</v>
      </c>
      <c r="S1802" s="13"/>
      <c r="T1802" s="13"/>
      <c r="U1802" s="21" t="s">
        <v>292</v>
      </c>
      <c r="V1802" s="13"/>
      <c r="W1802" s="13"/>
      <c r="X1802" s="13"/>
      <c r="Y1802" s="13"/>
      <c r="Z1802" s="13"/>
    </row>
    <row r="1803">
      <c r="A1803" s="8">
        <v>43848.29792824074</v>
      </c>
      <c r="B1803" s="9" t="str">
        <f>HYPERLINK("https://twitter.com/NHSNlandCCG","@NHSNlandCCG")</f>
        <v>@NHSNlandCCG</v>
      </c>
      <c r="C1803" s="10" t="s">
        <v>7798</v>
      </c>
      <c r="D1803" s="10" t="s">
        <v>7799</v>
      </c>
      <c r="E1803" s="9" t="str">
        <f>HYPERLINK("https://twitter.com/NHSNlandCCG/status/1218505569616769025","1218505569616769025")</f>
        <v>1218505569616769025</v>
      </c>
      <c r="F1803" s="10" t="s">
        <v>7800</v>
      </c>
      <c r="G1803" s="11" t="s">
        <v>7801</v>
      </c>
      <c r="H1803" s="13"/>
      <c r="I1803" s="14">
        <v>0.0</v>
      </c>
      <c r="J1803" s="14">
        <v>1.0</v>
      </c>
      <c r="K1803" s="9" t="str">
        <f>HYPERLINK("https://sproutsocial.com","Sprout Social")</f>
        <v>Sprout Social</v>
      </c>
      <c r="L1803" s="15">
        <v>2851.0</v>
      </c>
      <c r="M1803" s="15">
        <v>429.0</v>
      </c>
      <c r="N1803" s="15">
        <v>44.0</v>
      </c>
      <c r="O1803" s="16"/>
      <c r="P1803" s="17">
        <v>41646.42674768518</v>
      </c>
      <c r="Q1803" s="10" t="s">
        <v>7802</v>
      </c>
      <c r="R1803" s="10" t="s">
        <v>7803</v>
      </c>
      <c r="S1803" s="11" t="s">
        <v>7804</v>
      </c>
      <c r="T1803" s="13"/>
      <c r="U1803" s="18" t="str">
        <f>HYPERLINK("https://pbs.twimg.com/profile_images/1159015907735363584/MtYQvLXs.jpg","View")</f>
        <v>View</v>
      </c>
      <c r="V1803" s="13"/>
      <c r="W1803" s="13"/>
      <c r="X1803" s="13"/>
      <c r="Y1803" s="13"/>
      <c r="Z1803" s="13"/>
    </row>
    <row r="1804">
      <c r="A1804" s="8">
        <v>43848.29733796296</v>
      </c>
      <c r="B1804" s="9" t="str">
        <f>HYPERLINK("https://twitter.com/Uncondi97658867","@Uncondi97658867")</f>
        <v>@Uncondi97658867</v>
      </c>
      <c r="C1804" s="10" t="s">
        <v>7072</v>
      </c>
      <c r="D1804" s="10" t="s">
        <v>7805</v>
      </c>
      <c r="E1804" s="9" t="str">
        <f>HYPERLINK("https://twitter.com/Uncondi97658867/status/1218505358735339520","1218505358735339520")</f>
        <v>1218505358735339520</v>
      </c>
      <c r="F1804" s="13"/>
      <c r="G1804" s="11" t="s">
        <v>7806</v>
      </c>
      <c r="H1804" s="13"/>
      <c r="I1804" s="14">
        <v>0.0</v>
      </c>
      <c r="J1804" s="14">
        <v>0.0</v>
      </c>
      <c r="K1804" s="9" t="str">
        <f>HYPERLINK("http://twitter.com/download/android","Twitter for Android")</f>
        <v>Twitter for Android</v>
      </c>
      <c r="L1804" s="15">
        <v>0.0</v>
      </c>
      <c r="M1804" s="15">
        <v>0.0</v>
      </c>
      <c r="N1804" s="15">
        <v>0.0</v>
      </c>
      <c r="O1804" s="16"/>
      <c r="P1804" s="17">
        <v>43848.29131944444</v>
      </c>
      <c r="Q1804" s="13"/>
      <c r="R1804" s="10" t="s">
        <v>7075</v>
      </c>
      <c r="S1804" s="13"/>
      <c r="T1804" s="13"/>
      <c r="U1804" s="18" t="str">
        <f>HYPERLINK("https://pbs.twimg.com/profile_images/1218503297805344768/8_S9f-Iu.jpg","View")</f>
        <v>View</v>
      </c>
      <c r="V1804" s="13"/>
      <c r="W1804" s="13"/>
      <c r="X1804" s="13"/>
      <c r="Y1804" s="13"/>
      <c r="Z1804" s="13"/>
    </row>
    <row r="1805">
      <c r="A1805" s="8">
        <v>43848.297164351854</v>
      </c>
      <c r="B1805" s="9" t="str">
        <f>HYPERLINK("https://twitter.com/walterbilas","@walterbilas")</f>
        <v>@walterbilas</v>
      </c>
      <c r="C1805" s="10" t="s">
        <v>7807</v>
      </c>
      <c r="D1805" s="10" t="s">
        <v>7808</v>
      </c>
      <c r="E1805" s="9" t="str">
        <f>HYPERLINK("https://twitter.com/walterbilas/status/1218505295237910528","1218505295237910528")</f>
        <v>1218505295237910528</v>
      </c>
      <c r="F1805" s="11" t="s">
        <v>7809</v>
      </c>
      <c r="G1805" s="11" t="s">
        <v>7810</v>
      </c>
      <c r="H1805" s="13"/>
      <c r="I1805" s="14">
        <v>0.0</v>
      </c>
      <c r="J1805" s="14">
        <v>1.0</v>
      </c>
      <c r="K1805" s="9" t="str">
        <f>HYPERLINK("http://twitter.com/download/iphone","Twitter for iPhone")</f>
        <v>Twitter for iPhone</v>
      </c>
      <c r="L1805" s="15">
        <v>1031.0</v>
      </c>
      <c r="M1805" s="15">
        <v>780.0</v>
      </c>
      <c r="N1805" s="15">
        <v>41.0</v>
      </c>
      <c r="O1805" s="16"/>
      <c r="P1805" s="17">
        <v>40886.414988425924</v>
      </c>
      <c r="Q1805" s="10" t="s">
        <v>7811</v>
      </c>
      <c r="R1805" s="10" t="s">
        <v>7812</v>
      </c>
      <c r="S1805" s="13"/>
      <c r="T1805" s="13"/>
      <c r="U1805" s="18" t="str">
        <f>HYPERLINK("https://pbs.twimg.com/profile_images/917726749001166849/WGUGtGUk.jpg","View")</f>
        <v>View</v>
      </c>
      <c r="V1805" s="13"/>
      <c r="W1805" s="13"/>
      <c r="X1805" s="13"/>
      <c r="Y1805" s="13"/>
      <c r="Z1805" s="13"/>
    </row>
    <row r="1806">
      <c r="A1806" s="8">
        <v>43848.29709490741</v>
      </c>
      <c r="B1806" s="9" t="str">
        <f>HYPERLINK("https://twitter.com/tsctalks_jill","@tsctalks_jill")</f>
        <v>@tsctalks_jill</v>
      </c>
      <c r="C1806" s="10" t="s">
        <v>7813</v>
      </c>
      <c r="D1806" s="10" t="s">
        <v>7814</v>
      </c>
      <c r="E1806" s="9" t="str">
        <f>HYPERLINK("https://twitter.com/tsctalks_jill/status/1218505269208023040","1218505269208023040")</f>
        <v>1218505269208023040</v>
      </c>
      <c r="F1806" s="10" t="s">
        <v>7815</v>
      </c>
      <c r="G1806" s="11" t="s">
        <v>7816</v>
      </c>
      <c r="H1806" s="13"/>
      <c r="I1806" s="14">
        <v>0.0</v>
      </c>
      <c r="J1806" s="14">
        <v>1.0</v>
      </c>
      <c r="K1806" s="9" t="str">
        <f t="shared" ref="K1806:K1807" si="218">HYPERLINK("https://mobile.twitter.com","Twitter Web App")</f>
        <v>Twitter Web App</v>
      </c>
      <c r="L1806" s="15">
        <v>1644.0</v>
      </c>
      <c r="M1806" s="15">
        <v>3306.0</v>
      </c>
      <c r="N1806" s="15">
        <v>32.0</v>
      </c>
      <c r="O1806" s="16"/>
      <c r="P1806" s="17">
        <v>41966.56984953704</v>
      </c>
      <c r="Q1806" s="10" t="s">
        <v>7817</v>
      </c>
      <c r="R1806" s="10" t="s">
        <v>7818</v>
      </c>
      <c r="S1806" s="11" t="s">
        <v>7819</v>
      </c>
      <c r="T1806" s="13"/>
      <c r="U1806" s="18" t="str">
        <f>HYPERLINK("https://pbs.twimg.com/profile_images/1188014279909351424/CcUNg-oY.jpg","View")</f>
        <v>View</v>
      </c>
      <c r="V1806" s="13"/>
      <c r="W1806" s="13"/>
      <c r="X1806" s="13"/>
      <c r="Y1806" s="13"/>
      <c r="Z1806" s="13"/>
    </row>
    <row r="1807">
      <c r="A1807" s="8">
        <v>43848.29699074074</v>
      </c>
      <c r="B1807" s="9" t="str">
        <f>HYPERLINK("https://twitter.com/BrainOutBalance","@BrainOutBalance")</f>
        <v>@BrainOutBalance</v>
      </c>
      <c r="C1807" s="10" t="s">
        <v>7820</v>
      </c>
      <c r="D1807" s="10" t="s">
        <v>7821</v>
      </c>
      <c r="E1807" s="9" t="str">
        <f>HYPERLINK("https://twitter.com/BrainOutBalance/status/1218505230473736192","1218505230473736192")</f>
        <v>1218505230473736192</v>
      </c>
      <c r="F1807" s="13"/>
      <c r="G1807" s="13"/>
      <c r="H1807" s="13"/>
      <c r="I1807" s="14">
        <v>0.0</v>
      </c>
      <c r="J1807" s="14">
        <v>0.0</v>
      </c>
      <c r="K1807" s="9" t="str">
        <f t="shared" si="218"/>
        <v>Twitter Web App</v>
      </c>
      <c r="L1807" s="15">
        <v>86.0</v>
      </c>
      <c r="M1807" s="15">
        <v>129.0</v>
      </c>
      <c r="N1807" s="15">
        <v>1.0</v>
      </c>
      <c r="O1807" s="16"/>
      <c r="P1807" s="17">
        <v>43792.16877314815</v>
      </c>
      <c r="Q1807" s="10" t="s">
        <v>7822</v>
      </c>
      <c r="R1807" s="10" t="s">
        <v>7823</v>
      </c>
      <c r="S1807" s="11" t="s">
        <v>7824</v>
      </c>
      <c r="T1807" s="13"/>
      <c r="U1807" s="18" t="str">
        <f>HYPERLINK("https://pbs.twimg.com/profile_images/1200524974932594689/wTq2W7F-.png","View")</f>
        <v>View</v>
      </c>
      <c r="V1807" s="13"/>
      <c r="W1807" s="13"/>
      <c r="X1807" s="13"/>
      <c r="Y1807" s="13"/>
      <c r="Z1807" s="13"/>
    </row>
    <row r="1808">
      <c r="A1808" s="8">
        <v>43848.29678240741</v>
      </c>
      <c r="B1808" s="9" t="str">
        <f t="shared" ref="B1808:B1809" si="219">HYPERLINK("https://twitter.com/DonelaLinas","@DonelaLinas")</f>
        <v>@DonelaLinas</v>
      </c>
      <c r="C1808" s="10" t="s">
        <v>1838</v>
      </c>
      <c r="D1808" s="10" t="s">
        <v>7825</v>
      </c>
      <c r="E1808" s="9" t="str">
        <f>HYPERLINK("https://twitter.com/DonelaLinas/status/1218505153675956224","1218505153675956224")</f>
        <v>1218505153675956224</v>
      </c>
      <c r="F1808" s="13"/>
      <c r="G1808" s="13"/>
      <c r="H1808" s="13"/>
      <c r="I1808" s="14">
        <v>1.0</v>
      </c>
      <c r="J1808" s="14">
        <v>0.0</v>
      </c>
      <c r="K1808" s="9" t="str">
        <f t="shared" ref="K1808:K1809" si="220">HYPERLINK("http://twitter.com/download/android","Twitter for Android")</f>
        <v>Twitter for Android</v>
      </c>
      <c r="L1808" s="15">
        <v>34.0</v>
      </c>
      <c r="M1808" s="15">
        <v>57.0</v>
      </c>
      <c r="N1808" s="15">
        <v>0.0</v>
      </c>
      <c r="O1808" s="16"/>
      <c r="P1808" s="17">
        <v>42519.46498842593</v>
      </c>
      <c r="Q1808" s="10" t="s">
        <v>1840</v>
      </c>
      <c r="R1808" s="10" t="s">
        <v>1841</v>
      </c>
      <c r="S1808" s="13"/>
      <c r="T1808" s="13"/>
      <c r="U1808" s="18" t="str">
        <f t="shared" ref="U1808:U1809" si="221">HYPERLINK("https://pbs.twimg.com/profile_images/737072476367269888/aenGDd9p.jpg","View")</f>
        <v>View</v>
      </c>
      <c r="V1808" s="13"/>
      <c r="W1808" s="13"/>
      <c r="X1808" s="13"/>
      <c r="Y1808" s="13"/>
      <c r="Z1808" s="13"/>
    </row>
    <row r="1809">
      <c r="A1809" s="8">
        <v>43848.29527777778</v>
      </c>
      <c r="B1809" s="9" t="str">
        <f t="shared" si="219"/>
        <v>@DonelaLinas</v>
      </c>
      <c r="C1809" s="10" t="s">
        <v>1838</v>
      </c>
      <c r="D1809" s="10" t="s">
        <v>7826</v>
      </c>
      <c r="E1809" s="9" t="str">
        <f>HYPERLINK("https://twitter.com/DonelaLinas/status/1218504608991129606","1218504608991129606")</f>
        <v>1218504608991129606</v>
      </c>
      <c r="F1809" s="13"/>
      <c r="G1809" s="13"/>
      <c r="H1809" s="13"/>
      <c r="I1809" s="14">
        <v>0.0</v>
      </c>
      <c r="J1809" s="14">
        <v>0.0</v>
      </c>
      <c r="K1809" s="9" t="str">
        <f t="shared" si="220"/>
        <v>Twitter for Android</v>
      </c>
      <c r="L1809" s="15">
        <v>34.0</v>
      </c>
      <c r="M1809" s="15">
        <v>57.0</v>
      </c>
      <c r="N1809" s="15">
        <v>0.0</v>
      </c>
      <c r="O1809" s="16"/>
      <c r="P1809" s="17">
        <v>42519.46498842593</v>
      </c>
      <c r="Q1809" s="10" t="s">
        <v>1840</v>
      </c>
      <c r="R1809" s="10" t="s">
        <v>1841</v>
      </c>
      <c r="S1809" s="13"/>
      <c r="T1809" s="13"/>
      <c r="U1809" s="18" t="str">
        <f t="shared" si="221"/>
        <v>View</v>
      </c>
      <c r="V1809" s="13"/>
      <c r="W1809" s="13"/>
      <c r="X1809" s="13"/>
      <c r="Y1809" s="13"/>
      <c r="Z1809" s="13"/>
    </row>
    <row r="1810">
      <c r="A1810" s="8">
        <v>43848.29517361111</v>
      </c>
      <c r="B1810" s="9" t="str">
        <f>HYPERLINK("https://twitter.com/BackupBuddyUK","@BackupBuddyUK")</f>
        <v>@BackupBuddyUK</v>
      </c>
      <c r="C1810" s="10" t="s">
        <v>7827</v>
      </c>
      <c r="D1810" s="10" t="s">
        <v>7828</v>
      </c>
      <c r="E1810" s="9" t="str">
        <f>HYPERLINK("https://twitter.com/BackupBuddyUK/status/1218504573624733696","1218504573624733696")</f>
        <v>1218504573624733696</v>
      </c>
      <c r="F1810" s="13"/>
      <c r="G1810" s="11" t="s">
        <v>7829</v>
      </c>
      <c r="H1810" s="13"/>
      <c r="I1810" s="14">
        <v>4.0</v>
      </c>
      <c r="J1810" s="14">
        <v>9.0</v>
      </c>
      <c r="K1810" s="9" t="str">
        <f>HYPERLINK("http://twitter.com/download/iphone","Twitter for iPhone")</f>
        <v>Twitter for iPhone</v>
      </c>
      <c r="L1810" s="15">
        <v>917.0</v>
      </c>
      <c r="M1810" s="15">
        <v>764.0</v>
      </c>
      <c r="N1810" s="15">
        <v>1.0</v>
      </c>
      <c r="O1810" s="16"/>
      <c r="P1810" s="17">
        <v>42695.453310185185</v>
      </c>
      <c r="Q1810" s="13"/>
      <c r="R1810" s="10" t="s">
        <v>7830</v>
      </c>
      <c r="S1810" s="11" t="s">
        <v>7831</v>
      </c>
      <c r="T1810" s="13"/>
      <c r="U1810" s="18" t="str">
        <f>HYPERLINK("https://pbs.twimg.com/profile_images/824573972125773825/6iN1_EVD.jpg","View")</f>
        <v>View</v>
      </c>
      <c r="V1810" s="13"/>
      <c r="W1810" s="13"/>
      <c r="X1810" s="13"/>
      <c r="Y1810" s="13"/>
      <c r="Z1810" s="13"/>
    </row>
    <row r="1811">
      <c r="A1811" s="8">
        <v>43848.294537037036</v>
      </c>
      <c r="B1811" s="9" t="str">
        <f>HYPERLINK("https://twitter.com/FoxfortuneK","@FoxfortuneK")</f>
        <v>@FoxfortuneK</v>
      </c>
      <c r="C1811" s="10" t="s">
        <v>7832</v>
      </c>
      <c r="D1811" s="10" t="s">
        <v>7833</v>
      </c>
      <c r="E1811" s="9" t="str">
        <f>HYPERLINK("https://twitter.com/FoxfortuneK/status/1218504340945719298","1218504340945719298")</f>
        <v>1218504340945719298</v>
      </c>
      <c r="F1811" s="13"/>
      <c r="G1811" s="13"/>
      <c r="H1811" s="13"/>
      <c r="I1811" s="14">
        <v>0.0</v>
      </c>
      <c r="J1811" s="14">
        <v>0.0</v>
      </c>
      <c r="K1811" s="9" t="str">
        <f>HYPERLINK("http://twitter.com/download/android","Twitter for Android")</f>
        <v>Twitter for Android</v>
      </c>
      <c r="L1811" s="15">
        <v>2.0</v>
      </c>
      <c r="M1811" s="15">
        <v>9.0</v>
      </c>
      <c r="N1811" s="15">
        <v>0.0</v>
      </c>
      <c r="O1811" s="16"/>
      <c r="P1811" s="17">
        <v>43844.45480324074</v>
      </c>
      <c r="Q1811" s="13"/>
      <c r="R1811" s="10" t="s">
        <v>7834</v>
      </c>
      <c r="S1811" s="13"/>
      <c r="T1811" s="13"/>
      <c r="U1811" s="18" t="str">
        <f>HYPERLINK("https://pbs.twimg.com/profile_images/1217113194889732097/83K-FbgE.jpg","View")</f>
        <v>View</v>
      </c>
      <c r="V1811" s="13"/>
      <c r="W1811" s="13"/>
      <c r="X1811" s="13"/>
      <c r="Y1811" s="13"/>
      <c r="Z1811" s="13"/>
    </row>
    <row r="1812">
      <c r="A1812" s="8">
        <v>43848.29399305556</v>
      </c>
      <c r="B1812" s="9" t="str">
        <f>HYPERLINK("https://twitter.com/chrisoldcorn","@chrisoldcorn")</f>
        <v>@chrisoldcorn</v>
      </c>
      <c r="C1812" s="10" t="s">
        <v>1232</v>
      </c>
      <c r="D1812" s="10" t="s">
        <v>7835</v>
      </c>
      <c r="E1812" s="9" t="str">
        <f>HYPERLINK("https://twitter.com/chrisoldcorn/status/1218504143310086145","1218504143310086145")</f>
        <v>1218504143310086145</v>
      </c>
      <c r="F1812" s="11" t="s">
        <v>7836</v>
      </c>
      <c r="G1812" s="13"/>
      <c r="H1812" s="13"/>
      <c r="I1812" s="14">
        <v>0.0</v>
      </c>
      <c r="J1812" s="14">
        <v>0.0</v>
      </c>
      <c r="K1812" s="9" t="str">
        <f>HYPERLINK("https://www.smedian.com","Penname")</f>
        <v>Penname</v>
      </c>
      <c r="L1812" s="15">
        <v>3448.0</v>
      </c>
      <c r="M1812" s="15">
        <v>4798.0</v>
      </c>
      <c r="N1812" s="15">
        <v>200.0</v>
      </c>
      <c r="O1812" s="16"/>
      <c r="P1812" s="17">
        <v>39346.584872685184</v>
      </c>
      <c r="Q1812" s="13"/>
      <c r="R1812" s="10" t="s">
        <v>1235</v>
      </c>
      <c r="S1812" s="11" t="s">
        <v>1236</v>
      </c>
      <c r="T1812" s="13"/>
      <c r="U1812" s="18" t="str">
        <f>HYPERLINK("https://pbs.twimg.com/profile_images/1158043491806732288/9JY2UFqV.jpg","View")</f>
        <v>View</v>
      </c>
      <c r="V1812" s="13"/>
      <c r="W1812" s="13"/>
      <c r="X1812" s="13"/>
      <c r="Y1812" s="13"/>
      <c r="Z1812" s="13"/>
    </row>
    <row r="1813">
      <c r="A1813" s="8">
        <v>43848.29375</v>
      </c>
      <c r="B1813" s="9" t="str">
        <f>HYPERLINK("https://twitter.com/MindfulHousing","@MindfulHousing")</f>
        <v>@MindfulHousing</v>
      </c>
      <c r="C1813" s="10" t="s">
        <v>7837</v>
      </c>
      <c r="D1813" s="10" t="s">
        <v>7838</v>
      </c>
      <c r="E1813" s="9" t="str">
        <f>HYPERLINK("https://twitter.com/MindfulHousing/status/1218504055896473600","1218504055896473600")</f>
        <v>1218504055896473600</v>
      </c>
      <c r="F1813" s="11" t="s">
        <v>7839</v>
      </c>
      <c r="G1813" s="13"/>
      <c r="H1813" s="13"/>
      <c r="I1813" s="14">
        <v>0.0</v>
      </c>
      <c r="J1813" s="14">
        <v>0.0</v>
      </c>
      <c r="K1813" s="9" t="str">
        <f t="shared" ref="K1813:K1814" si="222">HYPERLINK("https://about.twitter.com/products/tweetdeck","TweetDeck")</f>
        <v>TweetDeck</v>
      </c>
      <c r="L1813" s="15">
        <v>1811.0</v>
      </c>
      <c r="M1813" s="15">
        <v>1968.0</v>
      </c>
      <c r="N1813" s="15">
        <v>108.0</v>
      </c>
      <c r="O1813" s="16"/>
      <c r="P1813" s="17">
        <v>41527.46490740741</v>
      </c>
      <c r="Q1813" s="10" t="s">
        <v>7840</v>
      </c>
      <c r="R1813" s="10" t="s">
        <v>7841</v>
      </c>
      <c r="S1813" s="11" t="s">
        <v>7842</v>
      </c>
      <c r="T1813" s="13"/>
      <c r="U1813" s="18" t="str">
        <f>HYPERLINK("https://pbs.twimg.com/profile_images/674892012903092224/6WA1jSEY.jpg","View")</f>
        <v>View</v>
      </c>
      <c r="V1813" s="13"/>
      <c r="W1813" s="13"/>
      <c r="X1813" s="13"/>
      <c r="Y1813" s="13"/>
      <c r="Z1813" s="13"/>
    </row>
    <row r="1814">
      <c r="A1814" s="8">
        <v>43848.29375</v>
      </c>
      <c r="B1814" s="9" t="str">
        <f>HYPERLINK("https://twitter.com/talkspace","@talkspace")</f>
        <v>@talkspace</v>
      </c>
      <c r="C1814" s="10" t="s">
        <v>1166</v>
      </c>
      <c r="D1814" s="10" t="s">
        <v>7843</v>
      </c>
      <c r="E1814" s="9" t="str">
        <f>HYPERLINK("https://twitter.com/talkspace/status/1218504055871299586","1218504055871299586")</f>
        <v>1218504055871299586</v>
      </c>
      <c r="F1814" s="11" t="s">
        <v>7844</v>
      </c>
      <c r="G1814" s="13"/>
      <c r="H1814" s="13"/>
      <c r="I1814" s="14">
        <v>0.0</v>
      </c>
      <c r="J1814" s="14">
        <v>1.0</v>
      </c>
      <c r="K1814" s="9" t="str">
        <f t="shared" si="222"/>
        <v>TweetDeck</v>
      </c>
      <c r="L1814" s="15">
        <v>29550.0</v>
      </c>
      <c r="M1814" s="15">
        <v>5868.0</v>
      </c>
      <c r="N1814" s="15">
        <v>451.0</v>
      </c>
      <c r="O1814" s="21" t="s">
        <v>522</v>
      </c>
      <c r="P1814" s="17">
        <v>41024.919444444444</v>
      </c>
      <c r="Q1814" s="10" t="s">
        <v>1169</v>
      </c>
      <c r="R1814" s="10" t="s">
        <v>1170</v>
      </c>
      <c r="S1814" s="11" t="s">
        <v>1171</v>
      </c>
      <c r="T1814" s="13"/>
      <c r="U1814" s="18" t="str">
        <f>HYPERLINK("https://pbs.twimg.com/profile_images/1145692730649120769/01H2MCMP.png","View")</f>
        <v>View</v>
      </c>
      <c r="V1814" s="13"/>
      <c r="W1814" s="13"/>
      <c r="X1814" s="13"/>
      <c r="Y1814" s="13"/>
      <c r="Z1814" s="13"/>
    </row>
    <row r="1815">
      <c r="A1815" s="8">
        <v>43848.293067129634</v>
      </c>
      <c r="B1815" s="9" t="str">
        <f>HYPERLINK("https://twitter.com/djdavelive","@djdavelive")</f>
        <v>@djdavelive</v>
      </c>
      <c r="C1815" s="11" t="s">
        <v>1652</v>
      </c>
      <c r="D1815" s="10" t="s">
        <v>7845</v>
      </c>
      <c r="E1815" s="9" t="str">
        <f>HYPERLINK("https://twitter.com/djdavelive/status/1218503810861223936","1218503810861223936")</f>
        <v>1218503810861223936</v>
      </c>
      <c r="F1815" s="11" t="s">
        <v>1654</v>
      </c>
      <c r="G1815" s="13"/>
      <c r="H1815" s="13"/>
      <c r="I1815" s="14">
        <v>0.0</v>
      </c>
      <c r="J1815" s="14">
        <v>0.0</v>
      </c>
      <c r="K1815" s="9" t="str">
        <f>HYPERLINK("http://www.DynamicTweets.com","Dynamic Tweets")</f>
        <v>Dynamic Tweets</v>
      </c>
      <c r="L1815" s="15">
        <v>5462.0</v>
      </c>
      <c r="M1815" s="15">
        <v>5137.0</v>
      </c>
      <c r="N1815" s="15">
        <v>204.0</v>
      </c>
      <c r="O1815" s="16"/>
      <c r="P1815" s="17">
        <v>40413.89355324074</v>
      </c>
      <c r="Q1815" s="10" t="s">
        <v>245</v>
      </c>
      <c r="R1815" s="10" t="s">
        <v>1655</v>
      </c>
      <c r="S1815" s="11" t="s">
        <v>1656</v>
      </c>
      <c r="T1815" s="13"/>
      <c r="U1815" s="18" t="str">
        <f>HYPERLINK("https://pbs.twimg.com/profile_images/933351548951838725/KfUxqarF.jpg","View")</f>
        <v>View</v>
      </c>
      <c r="V1815" s="13"/>
      <c r="W1815" s="13"/>
      <c r="X1815" s="13"/>
      <c r="Y1815" s="13"/>
      <c r="Z1815" s="13"/>
    </row>
    <row r="1816">
      <c r="A1816" s="8">
        <v>43848.29293981481</v>
      </c>
      <c r="B1816" s="9" t="str">
        <f>HYPERLINK("https://twitter.com/BlacknPolitical","@BlacknPolitical")</f>
        <v>@BlacknPolitical</v>
      </c>
      <c r="C1816" s="10" t="s">
        <v>7846</v>
      </c>
      <c r="D1816" s="10" t="s">
        <v>7847</v>
      </c>
      <c r="E1816" s="9" t="str">
        <f>HYPERLINK("https://twitter.com/BlacknPolitical/status/1218503762035249153","1218503762035249153")</f>
        <v>1218503762035249153</v>
      </c>
      <c r="F1816" s="13"/>
      <c r="G1816" s="13"/>
      <c r="H1816" s="13"/>
      <c r="I1816" s="14">
        <v>0.0</v>
      </c>
      <c r="J1816" s="14">
        <v>0.0</v>
      </c>
      <c r="K1816" s="9" t="str">
        <f>HYPERLINK("http://twitter.com/download/iphone","Twitter for iPhone")</f>
        <v>Twitter for iPhone</v>
      </c>
      <c r="L1816" s="15">
        <v>85.0</v>
      </c>
      <c r="M1816" s="15">
        <v>71.0</v>
      </c>
      <c r="N1816" s="15">
        <v>1.0</v>
      </c>
      <c r="O1816" s="16"/>
      <c r="P1816" s="17">
        <v>39935.55739583333</v>
      </c>
      <c r="Q1816" s="13"/>
      <c r="R1816" s="10" t="s">
        <v>7848</v>
      </c>
      <c r="S1816" s="13"/>
      <c r="T1816" s="13"/>
      <c r="U1816" s="18" t="str">
        <f>HYPERLINK("https://pbs.twimg.com/profile_images/1213619688611237888/uOcfJr2B.jpg","View")</f>
        <v>View</v>
      </c>
      <c r="V1816" s="13"/>
      <c r="W1816" s="13"/>
      <c r="X1816" s="13"/>
      <c r="Y1816" s="13"/>
      <c r="Z1816" s="13"/>
    </row>
    <row r="1817">
      <c r="A1817" s="8">
        <v>43848.29251157407</v>
      </c>
      <c r="B1817" s="9" t="str">
        <f>HYPERLINK("https://twitter.com/SadieSharpUK","@SadieSharpUK")</f>
        <v>@SadieSharpUK</v>
      </c>
      <c r="C1817" s="10" t="s">
        <v>7849</v>
      </c>
      <c r="D1817" s="10" t="s">
        <v>7850</v>
      </c>
      <c r="E1817" s="9" t="str">
        <f>HYPERLINK("https://twitter.com/SadieSharpUK/status/1218503606695088129","1218503606695088129")</f>
        <v>1218503606695088129</v>
      </c>
      <c r="F1817" s="11" t="s">
        <v>7851</v>
      </c>
      <c r="G1817" s="11" t="s">
        <v>7852</v>
      </c>
      <c r="H1817" s="13"/>
      <c r="I1817" s="14">
        <v>1.0</v>
      </c>
      <c r="J1817" s="14">
        <v>2.0</v>
      </c>
      <c r="K1817" s="9" t="str">
        <f>HYPERLINK("https://www.hootsuite.com","Hootsuite Inc.")</f>
        <v>Hootsuite Inc.</v>
      </c>
      <c r="L1817" s="15">
        <v>387.0</v>
      </c>
      <c r="M1817" s="15">
        <v>396.0</v>
      </c>
      <c r="N1817" s="15">
        <v>14.0</v>
      </c>
      <c r="O1817" s="16"/>
      <c r="P1817" s="17">
        <v>42804.63967592592</v>
      </c>
      <c r="Q1817" s="10" t="s">
        <v>7853</v>
      </c>
      <c r="R1817" s="10" t="s">
        <v>7854</v>
      </c>
      <c r="S1817" s="11" t="s">
        <v>7855</v>
      </c>
      <c r="T1817" s="13"/>
      <c r="U1817" s="18" t="str">
        <f>HYPERLINK("https://pbs.twimg.com/profile_images/910162700621242375/UyL0PIMo.jpg","View")</f>
        <v>View</v>
      </c>
      <c r="V1817" s="13"/>
      <c r="W1817" s="13"/>
      <c r="X1817" s="13"/>
      <c r="Y1817" s="13"/>
      <c r="Z1817" s="13"/>
    </row>
    <row r="1818">
      <c r="A1818" s="8">
        <v>43848.292499999996</v>
      </c>
      <c r="B1818" s="9" t="str">
        <f>HYPERLINK("https://twitter.com/g_balesh","@g_balesh")</f>
        <v>@g_balesh</v>
      </c>
      <c r="C1818" s="10" t="s">
        <v>5058</v>
      </c>
      <c r="D1818" s="10" t="s">
        <v>2354</v>
      </c>
      <c r="E1818" s="9" t="str">
        <f>HYPERLINK("https://twitter.com/g_balesh/status/1218503604102946819","1218503604102946819")</f>
        <v>1218503604102946819</v>
      </c>
      <c r="F1818" s="13"/>
      <c r="G1818" s="11" t="s">
        <v>7856</v>
      </c>
      <c r="H1818" s="13"/>
      <c r="I1818" s="14">
        <v>2.0</v>
      </c>
      <c r="J1818" s="14">
        <v>1.0</v>
      </c>
      <c r="K1818" s="9" t="str">
        <f>HYPERLINK("https://crowdfireapp.com","Crowdfire App")</f>
        <v>Crowdfire App</v>
      </c>
      <c r="L1818" s="15">
        <v>281.0</v>
      </c>
      <c r="M1818" s="15">
        <v>689.0</v>
      </c>
      <c r="N1818" s="15">
        <v>3.0</v>
      </c>
      <c r="O1818" s="16"/>
      <c r="P1818" s="17">
        <v>40831.670428240745</v>
      </c>
      <c r="Q1818" s="10" t="s">
        <v>5060</v>
      </c>
      <c r="R1818" s="13"/>
      <c r="S1818" s="11" t="s">
        <v>5061</v>
      </c>
      <c r="T1818" s="13"/>
      <c r="U1818" s="18" t="str">
        <f>HYPERLINK("https://pbs.twimg.com/profile_images/597657796008513536/X4k5BQeN.jpg","View")</f>
        <v>View</v>
      </c>
      <c r="V1818" s="13"/>
      <c r="W1818" s="13"/>
      <c r="X1818" s="13"/>
      <c r="Y1818" s="13"/>
      <c r="Z1818" s="13"/>
    </row>
    <row r="1819">
      <c r="A1819" s="8">
        <v>43848.29241898148</v>
      </c>
      <c r="B1819" s="9" t="str">
        <f>HYPERLINK("https://twitter.com/GrantMoreton2","@GrantMoreton2")</f>
        <v>@GrantMoreton2</v>
      </c>
      <c r="C1819" s="10" t="s">
        <v>7857</v>
      </c>
      <c r="D1819" s="10" t="s">
        <v>7858</v>
      </c>
      <c r="E1819" s="9" t="str">
        <f>HYPERLINK("https://twitter.com/GrantMoreton2/status/1218503573862060032","1218503573862060032")</f>
        <v>1218503573862060032</v>
      </c>
      <c r="F1819" s="10" t="s">
        <v>7859</v>
      </c>
      <c r="G1819" s="11" t="s">
        <v>7860</v>
      </c>
      <c r="H1819" s="13"/>
      <c r="I1819" s="14">
        <v>0.0</v>
      </c>
      <c r="J1819" s="14">
        <v>8.0</v>
      </c>
      <c r="K1819" s="9" t="str">
        <f>HYPERLINK("http://twitter.com/download/iphone","Twitter for iPhone")</f>
        <v>Twitter for iPhone</v>
      </c>
      <c r="L1819" s="15">
        <v>1644.0</v>
      </c>
      <c r="M1819" s="15">
        <v>2630.0</v>
      </c>
      <c r="N1819" s="15">
        <v>3.0</v>
      </c>
      <c r="O1819" s="16"/>
      <c r="P1819" s="17">
        <v>43490.45155092592</v>
      </c>
      <c r="Q1819" s="10" t="s">
        <v>7861</v>
      </c>
      <c r="R1819" s="10" t="s">
        <v>7862</v>
      </c>
      <c r="S1819" s="13"/>
      <c r="T1819" s="13"/>
      <c r="U1819" s="18" t="str">
        <f>HYPERLINK("https://pbs.twimg.com/profile_images/1108732366107877377/18SQ-wJe.jpg","View")</f>
        <v>View</v>
      </c>
      <c r="V1819" s="13"/>
      <c r="W1819" s="13"/>
      <c r="X1819" s="13"/>
      <c r="Y1819" s="13"/>
      <c r="Z1819" s="13"/>
    </row>
    <row r="1820">
      <c r="A1820" s="8">
        <v>43848.292245370365</v>
      </c>
      <c r="B1820" s="9" t="str">
        <f>HYPERLINK("https://twitter.com/HighfieldHealth","@HighfieldHealth")</f>
        <v>@HighfieldHealth</v>
      </c>
      <c r="C1820" s="10" t="s">
        <v>7863</v>
      </c>
      <c r="D1820" s="10" t="s">
        <v>7864</v>
      </c>
      <c r="E1820" s="9" t="str">
        <f>HYPERLINK("https://twitter.com/HighfieldHealth/status/1218503510477672448","1218503510477672448")</f>
        <v>1218503510477672448</v>
      </c>
      <c r="F1820" s="11" t="s">
        <v>7865</v>
      </c>
      <c r="G1820" s="11" t="s">
        <v>7866</v>
      </c>
      <c r="H1820" s="13"/>
      <c r="I1820" s="14">
        <v>2.0</v>
      </c>
      <c r="J1820" s="14">
        <v>1.0</v>
      </c>
      <c r="K1820" s="9" t="str">
        <f t="shared" ref="K1820:K1822" si="223">HYPERLINK("https://www.hootsuite.com","Hootsuite Inc.")</f>
        <v>Hootsuite Inc.</v>
      </c>
      <c r="L1820" s="15">
        <v>246.0</v>
      </c>
      <c r="M1820" s="15">
        <v>214.0</v>
      </c>
      <c r="N1820" s="15">
        <v>6.0</v>
      </c>
      <c r="O1820" s="16"/>
      <c r="P1820" s="17">
        <v>41774.37274305556</v>
      </c>
      <c r="Q1820" s="10" t="s">
        <v>145</v>
      </c>
      <c r="R1820" s="10" t="s">
        <v>7867</v>
      </c>
      <c r="S1820" s="11" t="s">
        <v>7868</v>
      </c>
      <c r="T1820" s="13"/>
      <c r="U1820" s="18" t="str">
        <f>HYPERLINK("https://pbs.twimg.com/profile_images/855424813418065921/_vNK0v5V.jpg","View")</f>
        <v>View</v>
      </c>
      <c r="V1820" s="13"/>
      <c r="W1820" s="13"/>
      <c r="X1820" s="13"/>
      <c r="Y1820" s="13"/>
      <c r="Z1820" s="13"/>
    </row>
    <row r="1821">
      <c r="A1821" s="8">
        <v>43848.292233796295</v>
      </c>
      <c r="B1821" s="9" t="str">
        <f>HYPERLINK("https://twitter.com/istampoutstigma","@istampoutstigma")</f>
        <v>@istampoutstigma</v>
      </c>
      <c r="C1821" s="10" t="s">
        <v>7869</v>
      </c>
      <c r="D1821" s="10" t="s">
        <v>7870</v>
      </c>
      <c r="E1821" s="9" t="str">
        <f>HYPERLINK("https://twitter.com/istampoutstigma/status/1218503506015006720","1218503506015006720")</f>
        <v>1218503506015006720</v>
      </c>
      <c r="F1821" s="13"/>
      <c r="G1821" s="13"/>
      <c r="H1821" s="13"/>
      <c r="I1821" s="14">
        <v>9.0</v>
      </c>
      <c r="J1821" s="14">
        <v>10.0</v>
      </c>
      <c r="K1821" s="9" t="str">
        <f t="shared" si="223"/>
        <v>Hootsuite Inc.</v>
      </c>
      <c r="L1821" s="15">
        <v>23347.0</v>
      </c>
      <c r="M1821" s="15">
        <v>1610.0</v>
      </c>
      <c r="N1821" s="15">
        <v>358.0</v>
      </c>
      <c r="O1821" s="16"/>
      <c r="P1821" s="17">
        <v>40259.35466435185</v>
      </c>
      <c r="Q1821" s="13"/>
      <c r="R1821" s="10" t="s">
        <v>7871</v>
      </c>
      <c r="S1821" s="11" t="s">
        <v>7872</v>
      </c>
      <c r="T1821" s="13"/>
      <c r="U1821" s="18" t="str">
        <f>HYPERLINK("https://pbs.twimg.com/profile_images/1110554059466043398/zcA-Z7nA.png","View")</f>
        <v>View</v>
      </c>
      <c r="V1821" s="13"/>
      <c r="W1821" s="13"/>
      <c r="X1821" s="13"/>
      <c r="Y1821" s="13"/>
      <c r="Z1821" s="13"/>
    </row>
    <row r="1822">
      <c r="A1822" s="8">
        <v>43848.292222222226</v>
      </c>
      <c r="B1822" s="9" t="str">
        <f>HYPERLINK("https://twitter.com/ThreeCsWorld","@ThreeCsWorld")</f>
        <v>@ThreeCsWorld</v>
      </c>
      <c r="C1822" s="10" t="s">
        <v>7873</v>
      </c>
      <c r="D1822" s="10" t="s">
        <v>7874</v>
      </c>
      <c r="E1822" s="9" t="str">
        <f>HYPERLINK("https://twitter.com/ThreeCsWorld/status/1218503502495916032","1218503502495916032")</f>
        <v>1218503502495916032</v>
      </c>
      <c r="F1822" s="13"/>
      <c r="G1822" s="11" t="s">
        <v>7875</v>
      </c>
      <c r="H1822" s="13"/>
      <c r="I1822" s="14">
        <v>0.0</v>
      </c>
      <c r="J1822" s="14">
        <v>0.0</v>
      </c>
      <c r="K1822" s="9" t="str">
        <f t="shared" si="223"/>
        <v>Hootsuite Inc.</v>
      </c>
      <c r="L1822" s="15">
        <v>724.0</v>
      </c>
      <c r="M1822" s="15">
        <v>644.0</v>
      </c>
      <c r="N1822" s="15">
        <v>24.0</v>
      </c>
      <c r="O1822" s="16"/>
      <c r="P1822" s="17">
        <v>40835.28508101852</v>
      </c>
      <c r="Q1822" s="10" t="s">
        <v>2102</v>
      </c>
      <c r="R1822" s="10" t="s">
        <v>7876</v>
      </c>
      <c r="S1822" s="11" t="s">
        <v>7877</v>
      </c>
      <c r="T1822" s="13"/>
      <c r="U1822" s="18" t="str">
        <f>HYPERLINK("https://pbs.twimg.com/profile_images/613392515442581508/0Ja17puT.png","View")</f>
        <v>View</v>
      </c>
      <c r="V1822" s="13"/>
      <c r="W1822" s="13"/>
      <c r="X1822" s="13"/>
      <c r="Y1822" s="13"/>
      <c r="Z1822" s="13"/>
    </row>
    <row r="1823">
      <c r="A1823" s="8">
        <v>43848.29215277778</v>
      </c>
      <c r="B1823" s="9" t="str">
        <f>HYPERLINK("https://twitter.com/DonelaLinas","@DonelaLinas")</f>
        <v>@DonelaLinas</v>
      </c>
      <c r="C1823" s="10" t="s">
        <v>1838</v>
      </c>
      <c r="D1823" s="10" t="s">
        <v>7878</v>
      </c>
      <c r="E1823" s="9" t="str">
        <f>HYPERLINK("https://twitter.com/DonelaLinas/status/1218503478139662337","1218503478139662337")</f>
        <v>1218503478139662337</v>
      </c>
      <c r="F1823" s="13"/>
      <c r="G1823" s="13"/>
      <c r="H1823" s="13"/>
      <c r="I1823" s="14">
        <v>0.0</v>
      </c>
      <c r="J1823" s="14">
        <v>0.0</v>
      </c>
      <c r="K1823" s="9" t="str">
        <f>HYPERLINK("http://twitter.com/download/android","Twitter for Android")</f>
        <v>Twitter for Android</v>
      </c>
      <c r="L1823" s="15">
        <v>34.0</v>
      </c>
      <c r="M1823" s="15">
        <v>57.0</v>
      </c>
      <c r="N1823" s="15">
        <v>0.0</v>
      </c>
      <c r="O1823" s="16"/>
      <c r="P1823" s="17">
        <v>42519.46498842593</v>
      </c>
      <c r="Q1823" s="10" t="s">
        <v>1840</v>
      </c>
      <c r="R1823" s="10" t="s">
        <v>1841</v>
      </c>
      <c r="S1823" s="13"/>
      <c r="T1823" s="13"/>
      <c r="U1823" s="18" t="str">
        <f>HYPERLINK("https://pbs.twimg.com/profile_images/737072476367269888/aenGDd9p.jpg","View")</f>
        <v>View</v>
      </c>
      <c r="V1823" s="13"/>
      <c r="W1823" s="13"/>
      <c r="X1823" s="13"/>
      <c r="Y1823" s="13"/>
      <c r="Z1823" s="13"/>
    </row>
    <row r="1824">
      <c r="A1824" s="8">
        <v>43848.29211805556</v>
      </c>
      <c r="B1824" s="9" t="str">
        <f>HYPERLINK("https://twitter.com/time_therapy","@time_therapy")</f>
        <v>@time_therapy</v>
      </c>
      <c r="C1824" s="10" t="s">
        <v>3646</v>
      </c>
      <c r="D1824" s="10" t="s">
        <v>7879</v>
      </c>
      <c r="E1824" s="9" t="str">
        <f>HYPERLINK("https://twitter.com/time_therapy/status/1218503465917239296","1218503465917239296")</f>
        <v>1218503465917239296</v>
      </c>
      <c r="F1824" s="13"/>
      <c r="G1824" s="11" t="s">
        <v>7880</v>
      </c>
      <c r="H1824" s="13"/>
      <c r="I1824" s="14">
        <v>0.0</v>
      </c>
      <c r="J1824" s="14">
        <v>0.0</v>
      </c>
      <c r="K1824" s="9" t="str">
        <f>HYPERLINK("https://buffer.com","Buffer")</f>
        <v>Buffer</v>
      </c>
      <c r="L1824" s="15">
        <v>96.0</v>
      </c>
      <c r="M1824" s="15">
        <v>119.0</v>
      </c>
      <c r="N1824" s="15">
        <v>0.0</v>
      </c>
      <c r="O1824" s="16"/>
      <c r="P1824" s="17">
        <v>43316.497986111106</v>
      </c>
      <c r="Q1824" s="10" t="s">
        <v>3649</v>
      </c>
      <c r="R1824" s="10" t="s">
        <v>3650</v>
      </c>
      <c r="S1824" s="11" t="s">
        <v>3651</v>
      </c>
      <c r="T1824" s="13"/>
      <c r="U1824" s="18" t="str">
        <f>HYPERLINK("https://pbs.twimg.com/profile_images/1025774207404318720/vLM9Pzfd.jpg","View")</f>
        <v>View</v>
      </c>
      <c r="V1824" s="13"/>
      <c r="W1824" s="13"/>
      <c r="X1824" s="13"/>
      <c r="Y1824" s="13"/>
      <c r="Z1824" s="13"/>
    </row>
    <row r="1825">
      <c r="A1825" s="8">
        <v>43848.29204861111</v>
      </c>
      <c r="B1825" s="9" t="str">
        <f>HYPERLINK("https://twitter.com/rcosgrove","@rcosgrove")</f>
        <v>@rcosgrove</v>
      </c>
      <c r="C1825" s="10" t="s">
        <v>2820</v>
      </c>
      <c r="D1825" s="10" t="s">
        <v>7881</v>
      </c>
      <c r="E1825" s="9" t="str">
        <f>HYPERLINK("https://twitter.com/rcosgrove/status/1218503442202865664","1218503442202865664")</f>
        <v>1218503442202865664</v>
      </c>
      <c r="F1825" s="13"/>
      <c r="G1825" s="11" t="s">
        <v>7882</v>
      </c>
      <c r="H1825" s="13"/>
      <c r="I1825" s="14">
        <v>0.0</v>
      </c>
      <c r="J1825" s="14">
        <v>5.0</v>
      </c>
      <c r="K1825" s="9" t="str">
        <f t="shared" ref="K1825:K1826" si="224">HYPERLINK("http://twitter.com/download/iphone","Twitter for iPhone")</f>
        <v>Twitter for iPhone</v>
      </c>
      <c r="L1825" s="15">
        <v>2712.0</v>
      </c>
      <c r="M1825" s="15">
        <v>1269.0</v>
      </c>
      <c r="N1825" s="15">
        <v>158.0</v>
      </c>
      <c r="O1825" s="21" t="s">
        <v>522</v>
      </c>
      <c r="P1825" s="17">
        <v>39638.771990740745</v>
      </c>
      <c r="Q1825" s="10" t="s">
        <v>2805</v>
      </c>
      <c r="R1825" s="10" t="s">
        <v>2824</v>
      </c>
      <c r="S1825" s="11" t="s">
        <v>2825</v>
      </c>
      <c r="T1825" s="13"/>
      <c r="U1825" s="18" t="str">
        <f>HYPERLINK("https://pbs.twimg.com/profile_images/1197101054002913280/BYB5b0FW.jpg","View")</f>
        <v>View</v>
      </c>
      <c r="V1825" s="13"/>
      <c r="W1825" s="13"/>
      <c r="X1825" s="13"/>
      <c r="Y1825" s="13"/>
      <c r="Z1825" s="13"/>
    </row>
    <row r="1826">
      <c r="A1826" s="8">
        <v>43848.29204861111</v>
      </c>
      <c r="B1826" s="9" t="str">
        <f>HYPERLINK("https://twitter.com/BlacknPolitical","@BlacknPolitical")</f>
        <v>@BlacknPolitical</v>
      </c>
      <c r="C1826" s="10" t="s">
        <v>7846</v>
      </c>
      <c r="D1826" s="10" t="s">
        <v>7883</v>
      </c>
      <c r="E1826" s="9" t="str">
        <f>HYPERLINK("https://twitter.com/BlacknPolitical/status/1218503439979819008","1218503439979819008")</f>
        <v>1218503439979819008</v>
      </c>
      <c r="F1826" s="13"/>
      <c r="G1826" s="13"/>
      <c r="H1826" s="13"/>
      <c r="I1826" s="14">
        <v>0.0</v>
      </c>
      <c r="J1826" s="14">
        <v>0.0</v>
      </c>
      <c r="K1826" s="9" t="str">
        <f t="shared" si="224"/>
        <v>Twitter for iPhone</v>
      </c>
      <c r="L1826" s="15">
        <v>85.0</v>
      </c>
      <c r="M1826" s="15">
        <v>71.0</v>
      </c>
      <c r="N1826" s="15">
        <v>1.0</v>
      </c>
      <c r="O1826" s="16"/>
      <c r="P1826" s="17">
        <v>39935.55739583333</v>
      </c>
      <c r="Q1826" s="13"/>
      <c r="R1826" s="10" t="s">
        <v>7848</v>
      </c>
      <c r="S1826" s="13"/>
      <c r="T1826" s="13"/>
      <c r="U1826" s="18" t="str">
        <f>HYPERLINK("https://pbs.twimg.com/profile_images/1213619688611237888/uOcfJr2B.jpg","View")</f>
        <v>View</v>
      </c>
      <c r="V1826" s="13"/>
      <c r="W1826" s="13"/>
      <c r="X1826" s="13"/>
      <c r="Y1826" s="13"/>
      <c r="Z1826" s="13"/>
    </row>
    <row r="1827">
      <c r="A1827" s="8">
        <v>43848.29199074074</v>
      </c>
      <c r="B1827" s="9" t="str">
        <f>HYPERLINK("https://twitter.com/LightHouseDXB","@LightHouseDXB")</f>
        <v>@LightHouseDXB</v>
      </c>
      <c r="C1827" s="10" t="s">
        <v>7884</v>
      </c>
      <c r="D1827" s="10" t="s">
        <v>7885</v>
      </c>
      <c r="E1827" s="9" t="str">
        <f>HYPERLINK("https://twitter.com/LightHouseDXB/status/1218503420480454657","1218503420480454657")</f>
        <v>1218503420480454657</v>
      </c>
      <c r="F1827" s="11" t="s">
        <v>7886</v>
      </c>
      <c r="G1827" s="13"/>
      <c r="H1827" s="13"/>
      <c r="I1827" s="14">
        <v>0.0</v>
      </c>
      <c r="J1827" s="14">
        <v>0.0</v>
      </c>
      <c r="K1827" s="9" t="str">
        <f>HYPERLINK("https://buffer.com","Buffer")</f>
        <v>Buffer</v>
      </c>
      <c r="L1827" s="15">
        <v>848.0</v>
      </c>
      <c r="M1827" s="15">
        <v>526.0</v>
      </c>
      <c r="N1827" s="15">
        <v>41.0</v>
      </c>
      <c r="O1827" s="16"/>
      <c r="P1827" s="17">
        <v>41189.35837962963</v>
      </c>
      <c r="Q1827" s="10" t="s">
        <v>7887</v>
      </c>
      <c r="R1827" s="10" t="s">
        <v>7888</v>
      </c>
      <c r="S1827" s="11" t="s">
        <v>7889</v>
      </c>
      <c r="T1827" s="13"/>
      <c r="U1827" s="18" t="str">
        <f>HYPERLINK("https://pbs.twimg.com/profile_images/720161497800916992/ud_nb3eZ.jpg","View")</f>
        <v>View</v>
      </c>
      <c r="V1827" s="13"/>
      <c r="W1827" s="13"/>
      <c r="X1827" s="13"/>
      <c r="Y1827" s="13"/>
      <c r="Z1827" s="13"/>
    </row>
    <row r="1828">
      <c r="A1828" s="8">
        <v>43848.29175925926</v>
      </c>
      <c r="B1828" s="9" t="str">
        <f>HYPERLINK("https://twitter.com/AlchemyOfJo","@AlchemyOfJo")</f>
        <v>@AlchemyOfJo</v>
      </c>
      <c r="C1828" s="10" t="s">
        <v>7890</v>
      </c>
      <c r="D1828" s="10" t="s">
        <v>7891</v>
      </c>
      <c r="E1828" s="9" t="str">
        <f>HYPERLINK("https://twitter.com/AlchemyOfJo/status/1218503335927521280","1218503335927521280")</f>
        <v>1218503335927521280</v>
      </c>
      <c r="F1828" s="13"/>
      <c r="G1828" s="13"/>
      <c r="H1828" s="13"/>
      <c r="I1828" s="14">
        <v>0.0</v>
      </c>
      <c r="J1828" s="14">
        <v>2.0</v>
      </c>
      <c r="K1828" s="9" t="str">
        <f>HYPERLINK("http://twitter.com/download/android","Twitter for Android")</f>
        <v>Twitter for Android</v>
      </c>
      <c r="L1828" s="15">
        <v>453.0</v>
      </c>
      <c r="M1828" s="15">
        <v>255.0</v>
      </c>
      <c r="N1828" s="15">
        <v>20.0</v>
      </c>
      <c r="O1828" s="16"/>
      <c r="P1828" s="17">
        <v>41712.41318287037</v>
      </c>
      <c r="Q1828" s="10" t="s">
        <v>7892</v>
      </c>
      <c r="R1828" s="10" t="s">
        <v>7893</v>
      </c>
      <c r="S1828" s="13"/>
      <c r="T1828" s="13"/>
      <c r="U1828" s="18" t="str">
        <f>HYPERLINK("https://pbs.twimg.com/profile_images/1154350403422760960/4lbqBz5i.jpg","View")</f>
        <v>View</v>
      </c>
      <c r="V1828" s="13"/>
      <c r="W1828" s="13"/>
      <c r="X1828" s="13"/>
      <c r="Y1828" s="13"/>
      <c r="Z1828" s="13"/>
    </row>
    <row r="1829">
      <c r="A1829" s="8">
        <v>43848.29174768519</v>
      </c>
      <c r="B1829" s="9" t="str">
        <f>HYPERLINK("https://twitter.com/oxfordcounselor","@oxfordcounselor")</f>
        <v>@oxfordcounselor</v>
      </c>
      <c r="C1829" s="10" t="s">
        <v>6222</v>
      </c>
      <c r="D1829" s="10" t="s">
        <v>7894</v>
      </c>
      <c r="E1829" s="9" t="str">
        <f>HYPERLINK("https://twitter.com/oxfordcounselor/status/1218503331045351424","1218503331045351424")</f>
        <v>1218503331045351424</v>
      </c>
      <c r="F1829" s="11" t="s">
        <v>7895</v>
      </c>
      <c r="G1829" s="13"/>
      <c r="H1829" s="13"/>
      <c r="I1829" s="14">
        <v>0.0</v>
      </c>
      <c r="J1829" s="14">
        <v>0.0</v>
      </c>
      <c r="K1829" s="9" t="str">
        <f>HYPERLINK("http://counsellor.directory","counsellor.directory")</f>
        <v>counsellor.directory</v>
      </c>
      <c r="L1829" s="15">
        <v>816.0</v>
      </c>
      <c r="M1829" s="15">
        <v>36.0</v>
      </c>
      <c r="N1829" s="15">
        <v>25.0</v>
      </c>
      <c r="O1829" s="16"/>
      <c r="P1829" s="17">
        <v>41520.635</v>
      </c>
      <c r="Q1829" s="10" t="s">
        <v>6061</v>
      </c>
      <c r="R1829" s="10" t="s">
        <v>6225</v>
      </c>
      <c r="S1829" s="11" t="s">
        <v>6226</v>
      </c>
      <c r="T1829" s="13"/>
      <c r="U1829" s="18" t="str">
        <f>HYPERLINK("https://pbs.twimg.com/profile_images/1144687984110919680/_rNkOpOE.png","View")</f>
        <v>View</v>
      </c>
      <c r="V1829" s="13"/>
      <c r="W1829" s="13"/>
      <c r="X1829" s="13"/>
      <c r="Y1829" s="13"/>
      <c r="Z1829" s="13"/>
    </row>
    <row r="1830">
      <c r="A1830" s="8">
        <v>43848.29166666667</v>
      </c>
      <c r="B1830" s="9" t="str">
        <f>HYPERLINK("https://twitter.com/SimplyAlvin64","@SimplyAlvin64")</f>
        <v>@SimplyAlvin64</v>
      </c>
      <c r="C1830" s="10" t="s">
        <v>1071</v>
      </c>
      <c r="D1830" s="10" t="s">
        <v>7896</v>
      </c>
      <c r="E1830" s="9" t="str">
        <f>HYPERLINK("https://twitter.com/SimplyAlvin64/status/1218503303283298304","1218503303283298304")</f>
        <v>1218503303283298304</v>
      </c>
      <c r="F1830" s="13"/>
      <c r="G1830" s="11" t="s">
        <v>7897</v>
      </c>
      <c r="H1830" s="13"/>
      <c r="I1830" s="14">
        <v>3.0</v>
      </c>
      <c r="J1830" s="14">
        <v>16.0</v>
      </c>
      <c r="K1830" s="9" t="str">
        <f>HYPERLINK("https://mobile.twitter.com","Twitter Web App")</f>
        <v>Twitter Web App</v>
      </c>
      <c r="L1830" s="15">
        <v>978.0</v>
      </c>
      <c r="M1830" s="15">
        <v>699.0</v>
      </c>
      <c r="N1830" s="15">
        <v>24.0</v>
      </c>
      <c r="O1830" s="16"/>
      <c r="P1830" s="17">
        <v>42047.799212962964</v>
      </c>
      <c r="Q1830" s="10" t="s">
        <v>1074</v>
      </c>
      <c r="R1830" s="10" t="s">
        <v>1075</v>
      </c>
      <c r="S1830" s="11" t="s">
        <v>1076</v>
      </c>
      <c r="T1830" s="13"/>
      <c r="U1830" s="18" t="str">
        <f>HYPERLINK("https://pbs.twimg.com/profile_images/1191165577848483840/ulsqd5YY.png","View")</f>
        <v>View</v>
      </c>
      <c r="V1830" s="13"/>
      <c r="W1830" s="13"/>
      <c r="X1830" s="13"/>
      <c r="Y1830" s="13"/>
      <c r="Z1830" s="13"/>
    </row>
    <row r="1831">
      <c r="A1831" s="8">
        <v>43848.290972222225</v>
      </c>
      <c r="B1831" s="9" t="str">
        <f>HYPERLINK("https://twitter.com/MindfulHousing","@MindfulHousing")</f>
        <v>@MindfulHousing</v>
      </c>
      <c r="C1831" s="10" t="s">
        <v>7837</v>
      </c>
      <c r="D1831" s="10" t="s">
        <v>7898</v>
      </c>
      <c r="E1831" s="9" t="str">
        <f>HYPERLINK("https://twitter.com/MindfulHousing/status/1218503049078927360","1218503049078927360")</f>
        <v>1218503049078927360</v>
      </c>
      <c r="F1831" s="11" t="s">
        <v>7899</v>
      </c>
      <c r="G1831" s="11" t="s">
        <v>7900</v>
      </c>
      <c r="H1831" s="13"/>
      <c r="I1831" s="14">
        <v>0.0</v>
      </c>
      <c r="J1831" s="14">
        <v>0.0</v>
      </c>
      <c r="K1831" s="9" t="str">
        <f>HYPERLINK("https://about.twitter.com/products/tweetdeck","TweetDeck")</f>
        <v>TweetDeck</v>
      </c>
      <c r="L1831" s="15">
        <v>1811.0</v>
      </c>
      <c r="M1831" s="15">
        <v>1968.0</v>
      </c>
      <c r="N1831" s="15">
        <v>108.0</v>
      </c>
      <c r="O1831" s="16"/>
      <c r="P1831" s="17">
        <v>41527.46490740741</v>
      </c>
      <c r="Q1831" s="10" t="s">
        <v>7840</v>
      </c>
      <c r="R1831" s="10" t="s">
        <v>7841</v>
      </c>
      <c r="S1831" s="11" t="s">
        <v>7842</v>
      </c>
      <c r="T1831" s="13"/>
      <c r="U1831" s="18" t="str">
        <f>HYPERLINK("https://pbs.twimg.com/profile_images/674892012903092224/6WA1jSEY.jpg","View")</f>
        <v>View</v>
      </c>
      <c r="V1831" s="13"/>
      <c r="W1831" s="13"/>
      <c r="X1831" s="13"/>
      <c r="Y1831" s="13"/>
      <c r="Z1831" s="13"/>
    </row>
    <row r="1832">
      <c r="A1832" s="8">
        <v>43848.2909375</v>
      </c>
      <c r="B1832" s="9" t="str">
        <f>HYPERLINK("https://twitter.com/PapaParere","@PapaParere")</f>
        <v>@PapaParere</v>
      </c>
      <c r="C1832" s="10" t="s">
        <v>7901</v>
      </c>
      <c r="D1832" s="10" t="s">
        <v>7902</v>
      </c>
      <c r="E1832" s="9" t="str">
        <f>HYPERLINK("https://twitter.com/PapaParere/status/1218503038274560000","1218503038274560000")</f>
        <v>1218503038274560000</v>
      </c>
      <c r="F1832" s="13"/>
      <c r="G1832" s="11" t="s">
        <v>7903</v>
      </c>
      <c r="H1832" s="13"/>
      <c r="I1832" s="14">
        <v>0.0</v>
      </c>
      <c r="J1832" s="14">
        <v>0.0</v>
      </c>
      <c r="K1832" s="9" t="str">
        <f t="shared" ref="K1832:K1833" si="225">HYPERLINK("http://twitter.com/download/iphone","Twitter for iPhone")</f>
        <v>Twitter for iPhone</v>
      </c>
      <c r="L1832" s="15">
        <v>36.0</v>
      </c>
      <c r="M1832" s="15">
        <v>32.0</v>
      </c>
      <c r="N1832" s="15">
        <v>0.0</v>
      </c>
      <c r="O1832" s="16"/>
      <c r="P1832" s="17">
        <v>43739.668437500004</v>
      </c>
      <c r="Q1832" s="10" t="s">
        <v>7733</v>
      </c>
      <c r="R1832" s="10" t="s">
        <v>7904</v>
      </c>
      <c r="S1832" s="13"/>
      <c r="T1832" s="13"/>
      <c r="U1832" s="18" t="str">
        <f>HYPERLINK("https://pbs.twimg.com/profile_images/1218226315574292482/Rjr1dvDL.jpg","View")</f>
        <v>View</v>
      </c>
      <c r="V1832" s="13"/>
      <c r="W1832" s="13"/>
      <c r="X1832" s="13"/>
      <c r="Y1832" s="13"/>
      <c r="Z1832" s="13"/>
    </row>
    <row r="1833">
      <c r="A1833" s="8">
        <v>43848.2908912037</v>
      </c>
      <c r="B1833" s="9" t="str">
        <f>HYPERLINK("https://twitter.com/LewisSa18466191","@LewisSa18466191")</f>
        <v>@LewisSa18466191</v>
      </c>
      <c r="C1833" s="10" t="s">
        <v>7905</v>
      </c>
      <c r="D1833" s="10" t="s">
        <v>7906</v>
      </c>
      <c r="E1833" s="9" t="str">
        <f>HYPERLINK("https://twitter.com/LewisSa18466191/status/1218503022394990592","1218503022394990592")</f>
        <v>1218503022394990592</v>
      </c>
      <c r="F1833" s="11" t="s">
        <v>7907</v>
      </c>
      <c r="G1833" s="13"/>
      <c r="H1833" s="13"/>
      <c r="I1833" s="14">
        <v>0.0</v>
      </c>
      <c r="J1833" s="14">
        <v>1.0</v>
      </c>
      <c r="K1833" s="9" t="str">
        <f t="shared" si="225"/>
        <v>Twitter for iPhone</v>
      </c>
      <c r="L1833" s="15">
        <v>0.0</v>
      </c>
      <c r="M1833" s="15">
        <v>0.0</v>
      </c>
      <c r="N1833" s="15">
        <v>0.0</v>
      </c>
      <c r="O1833" s="16"/>
      <c r="P1833" s="17">
        <v>43843.6475</v>
      </c>
      <c r="Q1833" s="13"/>
      <c r="R1833" s="10" t="s">
        <v>7908</v>
      </c>
      <c r="S1833" s="13"/>
      <c r="T1833" s="13"/>
      <c r="U1833" s="18" t="str">
        <f>HYPERLINK("https://pbs.twimg.com/profile_images/1216820925276020737/m04n0Ygg.jpg","View")</f>
        <v>View</v>
      </c>
      <c r="V1833" s="13"/>
      <c r="W1833" s="13"/>
      <c r="X1833" s="13"/>
      <c r="Y1833" s="13"/>
      <c r="Z1833" s="13"/>
    </row>
    <row r="1834">
      <c r="A1834" s="8">
        <v>43848.289988425924</v>
      </c>
      <c r="B1834" s="9" t="str">
        <f>HYPERLINK("https://twitter.com/DonelaLinas","@DonelaLinas")</f>
        <v>@DonelaLinas</v>
      </c>
      <c r="C1834" s="10" t="s">
        <v>1838</v>
      </c>
      <c r="D1834" s="10" t="s">
        <v>7909</v>
      </c>
      <c r="E1834" s="9" t="str">
        <f>HYPERLINK("https://twitter.com/DonelaLinas/status/1218502692600938496","1218502692600938496")</f>
        <v>1218502692600938496</v>
      </c>
      <c r="F1834" s="13"/>
      <c r="G1834" s="13"/>
      <c r="H1834" s="13"/>
      <c r="I1834" s="14">
        <v>0.0</v>
      </c>
      <c r="J1834" s="14">
        <v>0.0</v>
      </c>
      <c r="K1834" s="9" t="str">
        <f t="shared" ref="K1834:K1835" si="226">HYPERLINK("http://twitter.com/download/android","Twitter for Android")</f>
        <v>Twitter for Android</v>
      </c>
      <c r="L1834" s="15">
        <v>34.0</v>
      </c>
      <c r="M1834" s="15">
        <v>57.0</v>
      </c>
      <c r="N1834" s="15">
        <v>0.0</v>
      </c>
      <c r="O1834" s="16"/>
      <c r="P1834" s="17">
        <v>42519.46498842593</v>
      </c>
      <c r="Q1834" s="10" t="s">
        <v>1840</v>
      </c>
      <c r="R1834" s="10" t="s">
        <v>1841</v>
      </c>
      <c r="S1834" s="13"/>
      <c r="T1834" s="13"/>
      <c r="U1834" s="18" t="str">
        <f>HYPERLINK("https://pbs.twimg.com/profile_images/737072476367269888/aenGDd9p.jpg","View")</f>
        <v>View</v>
      </c>
      <c r="V1834" s="13"/>
      <c r="W1834" s="13"/>
      <c r="X1834" s="13"/>
      <c r="Y1834" s="13"/>
      <c r="Z1834" s="13"/>
    </row>
    <row r="1835">
      <c r="A1835" s="8">
        <v>43848.28974537037</v>
      </c>
      <c r="B1835" s="9" t="str">
        <f>HYPERLINK("https://twitter.com/introvertedit","@introvertedit")</f>
        <v>@introvertedit</v>
      </c>
      <c r="C1835" s="10" t="s">
        <v>7910</v>
      </c>
      <c r="D1835" s="10" t="s">
        <v>7911</v>
      </c>
      <c r="E1835" s="9" t="str">
        <f>HYPERLINK("https://twitter.com/introvertedit/status/1218502604847755264","1218502604847755264")</f>
        <v>1218502604847755264</v>
      </c>
      <c r="F1835" s="11" t="s">
        <v>7912</v>
      </c>
      <c r="G1835" s="11" t="s">
        <v>7913</v>
      </c>
      <c r="H1835" s="13"/>
      <c r="I1835" s="14">
        <v>4.0</v>
      </c>
      <c r="J1835" s="14">
        <v>4.0</v>
      </c>
      <c r="K1835" s="9" t="str">
        <f t="shared" si="226"/>
        <v>Twitter for Android</v>
      </c>
      <c r="L1835" s="15">
        <v>343.0</v>
      </c>
      <c r="M1835" s="15">
        <v>48.0</v>
      </c>
      <c r="N1835" s="15">
        <v>6.0</v>
      </c>
      <c r="O1835" s="16"/>
      <c r="P1835" s="17">
        <v>43548.579143518524</v>
      </c>
      <c r="Q1835" s="10" t="s">
        <v>446</v>
      </c>
      <c r="R1835" s="10" t="s">
        <v>7914</v>
      </c>
      <c r="S1835" s="11" t="s">
        <v>7915</v>
      </c>
      <c r="T1835" s="13"/>
      <c r="U1835" s="18" t="str">
        <f>HYPERLINK("https://pbs.twimg.com/profile_images/1193523556824604672/568fJyoY.jpg","View")</f>
        <v>View</v>
      </c>
      <c r="V1835" s="13"/>
      <c r="W1835" s="13"/>
      <c r="X1835" s="13"/>
      <c r="Y1835" s="13"/>
      <c r="Z1835" s="13"/>
    </row>
    <row r="1836">
      <c r="A1836" s="8">
        <v>43848.28964120371</v>
      </c>
      <c r="B1836" s="9" t="str">
        <f>HYPERLINK("https://twitter.com/dudesanddogscic","@dudesanddogscic")</f>
        <v>@dudesanddogscic</v>
      </c>
      <c r="C1836" s="10" t="s">
        <v>7916</v>
      </c>
      <c r="D1836" s="10" t="s">
        <v>7917</v>
      </c>
      <c r="E1836" s="9" t="str">
        <f>HYPERLINK("https://twitter.com/dudesanddogscic/status/1218502568118226945","1218502568118226945")</f>
        <v>1218502568118226945</v>
      </c>
      <c r="F1836" s="13"/>
      <c r="G1836" s="11" t="s">
        <v>7918</v>
      </c>
      <c r="H1836" s="13"/>
      <c r="I1836" s="14">
        <v>8.0</v>
      </c>
      <c r="J1836" s="14">
        <v>12.0</v>
      </c>
      <c r="K1836" s="9" t="str">
        <f>HYPERLINK("https://mobile.twitter.com","Twitter Web App")</f>
        <v>Twitter Web App</v>
      </c>
      <c r="L1836" s="15">
        <v>76.0</v>
      </c>
      <c r="M1836" s="15">
        <v>77.0</v>
      </c>
      <c r="N1836" s="15">
        <v>0.0</v>
      </c>
      <c r="O1836" s="16"/>
      <c r="P1836" s="17">
        <v>43789.65594907408</v>
      </c>
      <c r="Q1836" s="10" t="s">
        <v>7919</v>
      </c>
      <c r="R1836" s="10" t="s">
        <v>7920</v>
      </c>
      <c r="S1836" s="11" t="s">
        <v>7921</v>
      </c>
      <c r="T1836" s="13"/>
      <c r="U1836" s="18" t="str">
        <f>HYPERLINK("https://pbs.twimg.com/profile_images/1197254885634392065/Buk7Oos6.jpg","View")</f>
        <v>View</v>
      </c>
      <c r="V1836" s="13"/>
      <c r="W1836" s="13"/>
      <c r="X1836" s="13"/>
      <c r="Y1836" s="13"/>
      <c r="Z1836" s="13"/>
    </row>
    <row r="1837">
      <c r="A1837" s="8">
        <v>43848.28868055556</v>
      </c>
      <c r="B1837" s="9" t="str">
        <f>HYPERLINK("https://twitter.com/RobertiAlberto","@RobertiAlberto")</f>
        <v>@RobertiAlberto</v>
      </c>
      <c r="C1837" s="10" t="s">
        <v>7922</v>
      </c>
      <c r="D1837" s="10" t="s">
        <v>238</v>
      </c>
      <c r="E1837" s="9" t="str">
        <f>HYPERLINK("https://twitter.com/RobertiAlberto/status/1218502221677170688","1218502221677170688")</f>
        <v>1218502221677170688</v>
      </c>
      <c r="F1837" s="13"/>
      <c r="G1837" s="13"/>
      <c r="H1837" s="13"/>
      <c r="I1837" s="14">
        <v>0.0</v>
      </c>
      <c r="J1837" s="14">
        <v>0.0</v>
      </c>
      <c r="K1837" s="9" t="str">
        <f>HYPERLINK("http://twitter.com/download/iphone","Twitter for iPhone")</f>
        <v>Twitter for iPhone</v>
      </c>
      <c r="L1837" s="15">
        <v>67.0</v>
      </c>
      <c r="M1837" s="15">
        <v>109.0</v>
      </c>
      <c r="N1837" s="15">
        <v>0.0</v>
      </c>
      <c r="O1837" s="16"/>
      <c r="P1837" s="17">
        <v>41422.76902777778</v>
      </c>
      <c r="Q1837" s="13"/>
      <c r="R1837" s="13"/>
      <c r="S1837" s="13"/>
      <c r="T1837" s="13"/>
      <c r="U1837" s="18" t="str">
        <f>HYPERLINK("https://pbs.twimg.com/profile_images/533721464848261120/_YVQGoVT.jpeg","View")</f>
        <v>View</v>
      </c>
      <c r="V1837" s="13"/>
      <c r="W1837" s="13"/>
      <c r="X1837" s="13"/>
      <c r="Y1837" s="13"/>
      <c r="Z1837" s="13"/>
    </row>
    <row r="1838">
      <c r="A1838" s="8">
        <v>43848.288564814815</v>
      </c>
      <c r="B1838" s="9" t="str">
        <f>HYPERLINK("https://twitter.com/DrGurdeepParhar","@DrGurdeepParhar")</f>
        <v>@DrGurdeepParhar</v>
      </c>
      <c r="C1838" s="10" t="s">
        <v>54</v>
      </c>
      <c r="D1838" s="10" t="s">
        <v>7923</v>
      </c>
      <c r="E1838" s="9" t="str">
        <f>HYPERLINK("https://twitter.com/DrGurdeepParhar/status/1218502175812399104","1218502175812399104")</f>
        <v>1218502175812399104</v>
      </c>
      <c r="F1838" s="11" t="s">
        <v>7924</v>
      </c>
      <c r="G1838" s="13"/>
      <c r="H1838" s="13"/>
      <c r="I1838" s="14">
        <v>0.0</v>
      </c>
      <c r="J1838" s="14">
        <v>0.0</v>
      </c>
      <c r="K1838" s="9" t="str">
        <f>HYPERLINK("https://nectar.social","BHIVE Nectar")</f>
        <v>BHIVE Nectar</v>
      </c>
      <c r="L1838" s="15">
        <v>81427.0</v>
      </c>
      <c r="M1838" s="15">
        <v>30.0</v>
      </c>
      <c r="N1838" s="15">
        <v>73.0</v>
      </c>
      <c r="O1838" s="16"/>
      <c r="P1838" s="17">
        <v>42450.41334490741</v>
      </c>
      <c r="Q1838" s="10" t="s">
        <v>57</v>
      </c>
      <c r="R1838" s="10" t="s">
        <v>58</v>
      </c>
      <c r="S1838" s="11" t="s">
        <v>59</v>
      </c>
      <c r="T1838" s="13"/>
      <c r="U1838" s="18" t="str">
        <f>HYPERLINK("https://pbs.twimg.com/profile_images/1013719377697357824/2F3Qgmy6.jpg","View")</f>
        <v>View</v>
      </c>
      <c r="V1838" s="13"/>
      <c r="W1838" s="13"/>
      <c r="X1838" s="13"/>
      <c r="Y1838" s="13"/>
      <c r="Z1838" s="13"/>
    </row>
    <row r="1839">
      <c r="A1839" s="8">
        <v>43848.28854166667</v>
      </c>
      <c r="B1839" s="9" t="str">
        <f>HYPERLINK("https://twitter.com/Triathlon_Paul","@Triathlon_Paul")</f>
        <v>@Triathlon_Paul</v>
      </c>
      <c r="C1839" s="10" t="s">
        <v>7925</v>
      </c>
      <c r="D1839" s="10" t="s">
        <v>7926</v>
      </c>
      <c r="E1839" s="9" t="str">
        <f>HYPERLINK("https://twitter.com/Triathlon_Paul/status/1218502167490891777","1218502167490891777")</f>
        <v>1218502167490891777</v>
      </c>
      <c r="F1839" s="13"/>
      <c r="G1839" s="11" t="s">
        <v>7927</v>
      </c>
      <c r="H1839" s="13"/>
      <c r="I1839" s="14">
        <v>0.0</v>
      </c>
      <c r="J1839" s="14">
        <v>6.0</v>
      </c>
      <c r="K1839" s="9" t="str">
        <f>HYPERLINK("http://twitter.com/download/iphone","Twitter for iPhone")</f>
        <v>Twitter for iPhone</v>
      </c>
      <c r="L1839" s="15">
        <v>324.0</v>
      </c>
      <c r="M1839" s="15">
        <v>286.0</v>
      </c>
      <c r="N1839" s="15">
        <v>10.0</v>
      </c>
      <c r="O1839" s="16"/>
      <c r="P1839" s="17">
        <v>39905.0453125</v>
      </c>
      <c r="Q1839" s="10" t="s">
        <v>7928</v>
      </c>
      <c r="R1839" s="10" t="s">
        <v>7929</v>
      </c>
      <c r="S1839" s="11" t="s">
        <v>7930</v>
      </c>
      <c r="T1839" s="13"/>
      <c r="U1839" s="18" t="str">
        <f>HYPERLINK("https://pbs.twimg.com/profile_images/1104106193851740160/pM0qSs_P.jpg","View")</f>
        <v>View</v>
      </c>
      <c r="V1839" s="13"/>
      <c r="W1839" s="13"/>
      <c r="X1839" s="13"/>
      <c r="Y1839" s="13"/>
      <c r="Z1839" s="13"/>
    </row>
    <row r="1840">
      <c r="A1840" s="8">
        <v>43848.28822916667</v>
      </c>
      <c r="B1840" s="9" t="str">
        <f>HYPERLINK("https://twitter.com/NHSEngland","@NHSEngland")</f>
        <v>@NHSEngland</v>
      </c>
      <c r="C1840" s="10" t="s">
        <v>7931</v>
      </c>
      <c r="D1840" s="22" t="s">
        <v>7932</v>
      </c>
      <c r="E1840" s="9" t="str">
        <f>HYPERLINK("https://twitter.com/NHSEngland/status/1218502055641468930","1218502055641468930")</f>
        <v>1218502055641468930</v>
      </c>
      <c r="F1840" s="11" t="s">
        <v>7933</v>
      </c>
      <c r="G1840" s="13"/>
      <c r="H1840" s="13"/>
      <c r="I1840" s="14">
        <v>17.0</v>
      </c>
      <c r="J1840" s="14">
        <v>48.0</v>
      </c>
      <c r="K1840" s="9" t="str">
        <f>HYPERLINK("https://www.hootsuite.com","Hootsuite Inc.")</f>
        <v>Hootsuite Inc.</v>
      </c>
      <c r="L1840" s="15">
        <v>306558.0</v>
      </c>
      <c r="M1840" s="15">
        <v>2321.0</v>
      </c>
      <c r="N1840" s="15">
        <v>1957.0</v>
      </c>
      <c r="O1840" s="21" t="s">
        <v>522</v>
      </c>
      <c r="P1840" s="17">
        <v>41010.741377314815</v>
      </c>
      <c r="Q1840" s="13"/>
      <c r="R1840" s="10" t="s">
        <v>7934</v>
      </c>
      <c r="S1840" s="11" t="s">
        <v>7935</v>
      </c>
      <c r="T1840" s="13"/>
      <c r="U1840" s="18" t="str">
        <f>HYPERLINK("https://pbs.twimg.com/profile_images/1185130504858812416/hBDz0GEy.png","View")</f>
        <v>View</v>
      </c>
      <c r="V1840" s="13"/>
      <c r="W1840" s="13"/>
      <c r="X1840" s="13"/>
      <c r="Y1840" s="13"/>
      <c r="Z1840" s="13"/>
    </row>
    <row r="1841">
      <c r="A1841" s="8">
        <v>43848.28732638889</v>
      </c>
      <c r="B1841" s="9" t="str">
        <f>HYPERLINK("https://twitter.com/Afewtoomany2","@Afewtoomany2")</f>
        <v>@Afewtoomany2</v>
      </c>
      <c r="C1841" s="10" t="s">
        <v>762</v>
      </c>
      <c r="D1841" s="10" t="s">
        <v>7936</v>
      </c>
      <c r="E1841" s="9" t="str">
        <f>HYPERLINK("https://twitter.com/Afewtoomany2/status/1218501730574458880","1218501730574458880")</f>
        <v>1218501730574458880</v>
      </c>
      <c r="F1841" s="11" t="s">
        <v>7937</v>
      </c>
      <c r="G1841" s="13"/>
      <c r="H1841" s="13"/>
      <c r="I1841" s="14">
        <v>0.0</v>
      </c>
      <c r="J1841" s="14">
        <v>5.0</v>
      </c>
      <c r="K1841" s="9" t="str">
        <f t="shared" ref="K1841:K1844" si="227">HYPERLINK("http://twitter.com/download/android","Twitter for Android")</f>
        <v>Twitter for Android</v>
      </c>
      <c r="L1841" s="15">
        <v>1184.0</v>
      </c>
      <c r="M1841" s="15">
        <v>1572.0</v>
      </c>
      <c r="N1841" s="15">
        <v>2.0</v>
      </c>
      <c r="O1841" s="16"/>
      <c r="P1841" s="17">
        <v>43711.89326388889</v>
      </c>
      <c r="Q1841" s="10" t="s">
        <v>764</v>
      </c>
      <c r="R1841" s="10" t="s">
        <v>765</v>
      </c>
      <c r="S1841" s="13"/>
      <c r="T1841" s="13"/>
      <c r="U1841" s="18" t="str">
        <f>HYPERLINK("https://pbs.twimg.com/profile_images/1207084949096013825/7f1KI6F9.jpg","View")</f>
        <v>View</v>
      </c>
      <c r="V1841" s="13"/>
      <c r="W1841" s="13"/>
      <c r="X1841" s="13"/>
      <c r="Y1841" s="13"/>
      <c r="Z1841" s="13"/>
    </row>
    <row r="1842">
      <c r="A1842" s="8">
        <v>43848.287314814814</v>
      </c>
      <c r="B1842" s="9" t="str">
        <f>HYPERLINK("https://twitter.com/DonelaLinas","@DonelaLinas")</f>
        <v>@DonelaLinas</v>
      </c>
      <c r="C1842" s="10" t="s">
        <v>1838</v>
      </c>
      <c r="D1842" s="10" t="s">
        <v>7938</v>
      </c>
      <c r="E1842" s="9" t="str">
        <f>HYPERLINK("https://twitter.com/DonelaLinas/status/1218501722806550528","1218501722806550528")</f>
        <v>1218501722806550528</v>
      </c>
      <c r="F1842" s="13"/>
      <c r="G1842" s="13"/>
      <c r="H1842" s="13"/>
      <c r="I1842" s="14">
        <v>0.0</v>
      </c>
      <c r="J1842" s="14">
        <v>0.0</v>
      </c>
      <c r="K1842" s="9" t="str">
        <f t="shared" si="227"/>
        <v>Twitter for Android</v>
      </c>
      <c r="L1842" s="15">
        <v>34.0</v>
      </c>
      <c r="M1842" s="15">
        <v>57.0</v>
      </c>
      <c r="N1842" s="15">
        <v>0.0</v>
      </c>
      <c r="O1842" s="16"/>
      <c r="P1842" s="17">
        <v>42519.46498842593</v>
      </c>
      <c r="Q1842" s="10" t="s">
        <v>1840</v>
      </c>
      <c r="R1842" s="10" t="s">
        <v>1841</v>
      </c>
      <c r="S1842" s="13"/>
      <c r="T1842" s="13"/>
      <c r="U1842" s="18" t="str">
        <f>HYPERLINK("https://pbs.twimg.com/profile_images/737072476367269888/aenGDd9p.jpg","View")</f>
        <v>View</v>
      </c>
      <c r="V1842" s="13"/>
      <c r="W1842" s="13"/>
      <c r="X1842" s="13"/>
      <c r="Y1842" s="13"/>
      <c r="Z1842" s="13"/>
    </row>
    <row r="1843">
      <c r="A1843" s="8">
        <v>43848.28729166667</v>
      </c>
      <c r="B1843" s="9" t="str">
        <f>HYPERLINK("https://twitter.com/Dale_Dez81","@Dale_Dez81")</f>
        <v>@Dale_Dez81</v>
      </c>
      <c r="C1843" s="10" t="s">
        <v>7939</v>
      </c>
      <c r="D1843" s="10" t="s">
        <v>7940</v>
      </c>
      <c r="E1843" s="9" t="str">
        <f>HYPERLINK("https://twitter.com/Dale_Dez81/status/1218501717999878145","1218501717999878145")</f>
        <v>1218501717999878145</v>
      </c>
      <c r="F1843" s="11" t="s">
        <v>7941</v>
      </c>
      <c r="G1843" s="13"/>
      <c r="H1843" s="13"/>
      <c r="I1843" s="14">
        <v>0.0</v>
      </c>
      <c r="J1843" s="14">
        <v>0.0</v>
      </c>
      <c r="K1843" s="9" t="str">
        <f t="shared" si="227"/>
        <v>Twitter for Android</v>
      </c>
      <c r="L1843" s="15">
        <v>386.0</v>
      </c>
      <c r="M1843" s="15">
        <v>427.0</v>
      </c>
      <c r="N1843" s="15">
        <v>4.0</v>
      </c>
      <c r="O1843" s="16"/>
      <c r="P1843" s="17">
        <v>43121.572743055556</v>
      </c>
      <c r="Q1843" s="10" t="s">
        <v>7942</v>
      </c>
      <c r="R1843" s="10" t="s">
        <v>7943</v>
      </c>
      <c r="S1843" s="11" t="s">
        <v>7944</v>
      </c>
      <c r="T1843" s="13"/>
      <c r="U1843" s="18" t="str">
        <f>HYPERLINK("https://pbs.twimg.com/profile_images/1047488411572027392/1YZRD6pi.jpg","View")</f>
        <v>View</v>
      </c>
      <c r="V1843" s="13"/>
      <c r="W1843" s="13"/>
      <c r="X1843" s="13"/>
      <c r="Y1843" s="13"/>
      <c r="Z1843" s="13"/>
    </row>
    <row r="1844">
      <c r="A1844" s="8">
        <v>43848.28690972222</v>
      </c>
      <c r="B1844" s="9" t="str">
        <f>HYPERLINK("https://twitter.com/dotunjubal","@dotunjubal")</f>
        <v>@dotunjubal</v>
      </c>
      <c r="C1844" s="10" t="s">
        <v>7945</v>
      </c>
      <c r="D1844" s="10" t="s">
        <v>238</v>
      </c>
      <c r="E1844" s="9" t="str">
        <f>HYPERLINK("https://twitter.com/dotunjubal/status/1218501576094076928","1218501576094076928")</f>
        <v>1218501576094076928</v>
      </c>
      <c r="F1844" s="13"/>
      <c r="G1844" s="13"/>
      <c r="H1844" s="13"/>
      <c r="I1844" s="14">
        <v>0.0</v>
      </c>
      <c r="J1844" s="14">
        <v>0.0</v>
      </c>
      <c r="K1844" s="9" t="str">
        <f t="shared" si="227"/>
        <v>Twitter for Android</v>
      </c>
      <c r="L1844" s="15">
        <v>1917.0</v>
      </c>
      <c r="M1844" s="15">
        <v>1492.0</v>
      </c>
      <c r="N1844" s="15">
        <v>5.0</v>
      </c>
      <c r="O1844" s="16"/>
      <c r="P1844" s="17">
        <v>42733.04006944444</v>
      </c>
      <c r="Q1844" s="10" t="s">
        <v>7946</v>
      </c>
      <c r="R1844" s="10" t="s">
        <v>7947</v>
      </c>
      <c r="S1844" s="11" t="s">
        <v>7948</v>
      </c>
      <c r="T1844" s="13"/>
      <c r="U1844" s="18" t="str">
        <f>HYPERLINK("https://pbs.twimg.com/profile_images/1215167972882485250/Qb3Xu2mE.jpg","View")</f>
        <v>View</v>
      </c>
      <c r="V1844" s="13"/>
      <c r="W1844" s="13"/>
      <c r="X1844" s="13"/>
      <c r="Y1844" s="13"/>
      <c r="Z1844" s="13"/>
    </row>
    <row r="1845">
      <c r="A1845" s="8">
        <v>43848.28476851852</v>
      </c>
      <c r="B1845" s="9" t="str">
        <f>HYPERLINK("https://twitter.com/SusannahPitman","@SusannahPitman")</f>
        <v>@SusannahPitman</v>
      </c>
      <c r="C1845" s="10" t="s">
        <v>7949</v>
      </c>
      <c r="D1845" s="10" t="s">
        <v>7950</v>
      </c>
      <c r="E1845" s="9" t="str">
        <f>HYPERLINK("https://twitter.com/SusannahPitman/status/1218500803591315456","1218500803591315456")</f>
        <v>1218500803591315456</v>
      </c>
      <c r="F1845" s="13"/>
      <c r="G1845" s="11" t="s">
        <v>7951</v>
      </c>
      <c r="H1845" s="13"/>
      <c r="I1845" s="14">
        <v>1.0</v>
      </c>
      <c r="J1845" s="14">
        <v>1.0</v>
      </c>
      <c r="K1845" s="9" t="str">
        <f>HYPERLINK("https://www.hootsuite.com","Hootsuite Inc.")</f>
        <v>Hootsuite Inc.</v>
      </c>
      <c r="L1845" s="15">
        <v>694.0</v>
      </c>
      <c r="M1845" s="15">
        <v>774.0</v>
      </c>
      <c r="N1845" s="15">
        <v>11.0</v>
      </c>
      <c r="O1845" s="16"/>
      <c r="P1845" s="17">
        <v>41702.612650462965</v>
      </c>
      <c r="Q1845" s="10" t="s">
        <v>411</v>
      </c>
      <c r="R1845" s="10" t="s">
        <v>7952</v>
      </c>
      <c r="S1845" s="11" t="s">
        <v>7953</v>
      </c>
      <c r="T1845" s="13"/>
      <c r="U1845" s="18" t="str">
        <f>HYPERLINK("https://pbs.twimg.com/profile_images/440941756545114112/oQjw64Tl.jpeg","View")</f>
        <v>View</v>
      </c>
      <c r="V1845" s="13"/>
      <c r="W1845" s="13"/>
      <c r="X1845" s="13"/>
      <c r="Y1845" s="13"/>
      <c r="Z1845" s="13"/>
    </row>
    <row r="1846">
      <c r="A1846" s="8">
        <v>43848.28422453704</v>
      </c>
      <c r="B1846" s="9" t="str">
        <f>HYPERLINK("https://twitter.com/grouptherapy33","@grouptherapy33")</f>
        <v>@grouptherapy33</v>
      </c>
      <c r="C1846" s="10" t="s">
        <v>831</v>
      </c>
      <c r="D1846" s="10" t="s">
        <v>7954</v>
      </c>
      <c r="E1846" s="9" t="str">
        <f>HYPERLINK("https://twitter.com/grouptherapy33/status/1218500605913845761","1218500605913845761")</f>
        <v>1218500605913845761</v>
      </c>
      <c r="F1846" s="13"/>
      <c r="G1846" s="13"/>
      <c r="H1846" s="13"/>
      <c r="I1846" s="14">
        <v>1.0</v>
      </c>
      <c r="J1846" s="14">
        <v>0.0</v>
      </c>
      <c r="K1846" s="9" t="str">
        <f>HYPERLINK("http://www.DynamicTweets.com","Dynamic Tweets")</f>
        <v>Dynamic Tweets</v>
      </c>
      <c r="L1846" s="15">
        <v>4053.0</v>
      </c>
      <c r="M1846" s="15">
        <v>3517.0</v>
      </c>
      <c r="N1846" s="15">
        <v>74.0</v>
      </c>
      <c r="O1846" s="16"/>
      <c r="P1846" s="17">
        <v>42375.45542824074</v>
      </c>
      <c r="Q1846" s="13"/>
      <c r="R1846" s="13"/>
      <c r="S1846" s="11" t="s">
        <v>833</v>
      </c>
      <c r="T1846" s="13"/>
      <c r="U1846" s="18" t="str">
        <f>HYPERLINK("https://pbs.twimg.com/profile_images/773354507157671941/wE10yy8j.jpg","View")</f>
        <v>View</v>
      </c>
      <c r="V1846" s="13"/>
      <c r="W1846" s="13"/>
      <c r="X1846" s="13"/>
      <c r="Y1846" s="13"/>
      <c r="Z1846" s="13"/>
    </row>
    <row r="1847">
      <c r="A1847" s="8">
        <v>43848.28377314815</v>
      </c>
      <c r="B1847" s="9" t="str">
        <f>HYPERLINK("https://twitter.com/SimplTia7","@SimplTia7")</f>
        <v>@SimplTia7</v>
      </c>
      <c r="C1847" s="10" t="s">
        <v>7955</v>
      </c>
      <c r="D1847" s="10" t="s">
        <v>7956</v>
      </c>
      <c r="E1847" s="9" t="str">
        <f>HYPERLINK("https://twitter.com/SimplTia7/status/1218500441635295232","1218500441635295232")</f>
        <v>1218500441635295232</v>
      </c>
      <c r="F1847" s="13"/>
      <c r="G1847" s="13"/>
      <c r="H1847" s="13"/>
      <c r="I1847" s="14">
        <v>0.0</v>
      </c>
      <c r="J1847" s="14">
        <v>0.0</v>
      </c>
      <c r="K1847" s="9" t="str">
        <f t="shared" ref="K1847:K1848" si="228">HYPERLINK("https://mobile.twitter.com","Twitter Web App")</f>
        <v>Twitter Web App</v>
      </c>
      <c r="L1847" s="15">
        <v>8.0</v>
      </c>
      <c r="M1847" s="15">
        <v>40.0</v>
      </c>
      <c r="N1847" s="15">
        <v>0.0</v>
      </c>
      <c r="O1847" s="16"/>
      <c r="P1847" s="17">
        <v>43811.59332175926</v>
      </c>
      <c r="Q1847" s="10" t="s">
        <v>7957</v>
      </c>
      <c r="R1847" s="10" t="s">
        <v>7958</v>
      </c>
      <c r="S1847" s="13"/>
      <c r="T1847" s="13"/>
      <c r="U1847" s="18" t="str">
        <f>HYPERLINK("https://pbs.twimg.com/profile_images/1217639799131164672/r46fDyCj.jpg","View")</f>
        <v>View</v>
      </c>
      <c r="V1847" s="13"/>
      <c r="W1847" s="13"/>
      <c r="X1847" s="13"/>
      <c r="Y1847" s="13"/>
      <c r="Z1847" s="13"/>
    </row>
    <row r="1848">
      <c r="A1848" s="8">
        <v>43848.2836574074</v>
      </c>
      <c r="B1848" s="9" t="str">
        <f>HYPERLINK("https://twitter.com/DanRoberts51","@DanRoberts51")</f>
        <v>@DanRoberts51</v>
      </c>
      <c r="C1848" s="10" t="s">
        <v>7959</v>
      </c>
      <c r="D1848" s="10" t="s">
        <v>7960</v>
      </c>
      <c r="E1848" s="9" t="str">
        <f>HYPERLINK("https://twitter.com/DanRoberts51/status/1218500400451588096","1218500400451588096")</f>
        <v>1218500400451588096</v>
      </c>
      <c r="F1848" s="10" t="s">
        <v>7961</v>
      </c>
      <c r="G1848" s="13"/>
      <c r="H1848" s="13"/>
      <c r="I1848" s="14">
        <v>0.0</v>
      </c>
      <c r="J1848" s="14">
        <v>0.0</v>
      </c>
      <c r="K1848" s="9" t="str">
        <f t="shared" si="228"/>
        <v>Twitter Web App</v>
      </c>
      <c r="L1848" s="15">
        <v>77.0</v>
      </c>
      <c r="M1848" s="15">
        <v>256.0</v>
      </c>
      <c r="N1848" s="15">
        <v>0.0</v>
      </c>
      <c r="O1848" s="16"/>
      <c r="P1848" s="17">
        <v>43602.11827546296</v>
      </c>
      <c r="Q1848" s="10" t="s">
        <v>2102</v>
      </c>
      <c r="R1848" s="10" t="s">
        <v>7962</v>
      </c>
      <c r="S1848" s="13"/>
      <c r="T1848" s="13"/>
      <c r="U1848" s="18" t="str">
        <f>HYPERLINK("https://pbs.twimg.com/profile_images/1186199635586666496/JuLb9EjC.jpg","View")</f>
        <v>View</v>
      </c>
      <c r="V1848" s="13"/>
      <c r="W1848" s="13"/>
      <c r="X1848" s="13"/>
      <c r="Y1848" s="13"/>
      <c r="Z1848" s="13"/>
    </row>
    <row r="1849">
      <c r="A1849" s="8">
        <v>43848.28314814815</v>
      </c>
      <c r="B1849" s="9" t="str">
        <f>HYPERLINK("https://twitter.com/lucifan57","@lucifan57")</f>
        <v>@lucifan57</v>
      </c>
      <c r="C1849" s="10" t="s">
        <v>7963</v>
      </c>
      <c r="D1849" s="10" t="s">
        <v>238</v>
      </c>
      <c r="E1849" s="9" t="str">
        <f>HYPERLINK("https://twitter.com/lucifan57/status/1218500212760641536","1218500212760641536")</f>
        <v>1218500212760641536</v>
      </c>
      <c r="F1849" s="13"/>
      <c r="G1849" s="13"/>
      <c r="H1849" s="13"/>
      <c r="I1849" s="14">
        <v>0.0</v>
      </c>
      <c r="J1849" s="14">
        <v>1.0</v>
      </c>
      <c r="K1849" s="9" t="str">
        <f t="shared" ref="K1849:K1851" si="229">HYPERLINK("http://twitter.com/download/android","Twitter for Android")</f>
        <v>Twitter for Android</v>
      </c>
      <c r="L1849" s="15">
        <v>415.0</v>
      </c>
      <c r="M1849" s="15">
        <v>450.0</v>
      </c>
      <c r="N1849" s="15">
        <v>2.0</v>
      </c>
      <c r="O1849" s="16"/>
      <c r="P1849" s="17">
        <v>40814.511921296296</v>
      </c>
      <c r="Q1849" s="13"/>
      <c r="R1849" s="10" t="s">
        <v>7964</v>
      </c>
      <c r="S1849" s="13"/>
      <c r="T1849" s="13"/>
      <c r="U1849" s="18" t="str">
        <f>HYPERLINK("https://pbs.twimg.com/profile_images/1166075645320945664/KWWyrA4S.jpg","View")</f>
        <v>View</v>
      </c>
      <c r="V1849" s="13"/>
      <c r="W1849" s="13"/>
      <c r="X1849" s="13"/>
      <c r="Y1849" s="13"/>
      <c r="Z1849" s="13"/>
    </row>
    <row r="1850">
      <c r="A1850" s="8">
        <v>43848.28258101852</v>
      </c>
      <c r="B1850" s="9" t="str">
        <f>HYPERLINK("https://twitter.com/DonelaLinas","@DonelaLinas")</f>
        <v>@DonelaLinas</v>
      </c>
      <c r="C1850" s="10" t="s">
        <v>1838</v>
      </c>
      <c r="D1850" s="10" t="s">
        <v>7965</v>
      </c>
      <c r="E1850" s="9" t="str">
        <f>HYPERLINK("https://twitter.com/DonelaLinas/status/1218500008326180865","1218500008326180865")</f>
        <v>1218500008326180865</v>
      </c>
      <c r="F1850" s="13"/>
      <c r="G1850" s="13"/>
      <c r="H1850" s="13"/>
      <c r="I1850" s="14">
        <v>0.0</v>
      </c>
      <c r="J1850" s="14">
        <v>0.0</v>
      </c>
      <c r="K1850" s="9" t="str">
        <f t="shared" si="229"/>
        <v>Twitter for Android</v>
      </c>
      <c r="L1850" s="15">
        <v>34.0</v>
      </c>
      <c r="M1850" s="15">
        <v>57.0</v>
      </c>
      <c r="N1850" s="15">
        <v>0.0</v>
      </c>
      <c r="O1850" s="16"/>
      <c r="P1850" s="17">
        <v>42519.46498842593</v>
      </c>
      <c r="Q1850" s="10" t="s">
        <v>1840</v>
      </c>
      <c r="R1850" s="10" t="s">
        <v>1841</v>
      </c>
      <c r="S1850" s="13"/>
      <c r="T1850" s="13"/>
      <c r="U1850" s="18" t="str">
        <f>HYPERLINK("https://pbs.twimg.com/profile_images/737072476367269888/aenGDd9p.jpg","View")</f>
        <v>View</v>
      </c>
      <c r="V1850" s="13"/>
      <c r="W1850" s="13"/>
      <c r="X1850" s="13"/>
      <c r="Y1850" s="13"/>
      <c r="Z1850" s="13"/>
    </row>
    <row r="1851">
      <c r="A1851" s="8">
        <v>43848.28158564815</v>
      </c>
      <c r="B1851" s="9" t="str">
        <f>HYPERLINK("https://twitter.com/PatientExpertUK","@PatientExpertUK")</f>
        <v>@PatientExpertUK</v>
      </c>
      <c r="C1851" s="10" t="s">
        <v>3284</v>
      </c>
      <c r="D1851" s="10" t="s">
        <v>7966</v>
      </c>
      <c r="E1851" s="9" t="str">
        <f>HYPERLINK("https://twitter.com/PatientExpertUK/status/1218499650010996738","1218499650010996738")</f>
        <v>1218499650010996738</v>
      </c>
      <c r="F1851" s="13"/>
      <c r="G1851" s="11" t="s">
        <v>7967</v>
      </c>
      <c r="H1851" s="13"/>
      <c r="I1851" s="14">
        <v>0.0</v>
      </c>
      <c r="J1851" s="14">
        <v>0.0</v>
      </c>
      <c r="K1851" s="9" t="str">
        <f t="shared" si="229"/>
        <v>Twitter for Android</v>
      </c>
      <c r="L1851" s="15">
        <v>3836.0</v>
      </c>
      <c r="M1851" s="15">
        <v>4981.0</v>
      </c>
      <c r="N1851" s="15">
        <v>118.0</v>
      </c>
      <c r="O1851" s="16"/>
      <c r="P1851" s="17">
        <v>39844.55090277777</v>
      </c>
      <c r="Q1851" s="10" t="s">
        <v>3286</v>
      </c>
      <c r="R1851" s="10" t="s">
        <v>3287</v>
      </c>
      <c r="S1851" s="11" t="s">
        <v>3288</v>
      </c>
      <c r="T1851" s="13"/>
      <c r="U1851" s="18" t="str">
        <f>HYPERLINK("https://pbs.twimg.com/profile_images/905494510330884097/ld1VjElH.jpg","View")</f>
        <v>View</v>
      </c>
      <c r="V1851" s="13"/>
      <c r="W1851" s="13"/>
      <c r="X1851" s="13"/>
      <c r="Y1851" s="13"/>
      <c r="Z1851" s="13"/>
    </row>
    <row r="1852">
      <c r="A1852" s="8">
        <v>43848.28158564815</v>
      </c>
      <c r="B1852" s="9" t="str">
        <f>HYPERLINK("https://twitter.com/cmueller_PhD","@cmueller_PhD")</f>
        <v>@cmueller_PhD</v>
      </c>
      <c r="C1852" s="10" t="s">
        <v>7968</v>
      </c>
      <c r="D1852" s="10" t="s">
        <v>7969</v>
      </c>
      <c r="E1852" s="9" t="str">
        <f>HYPERLINK("https://twitter.com/cmueller_PhD/status/1218499649952239617","1218499649952239617")</f>
        <v>1218499649952239617</v>
      </c>
      <c r="F1852" s="11" t="s">
        <v>7970</v>
      </c>
      <c r="G1852" s="13"/>
      <c r="H1852" s="13"/>
      <c r="I1852" s="14">
        <v>0.0</v>
      </c>
      <c r="J1852" s="14">
        <v>0.0</v>
      </c>
      <c r="K1852" s="9" t="str">
        <f t="shared" ref="K1852:K1854" si="230">HYPERLINK("https://mobile.twitter.com","Twitter Web App")</f>
        <v>Twitter Web App</v>
      </c>
      <c r="L1852" s="15">
        <v>1016.0</v>
      </c>
      <c r="M1852" s="15">
        <v>889.0</v>
      </c>
      <c r="N1852" s="15">
        <v>12.0</v>
      </c>
      <c r="O1852" s="16"/>
      <c r="P1852" s="17">
        <v>39918.09133101852</v>
      </c>
      <c r="Q1852" s="10" t="s">
        <v>7971</v>
      </c>
      <c r="R1852" s="10" t="s">
        <v>7972</v>
      </c>
      <c r="S1852" s="11" t="s">
        <v>7973</v>
      </c>
      <c r="T1852" s="13"/>
      <c r="U1852" s="18" t="str">
        <f>HYPERLINK("https://pbs.twimg.com/profile_images/1192348615676743680/qujKYi1x.jpg","View")</f>
        <v>View</v>
      </c>
      <c r="V1852" s="13"/>
      <c r="W1852" s="13"/>
      <c r="X1852" s="13"/>
      <c r="Y1852" s="13"/>
      <c r="Z1852" s="13"/>
    </row>
    <row r="1853">
      <c r="A1853" s="8">
        <v>43848.28125</v>
      </c>
      <c r="B1853" s="9" t="str">
        <f>HYPERLINK("https://twitter.com/BarnesGeorge7","@BarnesGeorge7")</f>
        <v>@BarnesGeorge7</v>
      </c>
      <c r="C1853" s="10" t="s">
        <v>4496</v>
      </c>
      <c r="D1853" s="10" t="s">
        <v>7974</v>
      </c>
      <c r="E1853" s="9" t="str">
        <f>HYPERLINK("https://twitter.com/BarnesGeorge7/status/1218499525662380032","1218499525662380032")</f>
        <v>1218499525662380032</v>
      </c>
      <c r="F1853" s="11" t="s">
        <v>7975</v>
      </c>
      <c r="G1853" s="11" t="s">
        <v>7976</v>
      </c>
      <c r="H1853" s="13"/>
      <c r="I1853" s="14">
        <v>0.0</v>
      </c>
      <c r="J1853" s="14">
        <v>0.0</v>
      </c>
      <c r="K1853" s="9" t="str">
        <f t="shared" si="230"/>
        <v>Twitter Web App</v>
      </c>
      <c r="L1853" s="15">
        <v>5.0</v>
      </c>
      <c r="M1853" s="15">
        <v>6.0</v>
      </c>
      <c r="N1853" s="15">
        <v>0.0</v>
      </c>
      <c r="O1853" s="16"/>
      <c r="P1853" s="17">
        <v>43844.3974537037</v>
      </c>
      <c r="Q1853" s="10" t="s">
        <v>2323</v>
      </c>
      <c r="R1853" s="10" t="s">
        <v>4500</v>
      </c>
      <c r="S1853" s="11" t="s">
        <v>4501</v>
      </c>
      <c r="T1853" s="13"/>
      <c r="U1853" s="18" t="str">
        <f>HYPERLINK("https://pbs.twimg.com/profile_images/1217092596247465985/M4LUqFcc.jpg","View")</f>
        <v>View</v>
      </c>
      <c r="V1853" s="13"/>
      <c r="W1853" s="13"/>
      <c r="X1853" s="13"/>
      <c r="Y1853" s="13"/>
      <c r="Z1853" s="13"/>
    </row>
    <row r="1854">
      <c r="A1854" s="8">
        <v>43848.28120370371</v>
      </c>
      <c r="B1854" s="9" t="str">
        <f>HYPERLINK("https://twitter.com/StaceyBingLtd","@StaceyBingLtd")</f>
        <v>@StaceyBingLtd</v>
      </c>
      <c r="C1854" s="10" t="s">
        <v>3942</v>
      </c>
      <c r="D1854" s="10" t="s">
        <v>7977</v>
      </c>
      <c r="E1854" s="9" t="str">
        <f>HYPERLINK("https://twitter.com/StaceyBingLtd/status/1218499510558756864","1218499510558756864")</f>
        <v>1218499510558756864</v>
      </c>
      <c r="F1854" s="11" t="s">
        <v>7978</v>
      </c>
      <c r="G1854" s="13"/>
      <c r="H1854" s="13"/>
      <c r="I1854" s="14">
        <v>2.0</v>
      </c>
      <c r="J1854" s="14">
        <v>4.0</v>
      </c>
      <c r="K1854" s="9" t="str">
        <f t="shared" si="230"/>
        <v>Twitter Web App</v>
      </c>
      <c r="L1854" s="15">
        <v>320.0</v>
      </c>
      <c r="M1854" s="15">
        <v>1133.0</v>
      </c>
      <c r="N1854" s="15">
        <v>1.0</v>
      </c>
      <c r="O1854" s="16"/>
      <c r="P1854" s="17">
        <v>43556.586064814815</v>
      </c>
      <c r="Q1854" s="13"/>
      <c r="R1854" s="10" t="s">
        <v>3945</v>
      </c>
      <c r="S1854" s="11" t="s">
        <v>3946</v>
      </c>
      <c r="T1854" s="13"/>
      <c r="U1854" s="18" t="str">
        <f>HYPERLINK("https://pbs.twimg.com/profile_images/1115642345322614784/vvGK5Lwh.png","View")</f>
        <v>View</v>
      </c>
      <c r="V1854" s="13"/>
      <c r="W1854" s="13"/>
      <c r="X1854" s="13"/>
      <c r="Y1854" s="13"/>
      <c r="Z1854" s="13"/>
    </row>
    <row r="1855">
      <c r="A1855" s="8">
        <v>43848.28011574074</v>
      </c>
      <c r="B1855" s="9" t="str">
        <f>HYPERLINK("https://twitter.com/coachthabisoza","@coachthabisoza")</f>
        <v>@coachthabisoza</v>
      </c>
      <c r="C1855" s="10" t="s">
        <v>7979</v>
      </c>
      <c r="D1855" s="10" t="s">
        <v>7980</v>
      </c>
      <c r="E1855" s="9" t="str">
        <f>HYPERLINK("https://twitter.com/coachthabisoza/status/1218499117518901250","1218499117518901250")</f>
        <v>1218499117518901250</v>
      </c>
      <c r="F1855" s="13"/>
      <c r="G1855" s="11" t="s">
        <v>7981</v>
      </c>
      <c r="H1855" s="13"/>
      <c r="I1855" s="14">
        <v>3.0</v>
      </c>
      <c r="J1855" s="14">
        <v>10.0</v>
      </c>
      <c r="K1855" s="9" t="str">
        <f>HYPERLINK("http://twitter.com/download/android","Twitter for Android")</f>
        <v>Twitter for Android</v>
      </c>
      <c r="L1855" s="15">
        <v>1447.0</v>
      </c>
      <c r="M1855" s="15">
        <v>1461.0</v>
      </c>
      <c r="N1855" s="15">
        <v>23.0</v>
      </c>
      <c r="O1855" s="16"/>
      <c r="P1855" s="17">
        <v>40940.50446759259</v>
      </c>
      <c r="Q1855" s="10" t="s">
        <v>7982</v>
      </c>
      <c r="R1855" s="10" t="s">
        <v>7983</v>
      </c>
      <c r="S1855" s="11" t="s">
        <v>7984</v>
      </c>
      <c r="T1855" s="13"/>
      <c r="U1855" s="18" t="str">
        <f>HYPERLINK("https://pbs.twimg.com/profile_images/1001156681567490049/0hjqX4Nn.jpg","View")</f>
        <v>View</v>
      </c>
      <c r="V1855" s="13"/>
      <c r="W1855" s="13"/>
      <c r="X1855" s="13"/>
      <c r="Y1855" s="13"/>
      <c r="Z1855" s="13"/>
    </row>
    <row r="1856">
      <c r="A1856" s="8">
        <v>43848.27920138889</v>
      </c>
      <c r="B1856" s="9" t="str">
        <f>HYPERLINK("https://twitter.com/BessamFarjo","@BessamFarjo")</f>
        <v>@BessamFarjo</v>
      </c>
      <c r="C1856" s="10" t="s">
        <v>7985</v>
      </c>
      <c r="D1856" s="10" t="s">
        <v>7986</v>
      </c>
      <c r="E1856" s="9" t="str">
        <f>HYPERLINK("https://twitter.com/BessamFarjo/status/1218498785451573248","1218498785451573248")</f>
        <v>1218498785451573248</v>
      </c>
      <c r="F1856" s="11" t="s">
        <v>7987</v>
      </c>
      <c r="G1856" s="13"/>
      <c r="H1856" s="13"/>
      <c r="I1856" s="14">
        <v>0.0</v>
      </c>
      <c r="J1856" s="14">
        <v>0.0</v>
      </c>
      <c r="K1856" s="9" t="str">
        <f>HYPERLINK("http://twitter.com/download/iphone","Twitter for iPhone")</f>
        <v>Twitter for iPhone</v>
      </c>
      <c r="L1856" s="15">
        <v>4257.0</v>
      </c>
      <c r="M1856" s="15">
        <v>943.0</v>
      </c>
      <c r="N1856" s="15">
        <v>78.0</v>
      </c>
      <c r="O1856" s="16"/>
      <c r="P1856" s="17">
        <v>39893.50896990741</v>
      </c>
      <c r="Q1856" s="10" t="s">
        <v>7988</v>
      </c>
      <c r="R1856" s="10" t="s">
        <v>7989</v>
      </c>
      <c r="S1856" s="11" t="s">
        <v>7990</v>
      </c>
      <c r="T1856" s="13"/>
      <c r="U1856" s="18" t="str">
        <f>HYPERLINK("https://pbs.twimg.com/profile_images/1037691079980720128/mSKm3UCw.jpg","View")</f>
        <v>View</v>
      </c>
      <c r="V1856" s="13"/>
      <c r="W1856" s="13"/>
      <c r="X1856" s="13"/>
      <c r="Y1856" s="13"/>
      <c r="Z1856" s="13"/>
    </row>
    <row r="1857">
      <c r="A1857" s="8">
        <v>43848.278599537036</v>
      </c>
      <c r="B1857" s="9" t="str">
        <f>HYPERLINK("https://twitter.com/vera_anz","@vera_anz")</f>
        <v>@vera_anz</v>
      </c>
      <c r="C1857" s="10" t="s">
        <v>7991</v>
      </c>
      <c r="D1857" s="10" t="s">
        <v>7992</v>
      </c>
      <c r="E1857" s="9" t="str">
        <f>HYPERLINK("https://twitter.com/vera_anz/status/1218498566219608064","1218498566219608064")</f>
        <v>1218498566219608064</v>
      </c>
      <c r="F1857" s="13"/>
      <c r="G1857" s="11" t="s">
        <v>7993</v>
      </c>
      <c r="H1857" s="13"/>
      <c r="I1857" s="14">
        <v>0.0</v>
      </c>
      <c r="J1857" s="14">
        <v>0.0</v>
      </c>
      <c r="K1857" s="9" t="str">
        <f>HYPERLINK("https://crowdfireapp.com","Crowdfire App")</f>
        <v>Crowdfire App</v>
      </c>
      <c r="L1857" s="15">
        <v>24867.0</v>
      </c>
      <c r="M1857" s="15">
        <v>23543.0</v>
      </c>
      <c r="N1857" s="15">
        <v>37.0</v>
      </c>
      <c r="O1857" s="16"/>
      <c r="P1857" s="17">
        <v>40295.139178240745</v>
      </c>
      <c r="Q1857" s="10" t="s">
        <v>7994</v>
      </c>
      <c r="R1857" s="10" t="s">
        <v>7995</v>
      </c>
      <c r="S1857" s="13"/>
      <c r="T1857" s="13"/>
      <c r="U1857" s="18" t="str">
        <f>HYPERLINK("https://pbs.twimg.com/profile_images/1192996970551480321/pz7BFD6z.jpg","View")</f>
        <v>View</v>
      </c>
      <c r="V1857" s="13"/>
      <c r="W1857" s="13"/>
      <c r="X1857" s="13"/>
      <c r="Y1857" s="13"/>
      <c r="Z1857" s="13"/>
    </row>
    <row r="1858">
      <c r="A1858" s="8">
        <v>43848.27789351852</v>
      </c>
      <c r="B1858" s="9" t="str">
        <f>HYPERLINK("https://twitter.com/AJMHLIMITED","@AJMHLIMITED")</f>
        <v>@AJMHLIMITED</v>
      </c>
      <c r="C1858" s="10" t="s">
        <v>7996</v>
      </c>
      <c r="D1858" s="10" t="s">
        <v>7997</v>
      </c>
      <c r="E1858" s="9" t="str">
        <f>HYPERLINK("https://twitter.com/AJMHLIMITED/status/1218498311042338816","1218498311042338816")</f>
        <v>1218498311042338816</v>
      </c>
      <c r="F1858" s="13"/>
      <c r="G1858" s="11" t="s">
        <v>7998</v>
      </c>
      <c r="H1858" s="13"/>
      <c r="I1858" s="14">
        <v>0.0</v>
      </c>
      <c r="J1858" s="14">
        <v>0.0</v>
      </c>
      <c r="K1858" s="9" t="str">
        <f t="shared" ref="K1858:K1861" si="231">HYPERLINK("https://mobile.twitter.com","Twitter Web App")</f>
        <v>Twitter Web App</v>
      </c>
      <c r="L1858" s="15">
        <v>69.0</v>
      </c>
      <c r="M1858" s="15">
        <v>39.0</v>
      </c>
      <c r="N1858" s="15">
        <v>1.0</v>
      </c>
      <c r="O1858" s="16"/>
      <c r="P1858" s="17">
        <v>43225.531956018516</v>
      </c>
      <c r="Q1858" s="10" t="s">
        <v>7999</v>
      </c>
      <c r="R1858" s="10" t="s">
        <v>8000</v>
      </c>
      <c r="S1858" s="11" t="s">
        <v>8001</v>
      </c>
      <c r="T1858" s="13"/>
      <c r="U1858" s="18" t="str">
        <f>HYPERLINK("https://pbs.twimg.com/profile_images/1001054663075082240/V2aWTz6g.jpg","View")</f>
        <v>View</v>
      </c>
      <c r="V1858" s="13"/>
      <c r="W1858" s="13"/>
      <c r="X1858" s="13"/>
      <c r="Y1858" s="13"/>
      <c r="Z1858" s="13"/>
    </row>
    <row r="1859">
      <c r="A1859" s="8">
        <v>43848.277604166666</v>
      </c>
      <c r="B1859" s="9" t="str">
        <f>HYPERLINK("https://twitter.com/ardianyulia","@ardianyulia")</f>
        <v>@ardianyulia</v>
      </c>
      <c r="C1859" s="10" t="s">
        <v>8002</v>
      </c>
      <c r="D1859" s="10" t="s">
        <v>238</v>
      </c>
      <c r="E1859" s="9" t="str">
        <f>HYPERLINK("https://twitter.com/ardianyulia/status/1218498206608195586","1218498206608195586")</f>
        <v>1218498206608195586</v>
      </c>
      <c r="F1859" s="13"/>
      <c r="G1859" s="13"/>
      <c r="H1859" s="13"/>
      <c r="I1859" s="14">
        <v>0.0</v>
      </c>
      <c r="J1859" s="14">
        <v>0.0</v>
      </c>
      <c r="K1859" s="9" t="str">
        <f t="shared" si="231"/>
        <v>Twitter Web App</v>
      </c>
      <c r="L1859" s="15">
        <v>79.0</v>
      </c>
      <c r="M1859" s="15">
        <v>120.0</v>
      </c>
      <c r="N1859" s="15">
        <v>0.0</v>
      </c>
      <c r="O1859" s="16"/>
      <c r="P1859" s="17">
        <v>40554.2903125</v>
      </c>
      <c r="Q1859" s="13"/>
      <c r="R1859" s="10" t="s">
        <v>8003</v>
      </c>
      <c r="S1859" s="13"/>
      <c r="T1859" s="13"/>
      <c r="U1859" s="18" t="str">
        <f>HYPERLINK("https://pbs.twimg.com/profile_images/1185839492139061248/S1CAbIyp.jpg","View")</f>
        <v>View</v>
      </c>
      <c r="V1859" s="13"/>
      <c r="W1859" s="13"/>
      <c r="X1859" s="13"/>
      <c r="Y1859" s="13"/>
      <c r="Z1859" s="13"/>
    </row>
    <row r="1860">
      <c r="A1860" s="8">
        <v>43848.27755787037</v>
      </c>
      <c r="B1860" s="9" t="str">
        <f>HYPERLINK("https://twitter.com/cmueller_PhD","@cmueller_PhD")</f>
        <v>@cmueller_PhD</v>
      </c>
      <c r="C1860" s="10" t="s">
        <v>7968</v>
      </c>
      <c r="D1860" s="10" t="s">
        <v>8004</v>
      </c>
      <c r="E1860" s="9" t="str">
        <f>HYPERLINK("https://twitter.com/cmueller_PhD/status/1218498189554278400","1218498189554278400")</f>
        <v>1218498189554278400</v>
      </c>
      <c r="F1860" s="11" t="s">
        <v>8005</v>
      </c>
      <c r="G1860" s="11" t="s">
        <v>8006</v>
      </c>
      <c r="H1860" s="13"/>
      <c r="I1860" s="14">
        <v>0.0</v>
      </c>
      <c r="J1860" s="14">
        <v>8.0</v>
      </c>
      <c r="K1860" s="9" t="str">
        <f t="shared" si="231"/>
        <v>Twitter Web App</v>
      </c>
      <c r="L1860" s="15">
        <v>1016.0</v>
      </c>
      <c r="M1860" s="15">
        <v>889.0</v>
      </c>
      <c r="N1860" s="15">
        <v>12.0</v>
      </c>
      <c r="O1860" s="16"/>
      <c r="P1860" s="17">
        <v>39918.09133101852</v>
      </c>
      <c r="Q1860" s="10" t="s">
        <v>7971</v>
      </c>
      <c r="R1860" s="10" t="s">
        <v>7972</v>
      </c>
      <c r="S1860" s="11" t="s">
        <v>7973</v>
      </c>
      <c r="T1860" s="13"/>
      <c r="U1860" s="18" t="str">
        <f>HYPERLINK("https://pbs.twimg.com/profile_images/1192348615676743680/qujKYi1x.jpg","View")</f>
        <v>View</v>
      </c>
      <c r="V1860" s="13"/>
      <c r="W1860" s="13"/>
      <c r="X1860" s="13"/>
      <c r="Y1860" s="13"/>
      <c r="Z1860" s="13"/>
    </row>
    <row r="1861">
      <c r="A1861" s="8">
        <v>43848.27746527777</v>
      </c>
      <c r="B1861" s="9" t="str">
        <f>HYPERLINK("https://twitter.com/YoungWomensAll1","@YoungWomensAll1")</f>
        <v>@YoungWomensAll1</v>
      </c>
      <c r="C1861" s="10" t="s">
        <v>8007</v>
      </c>
      <c r="D1861" s="10" t="s">
        <v>8008</v>
      </c>
      <c r="E1861" s="9" t="str">
        <f>HYPERLINK("https://twitter.com/YoungWomensAll1/status/1218498153835585537","1218498153835585537")</f>
        <v>1218498153835585537</v>
      </c>
      <c r="F1861" s="13"/>
      <c r="G1861" s="11" t="s">
        <v>8009</v>
      </c>
      <c r="H1861" s="13"/>
      <c r="I1861" s="14">
        <v>0.0</v>
      </c>
      <c r="J1861" s="14">
        <v>1.0</v>
      </c>
      <c r="K1861" s="9" t="str">
        <f t="shared" si="231"/>
        <v>Twitter Web App</v>
      </c>
      <c r="L1861" s="15">
        <v>107.0</v>
      </c>
      <c r="M1861" s="15">
        <v>156.0</v>
      </c>
      <c r="N1861" s="15">
        <v>0.0</v>
      </c>
      <c r="O1861" s="16"/>
      <c r="P1861" s="17">
        <v>43242.25383101852</v>
      </c>
      <c r="Q1861" s="10" t="s">
        <v>8010</v>
      </c>
      <c r="R1861" s="13"/>
      <c r="S1861" s="11" t="s">
        <v>8011</v>
      </c>
      <c r="T1861" s="13"/>
      <c r="U1861" s="18" t="str">
        <f>HYPERLINK("https://pbs.twimg.com/profile_images/998875273268363265/HVZFAC6t.jpg","View")</f>
        <v>View</v>
      </c>
      <c r="V1861" s="13"/>
      <c r="W1861" s="13"/>
      <c r="X1861" s="13"/>
      <c r="Y1861" s="13"/>
      <c r="Z1861" s="13"/>
    </row>
    <row r="1862">
      <c r="A1862" s="8">
        <v>43848.27689814815</v>
      </c>
      <c r="B1862" s="9" t="str">
        <f>HYPERLINK("https://twitter.com/Nas17270404","@Nas17270404")</f>
        <v>@Nas17270404</v>
      </c>
      <c r="C1862" s="10" t="s">
        <v>8012</v>
      </c>
      <c r="D1862" s="10" t="s">
        <v>8013</v>
      </c>
      <c r="E1862" s="9" t="str">
        <f>HYPERLINK("https://twitter.com/Nas17270404/status/1218497948457357312","1218497948457357312")</f>
        <v>1218497948457357312</v>
      </c>
      <c r="F1862" s="13"/>
      <c r="G1862" s="13"/>
      <c r="H1862" s="13"/>
      <c r="I1862" s="14">
        <v>0.0</v>
      </c>
      <c r="J1862" s="14">
        <v>0.0</v>
      </c>
      <c r="K1862" s="9" t="str">
        <f>HYPERLINK("http://twitter.com/download/android","Twitter for Android")</f>
        <v>Twitter for Android</v>
      </c>
      <c r="L1862" s="15">
        <v>32.0</v>
      </c>
      <c r="M1862" s="15">
        <v>56.0</v>
      </c>
      <c r="N1862" s="15">
        <v>0.0</v>
      </c>
      <c r="O1862" s="16"/>
      <c r="P1862" s="17">
        <v>41080.313993055555</v>
      </c>
      <c r="Q1862" s="13"/>
      <c r="R1862" s="10" t="s">
        <v>8014</v>
      </c>
      <c r="S1862" s="13"/>
      <c r="T1862" s="13"/>
      <c r="U1862" s="18" t="str">
        <f>HYPERLINK("https://pbs.twimg.com/profile_images/1148671545298116611/MpH0C19h.jpg","View")</f>
        <v>View</v>
      </c>
      <c r="V1862" s="13"/>
      <c r="W1862" s="13"/>
      <c r="X1862" s="13"/>
      <c r="Y1862" s="13"/>
      <c r="Z1862" s="13"/>
    </row>
    <row r="1863">
      <c r="A1863" s="8">
        <v>43848.27657407407</v>
      </c>
      <c r="B1863" s="9" t="str">
        <f>HYPERLINK("https://twitter.com/Lynnesy1","@Lynnesy1")</f>
        <v>@Lynnesy1</v>
      </c>
      <c r="C1863" s="10" t="s">
        <v>8015</v>
      </c>
      <c r="D1863" s="10" t="s">
        <v>8016</v>
      </c>
      <c r="E1863" s="9" t="str">
        <f>HYPERLINK("https://twitter.com/Lynnesy1/status/1218497830349869056","1218497830349869056")</f>
        <v>1218497830349869056</v>
      </c>
      <c r="F1863" s="13"/>
      <c r="G1863" s="11" t="s">
        <v>8017</v>
      </c>
      <c r="H1863" s="13"/>
      <c r="I1863" s="14">
        <v>0.0</v>
      </c>
      <c r="J1863" s="14">
        <v>13.0</v>
      </c>
      <c r="K1863" s="9" t="str">
        <f>HYPERLINK("http://twitter.com/download/iphone","Twitter for iPhone")</f>
        <v>Twitter for iPhone</v>
      </c>
      <c r="L1863" s="15">
        <v>465.0</v>
      </c>
      <c r="M1863" s="15">
        <v>431.0</v>
      </c>
      <c r="N1863" s="15">
        <v>7.0</v>
      </c>
      <c r="O1863" s="16"/>
      <c r="P1863" s="17">
        <v>40033.5578125</v>
      </c>
      <c r="Q1863" s="10" t="s">
        <v>8018</v>
      </c>
      <c r="R1863" s="10" t="s">
        <v>8019</v>
      </c>
      <c r="S1863" s="13"/>
      <c r="T1863" s="13"/>
      <c r="U1863" s="18" t="str">
        <f>HYPERLINK("https://pbs.twimg.com/profile_images/1031475007891886081/SSovZbUi.jpg","View")</f>
        <v>View</v>
      </c>
      <c r="V1863" s="13"/>
      <c r="W1863" s="13"/>
      <c r="X1863" s="13"/>
      <c r="Y1863" s="13"/>
      <c r="Z1863" s="13"/>
    </row>
    <row r="1864">
      <c r="A1864" s="8">
        <v>43848.275624999995</v>
      </c>
      <c r="B1864" s="9" t="str">
        <f>HYPERLINK("https://twitter.com/LittlebexQ","@LittlebexQ")</f>
        <v>@LittlebexQ</v>
      </c>
      <c r="C1864" s="10" t="s">
        <v>8020</v>
      </c>
      <c r="D1864" s="10" t="s">
        <v>8021</v>
      </c>
      <c r="E1864" s="9" t="str">
        <f>HYPERLINK("https://twitter.com/LittlebexQ/status/1218497489000681472","1218497489000681472")</f>
        <v>1218497489000681472</v>
      </c>
      <c r="F1864" s="13"/>
      <c r="G1864" s="11" t="s">
        <v>8022</v>
      </c>
      <c r="H1864" s="13"/>
      <c r="I1864" s="14">
        <v>0.0</v>
      </c>
      <c r="J1864" s="14">
        <v>4.0</v>
      </c>
      <c r="K1864" s="9" t="str">
        <f t="shared" ref="K1864:K1865" si="232">HYPERLINK("http://twitter.com/download/android","Twitter for Android")</f>
        <v>Twitter for Android</v>
      </c>
      <c r="L1864" s="15">
        <v>493.0</v>
      </c>
      <c r="M1864" s="15">
        <v>863.0</v>
      </c>
      <c r="N1864" s="15">
        <v>7.0</v>
      </c>
      <c r="O1864" s="16"/>
      <c r="P1864" s="17">
        <v>42474.65027777778</v>
      </c>
      <c r="Q1864" s="10" t="s">
        <v>3849</v>
      </c>
      <c r="R1864" s="10" t="s">
        <v>8023</v>
      </c>
      <c r="S1864" s="13"/>
      <c r="T1864" s="13"/>
      <c r="U1864" s="18" t="str">
        <f>HYPERLINK("https://pbs.twimg.com/profile_images/1088510246513971200/ZVijFbvk.jpg","View")</f>
        <v>View</v>
      </c>
      <c r="V1864" s="13"/>
      <c r="W1864" s="13"/>
      <c r="X1864" s="13"/>
      <c r="Y1864" s="13"/>
      <c r="Z1864" s="13"/>
    </row>
    <row r="1865">
      <c r="A1865" s="8">
        <v>43848.27380787037</v>
      </c>
      <c r="B1865" s="9" t="str">
        <f>HYPERLINK("https://twitter.com/SouthDevon_SC","@SouthDevon_SC")</f>
        <v>@SouthDevon_SC</v>
      </c>
      <c r="C1865" s="10" t="s">
        <v>8024</v>
      </c>
      <c r="D1865" s="10" t="s">
        <v>8025</v>
      </c>
      <c r="E1865" s="9" t="str">
        <f>HYPERLINK("https://twitter.com/SouthDevon_SC/status/1218496830155173891","1218496830155173891")</f>
        <v>1218496830155173891</v>
      </c>
      <c r="F1865" s="13"/>
      <c r="G1865" s="11" t="s">
        <v>8026</v>
      </c>
      <c r="H1865" s="13"/>
      <c r="I1865" s="14">
        <v>0.0</v>
      </c>
      <c r="J1865" s="14">
        <v>13.0</v>
      </c>
      <c r="K1865" s="9" t="str">
        <f t="shared" si="232"/>
        <v>Twitter for Android</v>
      </c>
      <c r="L1865" s="15">
        <v>710.0</v>
      </c>
      <c r="M1865" s="15">
        <v>361.0</v>
      </c>
      <c r="N1865" s="15">
        <v>6.0</v>
      </c>
      <c r="O1865" s="16"/>
      <c r="P1865" s="17">
        <v>43134.57609953704</v>
      </c>
      <c r="Q1865" s="13"/>
      <c r="R1865" s="10" t="s">
        <v>8027</v>
      </c>
      <c r="S1865" s="13"/>
      <c r="T1865" s="13"/>
      <c r="U1865" s="18" t="str">
        <f>HYPERLINK("https://pbs.twimg.com/profile_images/959868783539249152/agdokdSP.jpg","View")</f>
        <v>View</v>
      </c>
      <c r="V1865" s="13"/>
      <c r="W1865" s="13"/>
      <c r="X1865" s="13"/>
      <c r="Y1865" s="13"/>
      <c r="Z1865" s="13"/>
    </row>
    <row r="1866">
      <c r="A1866" s="8">
        <v>43848.27346064815</v>
      </c>
      <c r="B1866" s="9" t="str">
        <f>HYPERLINK("https://twitter.com/CouForCou","@CouForCou")</f>
        <v>@CouForCou</v>
      </c>
      <c r="C1866" s="10" t="s">
        <v>8028</v>
      </c>
      <c r="D1866" s="10" t="s">
        <v>238</v>
      </c>
      <c r="E1866" s="9" t="str">
        <f>HYPERLINK("https://twitter.com/CouForCou/status/1218496703445241857","1218496703445241857")</f>
        <v>1218496703445241857</v>
      </c>
      <c r="F1866" s="13"/>
      <c r="G1866" s="13"/>
      <c r="H1866" s="13"/>
      <c r="I1866" s="14">
        <v>0.0</v>
      </c>
      <c r="J1866" s="14">
        <v>1.0</v>
      </c>
      <c r="K1866" s="9" t="str">
        <f>HYPERLINK("https://mobile.twitter.com","Twitter Web App")</f>
        <v>Twitter Web App</v>
      </c>
      <c r="L1866" s="15">
        <v>134.0</v>
      </c>
      <c r="M1866" s="15">
        <v>604.0</v>
      </c>
      <c r="N1866" s="15">
        <v>1.0</v>
      </c>
      <c r="O1866" s="16"/>
      <c r="P1866" s="17">
        <v>42015.496979166666</v>
      </c>
      <c r="Q1866" s="10" t="s">
        <v>8029</v>
      </c>
      <c r="R1866" s="10" t="s">
        <v>8030</v>
      </c>
      <c r="S1866" s="13"/>
      <c r="T1866" s="13"/>
      <c r="U1866" s="18" t="str">
        <f>HYPERLINK("https://pbs.twimg.com/profile_images/963722482757918721/gRDmbIuu.jpg","View")</f>
        <v>View</v>
      </c>
      <c r="V1866" s="13"/>
      <c r="W1866" s="13"/>
      <c r="X1866" s="13"/>
      <c r="Y1866" s="13"/>
      <c r="Z1866" s="13"/>
    </row>
    <row r="1867">
      <c r="A1867" s="8">
        <v>43848.2734375</v>
      </c>
      <c r="B1867" s="9" t="str">
        <f>HYPERLINK("https://twitter.com/drtjap","@drtjap")</f>
        <v>@drtjap</v>
      </c>
      <c r="C1867" s="10" t="s">
        <v>8031</v>
      </c>
      <c r="D1867" s="10" t="s">
        <v>8032</v>
      </c>
      <c r="E1867" s="9" t="str">
        <f>HYPERLINK("https://twitter.com/drtjap/status/1218496694012260352","1218496694012260352")</f>
        <v>1218496694012260352</v>
      </c>
      <c r="F1867" s="10" t="s">
        <v>8033</v>
      </c>
      <c r="G1867" s="11" t="s">
        <v>8034</v>
      </c>
      <c r="H1867" s="13"/>
      <c r="I1867" s="14">
        <v>0.0</v>
      </c>
      <c r="J1867" s="14">
        <v>1.0</v>
      </c>
      <c r="K1867" s="9" t="str">
        <f>HYPERLINK("http://twitter.com/download/iphone","Twitter for iPhone")</f>
        <v>Twitter for iPhone</v>
      </c>
      <c r="L1867" s="15">
        <v>180.0</v>
      </c>
      <c r="M1867" s="15">
        <v>81.0</v>
      </c>
      <c r="N1867" s="15">
        <v>2.0</v>
      </c>
      <c r="O1867" s="16"/>
      <c r="P1867" s="17">
        <v>42422.593298611115</v>
      </c>
      <c r="Q1867" s="13"/>
      <c r="R1867" s="10" t="s">
        <v>8035</v>
      </c>
      <c r="S1867" s="11" t="s">
        <v>8036</v>
      </c>
      <c r="T1867" s="13"/>
      <c r="U1867" s="18" t="str">
        <f>HYPERLINK("https://pbs.twimg.com/profile_images/1131948632201191426/RgxvlXAn.png","View")</f>
        <v>View</v>
      </c>
      <c r="V1867" s="13"/>
      <c r="W1867" s="13"/>
      <c r="X1867" s="13"/>
      <c r="Y1867" s="13"/>
      <c r="Z1867" s="13"/>
    </row>
    <row r="1868">
      <c r="A1868" s="8">
        <v>43848.27291666667</v>
      </c>
      <c r="B1868" s="9" t="str">
        <f>HYPERLINK("https://twitter.com/OpenUniPress","@OpenUniPress")</f>
        <v>@OpenUniPress</v>
      </c>
      <c r="C1868" s="10" t="s">
        <v>8037</v>
      </c>
      <c r="D1868" s="10" t="s">
        <v>8038</v>
      </c>
      <c r="E1868" s="9" t="str">
        <f>HYPERLINK("https://twitter.com/OpenUniPress/status/1218496505964744705","1218496505964744705")</f>
        <v>1218496505964744705</v>
      </c>
      <c r="F1868" s="11" t="s">
        <v>8039</v>
      </c>
      <c r="G1868" s="13"/>
      <c r="H1868" s="13"/>
      <c r="I1868" s="14">
        <v>0.0</v>
      </c>
      <c r="J1868" s="14">
        <v>0.0</v>
      </c>
      <c r="K1868" s="9" t="str">
        <f>HYPERLINK("https://about.twitter.com/products/tweetdeck","TweetDeck")</f>
        <v>TweetDeck</v>
      </c>
      <c r="L1868" s="15">
        <v>470.0</v>
      </c>
      <c r="M1868" s="15">
        <v>289.0</v>
      </c>
      <c r="N1868" s="15">
        <v>17.0</v>
      </c>
      <c r="O1868" s="16"/>
      <c r="P1868" s="17">
        <v>40187.209189814814</v>
      </c>
      <c r="Q1868" s="10" t="s">
        <v>95</v>
      </c>
      <c r="R1868" s="10" t="s">
        <v>8040</v>
      </c>
      <c r="S1868" s="11" t="s">
        <v>8041</v>
      </c>
      <c r="T1868" s="13"/>
      <c r="U1868" s="18" t="str">
        <f>HYPERLINK("https://pbs.twimg.com/profile_images/963786774354038790/E3nxBcX6.jpg","View")</f>
        <v>View</v>
      </c>
      <c r="V1868" s="13"/>
      <c r="W1868" s="13"/>
      <c r="X1868" s="13"/>
      <c r="Y1868" s="13"/>
      <c r="Z1868" s="13"/>
    </row>
    <row r="1869">
      <c r="A1869" s="8">
        <v>43848.27282407407</v>
      </c>
      <c r="B1869" s="9" t="str">
        <f>HYPERLINK("https://twitter.com/theliesofbryan","@theliesofbryan")</f>
        <v>@theliesofbryan</v>
      </c>
      <c r="C1869" s="10" t="s">
        <v>8042</v>
      </c>
      <c r="D1869" s="10" t="s">
        <v>8043</v>
      </c>
      <c r="E1869" s="9" t="str">
        <f>HYPERLINK("https://twitter.com/theliesofbryan/status/1218496471642841089","1218496471642841089")</f>
        <v>1218496471642841089</v>
      </c>
      <c r="F1869" s="13"/>
      <c r="G1869" s="13"/>
      <c r="H1869" s="13"/>
      <c r="I1869" s="14">
        <v>0.0</v>
      </c>
      <c r="J1869" s="14">
        <v>3.0</v>
      </c>
      <c r="K1869" s="9" t="str">
        <f>HYPERLINK("http://twitter.com/download/android","Twitter for Android")</f>
        <v>Twitter for Android</v>
      </c>
      <c r="L1869" s="15">
        <v>3645.0</v>
      </c>
      <c r="M1869" s="15">
        <v>3699.0</v>
      </c>
      <c r="N1869" s="15">
        <v>28.0</v>
      </c>
      <c r="O1869" s="16"/>
      <c r="P1869" s="17">
        <v>43546.40127314815</v>
      </c>
      <c r="Q1869" s="10" t="s">
        <v>1442</v>
      </c>
      <c r="R1869" s="10" t="s">
        <v>8044</v>
      </c>
      <c r="S1869" s="13"/>
      <c r="T1869" s="13"/>
      <c r="U1869" s="18" t="str">
        <f>HYPERLINK("https://pbs.twimg.com/profile_images/1109087572129734656/wl1Bvycu.jpg","View")</f>
        <v>View</v>
      </c>
      <c r="V1869" s="13"/>
      <c r="W1869" s="13"/>
      <c r="X1869" s="13"/>
      <c r="Y1869" s="13"/>
      <c r="Z1869" s="13"/>
    </row>
    <row r="1870">
      <c r="A1870" s="8">
        <v>43848.271574074075</v>
      </c>
      <c r="B1870" s="9" t="str">
        <f>HYPERLINK("https://twitter.com/HeadWorry","@HeadWorry")</f>
        <v>@HeadWorry</v>
      </c>
      <c r="C1870" s="10" t="s">
        <v>8045</v>
      </c>
      <c r="D1870" s="10" t="s">
        <v>8046</v>
      </c>
      <c r="E1870" s="9" t="str">
        <f>HYPERLINK("https://twitter.com/HeadWorry/status/1218496019291344896","1218496019291344896")</f>
        <v>1218496019291344896</v>
      </c>
      <c r="F1870" s="11" t="s">
        <v>8047</v>
      </c>
      <c r="G1870" s="11" t="s">
        <v>8048</v>
      </c>
      <c r="H1870" s="13"/>
      <c r="I1870" s="14">
        <v>0.0</v>
      </c>
      <c r="J1870" s="14">
        <v>0.0</v>
      </c>
      <c r="K1870" s="9" t="str">
        <f>HYPERLINK("https://social.zoho.com","Zoho Social")</f>
        <v>Zoho Social</v>
      </c>
      <c r="L1870" s="15">
        <v>32.0</v>
      </c>
      <c r="M1870" s="15">
        <v>176.0</v>
      </c>
      <c r="N1870" s="15">
        <v>0.0</v>
      </c>
      <c r="O1870" s="16"/>
      <c r="P1870" s="17">
        <v>43660.53381944445</v>
      </c>
      <c r="Q1870" s="10" t="s">
        <v>2102</v>
      </c>
      <c r="R1870" s="10" t="s">
        <v>8049</v>
      </c>
      <c r="S1870" s="11" t="s">
        <v>8050</v>
      </c>
      <c r="T1870" s="13"/>
      <c r="U1870" s="18" t="str">
        <f>HYPERLINK("https://pbs.twimg.com/profile_images/1161663750950330379/ZVB_Rs9b.jpg","View")</f>
        <v>View</v>
      </c>
      <c r="V1870" s="13"/>
      <c r="W1870" s="13"/>
      <c r="X1870" s="13"/>
      <c r="Y1870" s="13"/>
      <c r="Z1870" s="13"/>
    </row>
    <row r="1871">
      <c r="A1871" s="8">
        <v>43848.27141203704</v>
      </c>
      <c r="B1871" s="9" t="str">
        <f>HYPERLINK("https://twitter.com/dramapoet","@dramapoet")</f>
        <v>@dramapoet</v>
      </c>
      <c r="C1871" s="10" t="s">
        <v>8051</v>
      </c>
      <c r="D1871" s="10" t="s">
        <v>8052</v>
      </c>
      <c r="E1871" s="9" t="str">
        <f>HYPERLINK("https://twitter.com/dramapoet/status/1218495959677665280","1218495959677665280")</f>
        <v>1218495959677665280</v>
      </c>
      <c r="F1871" s="13"/>
      <c r="G1871" s="11" t="s">
        <v>8053</v>
      </c>
      <c r="H1871" s="13"/>
      <c r="I1871" s="14">
        <v>30.0</v>
      </c>
      <c r="J1871" s="14">
        <v>145.0</v>
      </c>
      <c r="K1871" s="9" t="str">
        <f>HYPERLINK("https://mobile.twitter.com","Twitter Web App")</f>
        <v>Twitter Web App</v>
      </c>
      <c r="L1871" s="15">
        <v>4154.0</v>
      </c>
      <c r="M1871" s="15">
        <v>3981.0</v>
      </c>
      <c r="N1871" s="15">
        <v>35.0</v>
      </c>
      <c r="O1871" s="16"/>
      <c r="P1871" s="17">
        <v>41339.39028935185</v>
      </c>
      <c r="Q1871" s="10" t="s">
        <v>4493</v>
      </c>
      <c r="R1871" s="10" t="s">
        <v>8054</v>
      </c>
      <c r="S1871" s="13"/>
      <c r="T1871" s="13"/>
      <c r="U1871" s="18" t="str">
        <f>HYPERLINK("https://pbs.twimg.com/profile_images/962418758869544960/84WyXDSc.jpg","View")</f>
        <v>View</v>
      </c>
      <c r="V1871" s="13"/>
      <c r="W1871" s="13"/>
      <c r="X1871" s="13"/>
      <c r="Y1871" s="13"/>
      <c r="Z1871" s="13"/>
    </row>
    <row r="1872">
      <c r="A1872" s="8">
        <v>43848.271365740744</v>
      </c>
      <c r="B1872" s="9" t="str">
        <f>HYPERLINK("https://twitter.com/grammyhowes","@grammyhowes")</f>
        <v>@grammyhowes</v>
      </c>
      <c r="C1872" s="10" t="s">
        <v>8055</v>
      </c>
      <c r="D1872" s="10" t="s">
        <v>8056</v>
      </c>
      <c r="E1872" s="9" t="str">
        <f>HYPERLINK("https://twitter.com/grammyhowes/status/1218495943084896256","1218495943084896256")</f>
        <v>1218495943084896256</v>
      </c>
      <c r="F1872" s="10" t="s">
        <v>8057</v>
      </c>
      <c r="G1872" s="13"/>
      <c r="H1872" s="9" t="str">
        <f>HYPERLINK("https://ctrlq.org/maps/address/#52.05935619,1.16603952","Map")</f>
        <v>Map</v>
      </c>
      <c r="I1872" s="14">
        <v>1.0</v>
      </c>
      <c r="J1872" s="14">
        <v>1.0</v>
      </c>
      <c r="K1872" s="9" t="str">
        <f>HYPERLINK("http://instagram.com","Instagram")</f>
        <v>Instagram</v>
      </c>
      <c r="L1872" s="15">
        <v>591.0</v>
      </c>
      <c r="M1872" s="15">
        <v>589.0</v>
      </c>
      <c r="N1872" s="15">
        <v>135.0</v>
      </c>
      <c r="O1872" s="16"/>
      <c r="P1872" s="17">
        <v>40342.506273148145</v>
      </c>
      <c r="Q1872" s="10" t="s">
        <v>8058</v>
      </c>
      <c r="R1872" s="10" t="s">
        <v>8059</v>
      </c>
      <c r="S1872" s="11" t="s">
        <v>8060</v>
      </c>
      <c r="T1872" s="13"/>
      <c r="U1872" s="18" t="str">
        <f>HYPERLINK("https://pbs.twimg.com/profile_images/1147874922213101569/aopglX5V.jpg","View")</f>
        <v>View</v>
      </c>
      <c r="V1872" s="13"/>
      <c r="W1872" s="13"/>
      <c r="X1872" s="13"/>
      <c r="Y1872" s="13"/>
      <c r="Z1872" s="13"/>
    </row>
    <row r="1873">
      <c r="A1873" s="8">
        <v>43848.27123842592</v>
      </c>
      <c r="B1873" s="9" t="str">
        <f>HYPERLINK("https://twitter.com/CohenClinicCFV","@CohenClinicCFV")</f>
        <v>@CohenClinicCFV</v>
      </c>
      <c r="C1873" s="10" t="s">
        <v>8061</v>
      </c>
      <c r="D1873" s="10" t="s">
        <v>8062</v>
      </c>
      <c r="E1873" s="9" t="str">
        <f>HYPERLINK("https://twitter.com/CohenClinicCFV/status/1218495899279687683","1218495899279687683")</f>
        <v>1218495899279687683</v>
      </c>
      <c r="F1873" s="11" t="s">
        <v>8063</v>
      </c>
      <c r="G1873" s="11" t="s">
        <v>8064</v>
      </c>
      <c r="H1873" s="13"/>
      <c r="I1873" s="14">
        <v>0.0</v>
      </c>
      <c r="J1873" s="14">
        <v>0.0</v>
      </c>
      <c r="K1873" s="9" t="str">
        <f>HYPERLINK("http://twitter.com/download/iphone","Twitter for iPhone")</f>
        <v>Twitter for iPhone</v>
      </c>
      <c r="L1873" s="15">
        <v>167.0</v>
      </c>
      <c r="M1873" s="15">
        <v>179.0</v>
      </c>
      <c r="N1873" s="15">
        <v>5.0</v>
      </c>
      <c r="O1873" s="16"/>
      <c r="P1873" s="17">
        <v>42872.34725694444</v>
      </c>
      <c r="Q1873" s="10" t="s">
        <v>8065</v>
      </c>
      <c r="R1873" s="10" t="s">
        <v>8066</v>
      </c>
      <c r="S1873" s="11" t="s">
        <v>8067</v>
      </c>
      <c r="T1873" s="13"/>
      <c r="U1873" s="18" t="str">
        <f>HYPERLINK("https://pbs.twimg.com/profile_images/1088448677192945665/xM04Wp7V.jpg","View")</f>
        <v>View</v>
      </c>
      <c r="V1873" s="13"/>
      <c r="W1873" s="13"/>
      <c r="X1873" s="13"/>
      <c r="Y1873" s="13"/>
      <c r="Z1873" s="13"/>
    </row>
    <row r="1874">
      <c r="A1874" s="8">
        <v>43848.271145833336</v>
      </c>
      <c r="B1874" s="9" t="str">
        <f>HYPERLINK("https://twitter.com/mrshsfavthings","@mrshsfavthings")</f>
        <v>@mrshsfavthings</v>
      </c>
      <c r="C1874" s="10" t="s">
        <v>3087</v>
      </c>
      <c r="D1874" s="10" t="s">
        <v>8068</v>
      </c>
      <c r="E1874" s="9" t="str">
        <f>HYPERLINK("https://twitter.com/mrshsfavthings/status/1218495864945160192","1218495864945160192")</f>
        <v>1218495864945160192</v>
      </c>
      <c r="F1874" s="11" t="s">
        <v>8069</v>
      </c>
      <c r="G1874" s="11" t="s">
        <v>8070</v>
      </c>
      <c r="H1874" s="13"/>
      <c r="I1874" s="14">
        <v>0.0</v>
      </c>
      <c r="J1874" s="14">
        <v>0.0</v>
      </c>
      <c r="K1874" s="9" t="str">
        <f>HYPERLINK("https://www.socialoomph.com","SocialOomph")</f>
        <v>SocialOomph</v>
      </c>
      <c r="L1874" s="15">
        <v>13229.0</v>
      </c>
      <c r="M1874" s="15">
        <v>5676.0</v>
      </c>
      <c r="N1874" s="15">
        <v>294.0</v>
      </c>
      <c r="O1874" s="16"/>
      <c r="P1874" s="17">
        <v>40730.73159722222</v>
      </c>
      <c r="Q1874" s="10" t="s">
        <v>3091</v>
      </c>
      <c r="R1874" s="10" t="s">
        <v>3092</v>
      </c>
      <c r="S1874" s="11" t="s">
        <v>3093</v>
      </c>
      <c r="T1874" s="13"/>
      <c r="U1874" s="18" t="str">
        <f>HYPERLINK("https://pbs.twimg.com/profile_images/1038188406445096965/YtYZSF2H.jpg","View")</f>
        <v>View</v>
      </c>
      <c r="V1874" s="13"/>
      <c r="W1874" s="13"/>
      <c r="X1874" s="13"/>
      <c r="Y1874" s="13"/>
      <c r="Z1874" s="13"/>
    </row>
    <row r="1875">
      <c r="A1875" s="8">
        <v>43848.27111111111</v>
      </c>
      <c r="B1875" s="9" t="str">
        <f>HYPERLINK("https://twitter.com/DrRadhaModgil","@DrRadhaModgil")</f>
        <v>@DrRadhaModgil</v>
      </c>
      <c r="C1875" s="10" t="s">
        <v>8071</v>
      </c>
      <c r="D1875" s="10" t="s">
        <v>8072</v>
      </c>
      <c r="E1875" s="9" t="str">
        <f>HYPERLINK("https://twitter.com/DrRadhaModgil/status/1218495852634918914","1218495852634918914")</f>
        <v>1218495852634918914</v>
      </c>
      <c r="F1875" s="13"/>
      <c r="G1875" s="11" t="s">
        <v>8073</v>
      </c>
      <c r="H1875" s="13"/>
      <c r="I1875" s="14">
        <v>2.0</v>
      </c>
      <c r="J1875" s="14">
        <v>34.0</v>
      </c>
      <c r="K1875" s="9" t="str">
        <f>HYPERLINK("http://twitter.com/download/iphone","Twitter for iPhone")</f>
        <v>Twitter for iPhone</v>
      </c>
      <c r="L1875" s="15">
        <v>6727.0</v>
      </c>
      <c r="M1875" s="15">
        <v>489.0</v>
      </c>
      <c r="N1875" s="15">
        <v>82.0</v>
      </c>
      <c r="O1875" s="21" t="s">
        <v>522</v>
      </c>
      <c r="P1875" s="17">
        <v>40859.58060185185</v>
      </c>
      <c r="Q1875" s="13"/>
      <c r="R1875" s="10" t="s">
        <v>8074</v>
      </c>
      <c r="S1875" s="11" t="s">
        <v>8075</v>
      </c>
      <c r="T1875" s="13"/>
      <c r="U1875" s="18" t="str">
        <f>HYPERLINK("https://pbs.twimg.com/profile_images/1208706131138355200/h7CD_PrI.jpg","View")</f>
        <v>View</v>
      </c>
      <c r="V1875" s="13"/>
      <c r="W1875" s="13"/>
      <c r="X1875" s="13"/>
      <c r="Y1875" s="13"/>
      <c r="Z1875" s="13"/>
    </row>
    <row r="1876">
      <c r="A1876" s="8">
        <v>43848.27086805555</v>
      </c>
      <c r="B1876" s="9" t="str">
        <f>HYPERLINK("https://twitter.com/TWOsonsTOOmany","@TWOsonsTOOmany")</f>
        <v>@TWOsonsTOOmany</v>
      </c>
      <c r="C1876" s="10" t="s">
        <v>8076</v>
      </c>
      <c r="D1876" s="10" t="s">
        <v>8077</v>
      </c>
      <c r="E1876" s="9" t="str">
        <f>HYPERLINK("https://twitter.com/TWOsonsTOOmany/status/1218495763413643264","1218495763413643264")</f>
        <v>1218495763413643264</v>
      </c>
      <c r="F1876" s="11" t="s">
        <v>8078</v>
      </c>
      <c r="G1876" s="11" t="s">
        <v>8079</v>
      </c>
      <c r="H1876" s="13"/>
      <c r="I1876" s="14">
        <v>3.0</v>
      </c>
      <c r="J1876" s="14">
        <v>3.0</v>
      </c>
      <c r="K1876" s="9" t="str">
        <f>HYPERLINK("https://allauthor.com","AllAuthor.com")</f>
        <v>AllAuthor.com</v>
      </c>
      <c r="L1876" s="15">
        <v>11538.0</v>
      </c>
      <c r="M1876" s="15">
        <v>12657.0</v>
      </c>
      <c r="N1876" s="15">
        <v>249.0</v>
      </c>
      <c r="O1876" s="16"/>
      <c r="P1876" s="17">
        <v>40189.57734953704</v>
      </c>
      <c r="Q1876" s="10" t="s">
        <v>8080</v>
      </c>
      <c r="R1876" s="10" t="s">
        <v>8081</v>
      </c>
      <c r="S1876" s="11" t="s">
        <v>8082</v>
      </c>
      <c r="T1876" s="13"/>
      <c r="U1876" s="18" t="str">
        <f>HYPERLINK("https://pbs.twimg.com/profile_images/1107404274378641409/y5vlv6x5.jpg","View")</f>
        <v>View</v>
      </c>
      <c r="V1876" s="13"/>
      <c r="W1876" s="13"/>
      <c r="X1876" s="13"/>
      <c r="Y1876" s="13"/>
      <c r="Z1876" s="13"/>
    </row>
    <row r="1877">
      <c r="A1877" s="8">
        <v>43848.27084490741</v>
      </c>
      <c r="B1877" s="9" t="str">
        <f>HYPERLINK("https://twitter.com/Hughes_Salvidge","@Hughes_Salvidge")</f>
        <v>@Hughes_Salvidge</v>
      </c>
      <c r="C1877" s="10" t="s">
        <v>8083</v>
      </c>
      <c r="D1877" s="10" t="s">
        <v>8084</v>
      </c>
      <c r="E1877" s="9" t="str">
        <f>HYPERLINK("https://twitter.com/Hughes_Salvidge/status/1218495754962112515","1218495754962112515")</f>
        <v>1218495754962112515</v>
      </c>
      <c r="F1877" s="11" t="s">
        <v>8085</v>
      </c>
      <c r="G1877" s="13"/>
      <c r="H1877" s="13"/>
      <c r="I1877" s="14">
        <v>0.0</v>
      </c>
      <c r="J1877" s="14">
        <v>0.0</v>
      </c>
      <c r="K1877" s="9" t="str">
        <f>HYPERLINK("https://sproutsocial.com","Sprout Social")</f>
        <v>Sprout Social</v>
      </c>
      <c r="L1877" s="15">
        <v>1384.0</v>
      </c>
      <c r="M1877" s="15">
        <v>162.0</v>
      </c>
      <c r="N1877" s="15">
        <v>20.0</v>
      </c>
      <c r="O1877" s="16"/>
      <c r="P1877" s="17">
        <v>40683.42892361111</v>
      </c>
      <c r="Q1877" s="10" t="s">
        <v>2323</v>
      </c>
      <c r="R1877" s="10" t="s">
        <v>8086</v>
      </c>
      <c r="S1877" s="11" t="s">
        <v>8087</v>
      </c>
      <c r="T1877" s="13"/>
      <c r="U1877" s="18" t="str">
        <f>HYPERLINK("https://pbs.twimg.com/profile_images/378800000081855150/c7a1f19a907fc3cf3e29239134f4bec5.jpeg","View")</f>
        <v>View</v>
      </c>
      <c r="V1877" s="13"/>
      <c r="W1877" s="13"/>
      <c r="X1877" s="13"/>
      <c r="Y1877" s="13"/>
      <c r="Z1877" s="13"/>
    </row>
    <row r="1878">
      <c r="A1878" s="8">
        <v>43848.27083333333</v>
      </c>
      <c r="B1878" s="9" t="str">
        <f>HYPERLINK("https://twitter.com/ProfLAppleby","@ProfLAppleby")</f>
        <v>@ProfLAppleby</v>
      </c>
      <c r="C1878" s="10" t="s">
        <v>8088</v>
      </c>
      <c r="D1878" s="10" t="s">
        <v>8089</v>
      </c>
      <c r="E1878" s="9" t="str">
        <f>HYPERLINK("https://twitter.com/ProfLAppleby/status/1218495751111741440","1218495751111741440")</f>
        <v>1218495751111741440</v>
      </c>
      <c r="F1878" s="13"/>
      <c r="G1878" s="13"/>
      <c r="H1878" s="13"/>
      <c r="I1878" s="14">
        <v>16.0</v>
      </c>
      <c r="J1878" s="14">
        <v>50.0</v>
      </c>
      <c r="K1878" s="9" t="str">
        <f>HYPERLINK("https://mobile.twitter.com","Twitter Web App")</f>
        <v>Twitter Web App</v>
      </c>
      <c r="L1878" s="15">
        <v>19991.0</v>
      </c>
      <c r="M1878" s="15">
        <v>1276.0</v>
      </c>
      <c r="N1878" s="15">
        <v>338.0</v>
      </c>
      <c r="O1878" s="16"/>
      <c r="P1878" s="17">
        <v>41051.49784722222</v>
      </c>
      <c r="Q1878" s="10" t="s">
        <v>8090</v>
      </c>
      <c r="R1878" s="10" t="s">
        <v>8091</v>
      </c>
      <c r="S1878" s="13"/>
      <c r="T1878" s="13"/>
      <c r="U1878" s="18" t="str">
        <f>HYPERLINK("https://pbs.twimg.com/profile_images/1089084460690219008/1yCPcGAC.jpg","View")</f>
        <v>View</v>
      </c>
      <c r="V1878" s="13"/>
      <c r="W1878" s="13"/>
      <c r="X1878" s="13"/>
      <c r="Y1878" s="13"/>
      <c r="Z1878" s="13"/>
    </row>
    <row r="1879">
      <c r="A1879" s="8">
        <v>43848.27070601852</v>
      </c>
      <c r="B1879" s="9" t="str">
        <f>HYPERLINK("https://twitter.com/cjoanward_","@cjoanward_")</f>
        <v>@cjoanward_</v>
      </c>
      <c r="C1879" s="10" t="s">
        <v>8092</v>
      </c>
      <c r="D1879" s="10" t="s">
        <v>8093</v>
      </c>
      <c r="E1879" s="9" t="str">
        <f>HYPERLINK("https://twitter.com/cjoanward_/status/1218495707432259584","1218495707432259584")</f>
        <v>1218495707432259584</v>
      </c>
      <c r="F1879" s="13"/>
      <c r="G1879" s="13"/>
      <c r="H1879" s="13"/>
      <c r="I1879" s="14">
        <v>0.0</v>
      </c>
      <c r="J1879" s="14">
        <v>0.0</v>
      </c>
      <c r="K1879" s="9" t="str">
        <f>HYPERLINK("http://twitter.com/download/android","Twitter for Android")</f>
        <v>Twitter for Android</v>
      </c>
      <c r="L1879" s="15">
        <v>232.0</v>
      </c>
      <c r="M1879" s="15">
        <v>1313.0</v>
      </c>
      <c r="N1879" s="15">
        <v>23.0</v>
      </c>
      <c r="O1879" s="16"/>
      <c r="P1879" s="17">
        <v>41913.69880787037</v>
      </c>
      <c r="Q1879" s="13"/>
      <c r="R1879" s="10" t="s">
        <v>8094</v>
      </c>
      <c r="S1879" s="13"/>
      <c r="T1879" s="13"/>
      <c r="U1879" s="18" t="str">
        <f>HYPERLINK("https://pbs.twimg.com/profile_images/1149038525184184322/k3H104IB.jpg","View")</f>
        <v>View</v>
      </c>
      <c r="V1879" s="13"/>
      <c r="W1879" s="13"/>
      <c r="X1879" s="13"/>
      <c r="Y1879" s="13"/>
      <c r="Z1879" s="13"/>
    </row>
    <row r="1880">
      <c r="A1880" s="8">
        <v>43848.2703587963</v>
      </c>
      <c r="B1880" s="9" t="str">
        <f>HYPERLINK("https://twitter.com/tamar_whyte","@tamar_whyte")</f>
        <v>@tamar_whyte</v>
      </c>
      <c r="C1880" s="10" t="s">
        <v>8095</v>
      </c>
      <c r="D1880" s="10" t="s">
        <v>8096</v>
      </c>
      <c r="E1880" s="9" t="str">
        <f>HYPERLINK("https://twitter.com/tamar_whyte/status/1218495580755898368","1218495580755898368")</f>
        <v>1218495580755898368</v>
      </c>
      <c r="F1880" s="11" t="s">
        <v>8097</v>
      </c>
      <c r="G1880" s="13"/>
      <c r="H1880" s="13"/>
      <c r="I1880" s="14">
        <v>2.0</v>
      </c>
      <c r="J1880" s="14">
        <v>9.0</v>
      </c>
      <c r="K1880" s="9" t="str">
        <f>HYPERLINK("http://twitter.com/download/iphone","Twitter for iPhone")</f>
        <v>Twitter for iPhone</v>
      </c>
      <c r="L1880" s="15">
        <v>1488.0</v>
      </c>
      <c r="M1880" s="15">
        <v>1816.0</v>
      </c>
      <c r="N1880" s="15">
        <v>23.0</v>
      </c>
      <c r="O1880" s="16"/>
      <c r="P1880" s="17">
        <v>39753.94826388889</v>
      </c>
      <c r="Q1880" s="10" t="s">
        <v>8098</v>
      </c>
      <c r="R1880" s="10" t="s">
        <v>8099</v>
      </c>
      <c r="S1880" s="11" t="s">
        <v>8100</v>
      </c>
      <c r="T1880" s="13"/>
      <c r="U1880" s="18" t="str">
        <f>HYPERLINK("https://pbs.twimg.com/profile_images/1205647274950504450/Rbo4XQvL.jpg","View")</f>
        <v>View</v>
      </c>
      <c r="V1880" s="13"/>
      <c r="W1880" s="13"/>
      <c r="X1880" s="13"/>
      <c r="Y1880" s="13"/>
      <c r="Z1880" s="13"/>
    </row>
    <row r="1881">
      <c r="A1881" s="8">
        <v>43848.26988425926</v>
      </c>
      <c r="B1881" s="9" t="str">
        <f>HYPERLINK("https://twitter.com/ShakaBrownComic","@ShakaBrownComic")</f>
        <v>@ShakaBrownComic</v>
      </c>
      <c r="C1881" s="10" t="s">
        <v>974</v>
      </c>
      <c r="D1881" s="10" t="s">
        <v>8101</v>
      </c>
      <c r="E1881" s="9" t="str">
        <f>HYPERLINK("https://twitter.com/ShakaBrownComic/status/1218495408764346368","1218495408764346368")</f>
        <v>1218495408764346368</v>
      </c>
      <c r="F1881" s="13"/>
      <c r="G1881" s="13"/>
      <c r="H1881" s="13"/>
      <c r="I1881" s="14">
        <v>0.0</v>
      </c>
      <c r="J1881" s="14">
        <v>0.0</v>
      </c>
      <c r="K1881" s="9" t="str">
        <f>HYPERLINK("http://twitter.com/download/android","Twitter for Android")</f>
        <v>Twitter for Android</v>
      </c>
      <c r="L1881" s="15">
        <v>136.0</v>
      </c>
      <c r="M1881" s="15">
        <v>39.0</v>
      </c>
      <c r="N1881" s="15">
        <v>4.0</v>
      </c>
      <c r="O1881" s="16"/>
      <c r="P1881" s="17">
        <v>41995.06672453704</v>
      </c>
      <c r="Q1881" s="10" t="s">
        <v>976</v>
      </c>
      <c r="R1881" s="10" t="s">
        <v>977</v>
      </c>
      <c r="S1881" s="11" t="s">
        <v>978</v>
      </c>
      <c r="T1881" s="13"/>
      <c r="U1881" s="18" t="str">
        <f>HYPERLINK("https://pbs.twimg.com/profile_images/1195420809277427713/cLFbEoBk.jpg","View")</f>
        <v>View</v>
      </c>
      <c r="V1881" s="13"/>
      <c r="W1881" s="13"/>
      <c r="X1881" s="13"/>
      <c r="Y1881" s="13"/>
      <c r="Z1881" s="13"/>
    </row>
    <row r="1882">
      <c r="A1882" s="8">
        <v>43848.2696875</v>
      </c>
      <c r="B1882" s="9" t="str">
        <f>HYPERLINK("https://twitter.com/StCaradog","@StCaradog")</f>
        <v>@StCaradog</v>
      </c>
      <c r="C1882" s="10" t="s">
        <v>8102</v>
      </c>
      <c r="D1882" s="10" t="s">
        <v>8103</v>
      </c>
      <c r="E1882" s="9" t="str">
        <f>HYPERLINK("https://twitter.com/StCaradog/status/1218495336802607106","1218495336802607106")</f>
        <v>1218495336802607106</v>
      </c>
      <c r="F1882" s="13"/>
      <c r="G1882" s="11" t="s">
        <v>8104</v>
      </c>
      <c r="H1882" s="13"/>
      <c r="I1882" s="14">
        <v>6.0</v>
      </c>
      <c r="J1882" s="14">
        <v>15.0</v>
      </c>
      <c r="K1882" s="9" t="str">
        <f t="shared" ref="K1882:K1883" si="233">HYPERLINK("http://twitter.com/download/iphone","Twitter for iPhone")</f>
        <v>Twitter for iPhone</v>
      </c>
      <c r="L1882" s="15">
        <v>321.0</v>
      </c>
      <c r="M1882" s="15">
        <v>675.0</v>
      </c>
      <c r="N1882" s="15">
        <v>0.0</v>
      </c>
      <c r="O1882" s="16"/>
      <c r="P1882" s="17">
        <v>42910.30803240741</v>
      </c>
      <c r="Q1882" s="10" t="s">
        <v>8105</v>
      </c>
      <c r="R1882" s="10" t="s">
        <v>8106</v>
      </c>
      <c r="S1882" s="13"/>
      <c r="T1882" s="13"/>
      <c r="U1882" s="18" t="str">
        <f>HYPERLINK("https://pbs.twimg.com/profile_images/1040674705798324225/-OB4Zyqc.jpg","View")</f>
        <v>View</v>
      </c>
      <c r="V1882" s="13"/>
      <c r="W1882" s="13"/>
      <c r="X1882" s="13"/>
      <c r="Y1882" s="13"/>
      <c r="Z1882" s="13"/>
    </row>
    <row r="1883">
      <c r="A1883" s="8">
        <v>43848.26967592593</v>
      </c>
      <c r="B1883" s="9" t="str">
        <f>HYPERLINK("https://twitter.com/rennie1d","@rennie1d")</f>
        <v>@rennie1d</v>
      </c>
      <c r="C1883" s="10" t="s">
        <v>8107</v>
      </c>
      <c r="D1883" s="10" t="s">
        <v>8108</v>
      </c>
      <c r="E1883" s="9" t="str">
        <f>HYPERLINK("https://twitter.com/rennie1d/status/1218495333191340032","1218495333191340032")</f>
        <v>1218495333191340032</v>
      </c>
      <c r="F1883" s="13"/>
      <c r="G1883" s="11" t="s">
        <v>8109</v>
      </c>
      <c r="H1883" s="13"/>
      <c r="I1883" s="14">
        <v>0.0</v>
      </c>
      <c r="J1883" s="14">
        <v>9.0</v>
      </c>
      <c r="K1883" s="9" t="str">
        <f t="shared" si="233"/>
        <v>Twitter for iPhone</v>
      </c>
      <c r="L1883" s="15">
        <v>741.0</v>
      </c>
      <c r="M1883" s="15">
        <v>523.0</v>
      </c>
      <c r="N1883" s="15">
        <v>8.0</v>
      </c>
      <c r="O1883" s="16"/>
      <c r="P1883" s="17">
        <v>41600.54413194444</v>
      </c>
      <c r="Q1883" s="10" t="s">
        <v>8110</v>
      </c>
      <c r="R1883" s="10" t="s">
        <v>8111</v>
      </c>
      <c r="S1883" s="13"/>
      <c r="T1883" s="13"/>
      <c r="U1883" s="18" t="str">
        <f>HYPERLINK("https://pbs.twimg.com/profile_images/1183083312924909568/WQo1e0dp.png","View")</f>
        <v>View</v>
      </c>
      <c r="V1883" s="13"/>
      <c r="W1883" s="13"/>
      <c r="X1883" s="13"/>
      <c r="Y1883" s="13"/>
      <c r="Z1883" s="13"/>
    </row>
    <row r="1884">
      <c r="A1884" s="8">
        <v>43848.26960648148</v>
      </c>
      <c r="B1884" s="9" t="str">
        <f>HYPERLINK("https://twitter.com/CNgatia01","@CNgatia01")</f>
        <v>@CNgatia01</v>
      </c>
      <c r="C1884" s="10" t="s">
        <v>8112</v>
      </c>
      <c r="D1884" s="10" t="s">
        <v>238</v>
      </c>
      <c r="E1884" s="9" t="str">
        <f>HYPERLINK("https://twitter.com/CNgatia01/status/1218495307891085312","1218495307891085312")</f>
        <v>1218495307891085312</v>
      </c>
      <c r="F1884" s="13"/>
      <c r="G1884" s="13"/>
      <c r="H1884" s="13"/>
      <c r="I1884" s="14">
        <v>0.0</v>
      </c>
      <c r="J1884" s="14">
        <v>0.0</v>
      </c>
      <c r="K1884" s="9" t="str">
        <f>HYPERLINK("http://twitter.com/download/android","Twitter for Android")</f>
        <v>Twitter for Android</v>
      </c>
      <c r="L1884" s="15">
        <v>86.0</v>
      </c>
      <c r="M1884" s="15">
        <v>193.0</v>
      </c>
      <c r="N1884" s="15">
        <v>0.0</v>
      </c>
      <c r="O1884" s="16"/>
      <c r="P1884" s="17">
        <v>42719.469247685185</v>
      </c>
      <c r="Q1884" s="13"/>
      <c r="R1884" s="13"/>
      <c r="S1884" s="13"/>
      <c r="T1884" s="13"/>
      <c r="U1884" s="18" t="str">
        <f>HYPERLINK("https://pbs.twimg.com/profile_images/1065831346852020224/km2zzB_o.jpg","View")</f>
        <v>View</v>
      </c>
      <c r="V1884" s="13"/>
      <c r="W1884" s="13"/>
      <c r="X1884" s="13"/>
      <c r="Y1884" s="13"/>
      <c r="Z1884" s="13"/>
    </row>
    <row r="1885">
      <c r="A1885" s="8">
        <v>43848.26907407407</v>
      </c>
      <c r="B1885" s="9" t="str">
        <f>HYPERLINK("https://twitter.com/LarryLjbrn","@LarryLjbrn")</f>
        <v>@LarryLjbrn</v>
      </c>
      <c r="C1885" s="10" t="s">
        <v>8113</v>
      </c>
      <c r="D1885" s="10" t="s">
        <v>238</v>
      </c>
      <c r="E1885" s="9" t="str">
        <f>HYPERLINK("https://twitter.com/LarryLjbrn/status/1218495116349931520","1218495116349931520")</f>
        <v>1218495116349931520</v>
      </c>
      <c r="F1885" s="13"/>
      <c r="G1885" s="13"/>
      <c r="H1885" s="13"/>
      <c r="I1885" s="14">
        <v>0.0</v>
      </c>
      <c r="J1885" s="14">
        <v>0.0</v>
      </c>
      <c r="K1885" s="9" t="str">
        <f>HYPERLINK("http://twitter.com/#!/download/ipad","Twitter for iPad")</f>
        <v>Twitter for iPad</v>
      </c>
      <c r="L1885" s="15">
        <v>253.0</v>
      </c>
      <c r="M1885" s="15">
        <v>573.0</v>
      </c>
      <c r="N1885" s="15">
        <v>0.0</v>
      </c>
      <c r="O1885" s="16"/>
      <c r="P1885" s="17">
        <v>41665.24649305556</v>
      </c>
      <c r="Q1885" s="10" t="s">
        <v>1336</v>
      </c>
      <c r="R1885" s="10" t="s">
        <v>8114</v>
      </c>
      <c r="S1885" s="13"/>
      <c r="T1885" s="13"/>
      <c r="U1885" s="18" t="str">
        <f>HYPERLINK("https://pbs.twimg.com/profile_images/427492893599617024/RAd9tOxD.jpeg","View")</f>
        <v>View</v>
      </c>
      <c r="V1885" s="13"/>
      <c r="W1885" s="13"/>
      <c r="X1885" s="13"/>
      <c r="Y1885" s="13"/>
      <c r="Z1885" s="13"/>
    </row>
    <row r="1886">
      <c r="A1886" s="8">
        <v>43848.26905092593</v>
      </c>
      <c r="B1886" s="9" t="str">
        <f>HYPERLINK("https://twitter.com/OllyRyder","@OllyRyder")</f>
        <v>@OllyRyder</v>
      </c>
      <c r="C1886" s="10" t="s">
        <v>8115</v>
      </c>
      <c r="D1886" s="10" t="s">
        <v>8116</v>
      </c>
      <c r="E1886" s="9" t="str">
        <f>HYPERLINK("https://twitter.com/OllyRyder/status/1218495104257839106","1218495104257839106")</f>
        <v>1218495104257839106</v>
      </c>
      <c r="F1886" s="11" t="s">
        <v>8117</v>
      </c>
      <c r="G1886" s="13"/>
      <c r="H1886" s="9" t="str">
        <f>HYPERLINK("https://ctrlq.org/maps/address/#50.40855002,-4.0791789","Map")</f>
        <v>Map</v>
      </c>
      <c r="I1886" s="14">
        <v>0.0</v>
      </c>
      <c r="J1886" s="14">
        <v>1.0</v>
      </c>
      <c r="K1886" s="9" t="str">
        <f>HYPERLINK("http://instagram.com","Instagram")</f>
        <v>Instagram</v>
      </c>
      <c r="L1886" s="15">
        <v>452.0</v>
      </c>
      <c r="M1886" s="15">
        <v>205.0</v>
      </c>
      <c r="N1886" s="15">
        <v>9.0</v>
      </c>
      <c r="O1886" s="16"/>
      <c r="P1886" s="17">
        <v>40851.47707175926</v>
      </c>
      <c r="Q1886" s="10" t="s">
        <v>2635</v>
      </c>
      <c r="R1886" s="10" t="s">
        <v>8118</v>
      </c>
      <c r="S1886" s="11" t="s">
        <v>8119</v>
      </c>
      <c r="T1886" s="13"/>
      <c r="U1886" s="18" t="str">
        <f>HYPERLINK("https://pbs.twimg.com/profile_images/1181679639913275394/QkZGWM9X.jpg","View")</f>
        <v>View</v>
      </c>
      <c r="V1886" s="13"/>
      <c r="W1886" s="13"/>
      <c r="X1886" s="13"/>
      <c r="Y1886" s="13"/>
      <c r="Z1886" s="13"/>
    </row>
    <row r="1887">
      <c r="A1887" s="8">
        <v>43848.26885416667</v>
      </c>
      <c r="B1887" s="9" t="str">
        <f>HYPERLINK("https://twitter.com/debbieb89758293","@debbieb89758293")</f>
        <v>@debbieb89758293</v>
      </c>
      <c r="C1887" s="10" t="s">
        <v>8120</v>
      </c>
      <c r="D1887" s="10" t="s">
        <v>8121</v>
      </c>
      <c r="E1887" s="9" t="str">
        <f>HYPERLINK("https://twitter.com/debbieb89758293/status/1218495036330872832","1218495036330872832")</f>
        <v>1218495036330872832</v>
      </c>
      <c r="F1887" s="11" t="s">
        <v>8122</v>
      </c>
      <c r="G1887" s="13"/>
      <c r="H1887" s="13"/>
      <c r="I1887" s="14">
        <v>0.0</v>
      </c>
      <c r="J1887" s="14">
        <v>0.0</v>
      </c>
      <c r="K1887" s="9" t="str">
        <f>HYPERLINK("http://twitter.com/download/iphone","Twitter for iPhone")</f>
        <v>Twitter for iPhone</v>
      </c>
      <c r="L1887" s="15">
        <v>48.0</v>
      </c>
      <c r="M1887" s="15">
        <v>88.0</v>
      </c>
      <c r="N1887" s="15">
        <v>0.0</v>
      </c>
      <c r="O1887" s="16"/>
      <c r="P1887" s="17">
        <v>41820.05724537037</v>
      </c>
      <c r="Q1887" s="13"/>
      <c r="R1887" s="13"/>
      <c r="S1887" s="13"/>
      <c r="T1887" s="13"/>
      <c r="U1887" s="21" t="s">
        <v>292</v>
      </c>
      <c r="V1887" s="13"/>
      <c r="W1887" s="13"/>
      <c r="X1887" s="13"/>
      <c r="Y1887" s="13"/>
      <c r="Z1887" s="13"/>
    </row>
    <row r="1888">
      <c r="A1888" s="8">
        <v>43848.26638888889</v>
      </c>
      <c r="B1888" s="9" t="str">
        <f>HYPERLINK("https://twitter.com/Katie_WJourno","@Katie_WJourno")</f>
        <v>@Katie_WJourno</v>
      </c>
      <c r="C1888" s="10" t="s">
        <v>8123</v>
      </c>
      <c r="D1888" s="10" t="s">
        <v>8124</v>
      </c>
      <c r="E1888" s="9" t="str">
        <f>HYPERLINK("https://twitter.com/Katie_WJourno/status/1218494140847218689","1218494140847218689")</f>
        <v>1218494140847218689</v>
      </c>
      <c r="F1888" s="11" t="s">
        <v>8125</v>
      </c>
      <c r="G1888" s="13"/>
      <c r="H1888" s="13"/>
      <c r="I1888" s="14">
        <v>0.0</v>
      </c>
      <c r="J1888" s="14">
        <v>1.0</v>
      </c>
      <c r="K1888" s="9" t="str">
        <f>HYPERLINK("http://twitter.com/download/android","Twitter for Android")</f>
        <v>Twitter for Android</v>
      </c>
      <c r="L1888" s="15">
        <v>204.0</v>
      </c>
      <c r="M1888" s="15">
        <v>341.0</v>
      </c>
      <c r="N1888" s="15">
        <v>1.0</v>
      </c>
      <c r="O1888" s="16"/>
      <c r="P1888" s="17">
        <v>43678.30638888889</v>
      </c>
      <c r="Q1888" s="10" t="s">
        <v>8126</v>
      </c>
      <c r="R1888" s="10" t="s">
        <v>8127</v>
      </c>
      <c r="S1888" s="11" t="s">
        <v>8128</v>
      </c>
      <c r="T1888" s="13"/>
      <c r="U1888" s="18" t="str">
        <f>HYPERLINK("https://pbs.twimg.com/profile_images/1192523410783559680/PbqPVBGW.jpg","View")</f>
        <v>View</v>
      </c>
      <c r="V1888" s="13"/>
      <c r="W1888" s="13"/>
      <c r="X1888" s="13"/>
      <c r="Y1888" s="13"/>
      <c r="Z1888" s="13"/>
    </row>
    <row r="1889">
      <c r="A1889" s="8">
        <v>43848.26501157407</v>
      </c>
      <c r="B1889" s="9" t="str">
        <f>HYPERLINK("https://twitter.com/BenStevensUK","@BenStevensUK")</f>
        <v>@BenStevensUK</v>
      </c>
      <c r="C1889" s="10" t="s">
        <v>8129</v>
      </c>
      <c r="D1889" s="10" t="s">
        <v>8130</v>
      </c>
      <c r="E1889" s="9" t="str">
        <f>HYPERLINK("https://twitter.com/BenStevensUK/status/1218493643717271552","1218493643717271552")</f>
        <v>1218493643717271552</v>
      </c>
      <c r="F1889" s="13"/>
      <c r="G1889" s="11" t="s">
        <v>8131</v>
      </c>
      <c r="H1889" s="13"/>
      <c r="I1889" s="14">
        <v>0.0</v>
      </c>
      <c r="J1889" s="14">
        <v>0.0</v>
      </c>
      <c r="K1889" s="9" t="str">
        <f>HYPERLINK("http://twitter.com/download/iphone","Twitter for iPhone")</f>
        <v>Twitter for iPhone</v>
      </c>
      <c r="L1889" s="15">
        <v>4238.0</v>
      </c>
      <c r="M1889" s="15">
        <v>5216.0</v>
      </c>
      <c r="N1889" s="15">
        <v>59.0</v>
      </c>
      <c r="O1889" s="16"/>
      <c r="P1889" s="17">
        <v>41285.2990625</v>
      </c>
      <c r="Q1889" s="10" t="s">
        <v>8132</v>
      </c>
      <c r="R1889" s="10" t="s">
        <v>8133</v>
      </c>
      <c r="S1889" s="13"/>
      <c r="T1889" s="13"/>
      <c r="U1889" s="18" t="str">
        <f>HYPERLINK("https://pbs.twimg.com/profile_images/1217451333093134337/ZHdJLOyl.jpg","View")</f>
        <v>View</v>
      </c>
      <c r="V1889" s="13"/>
      <c r="W1889" s="13"/>
      <c r="X1889" s="13"/>
      <c r="Y1889" s="13"/>
      <c r="Z1889" s="13"/>
    </row>
    <row r="1890">
      <c r="A1890" s="8">
        <v>43848.26458333334</v>
      </c>
      <c r="B1890" s="9" t="str">
        <f>HYPERLINK("https://twitter.com/HealthyYM_LSC","@HealthyYM_LSC")</f>
        <v>@HealthyYM_LSC</v>
      </c>
      <c r="C1890" s="10" t="s">
        <v>8134</v>
      </c>
      <c r="D1890" s="10" t="s">
        <v>8135</v>
      </c>
      <c r="E1890" s="9" t="str">
        <f>HYPERLINK("https://twitter.com/HealthyYM_LSC/status/1218493486149693440","1218493486149693440")</f>
        <v>1218493486149693440</v>
      </c>
      <c r="F1890" s="11" t="s">
        <v>8136</v>
      </c>
      <c r="G1890" s="11" t="s">
        <v>8137</v>
      </c>
      <c r="H1890" s="13"/>
      <c r="I1890" s="14">
        <v>0.0</v>
      </c>
      <c r="J1890" s="14">
        <v>0.0</v>
      </c>
      <c r="K1890" s="9" t="str">
        <f>HYPERLINK("https://about.twitter.com/products/tweetdeck","TweetDeck")</f>
        <v>TweetDeck</v>
      </c>
      <c r="L1890" s="15">
        <v>550.0</v>
      </c>
      <c r="M1890" s="15">
        <v>566.0</v>
      </c>
      <c r="N1890" s="15">
        <v>3.0</v>
      </c>
      <c r="O1890" s="16"/>
      <c r="P1890" s="17">
        <v>42795.395625000005</v>
      </c>
      <c r="Q1890" s="13"/>
      <c r="R1890" s="10" t="s">
        <v>8138</v>
      </c>
      <c r="S1890" s="11" t="s">
        <v>8139</v>
      </c>
      <c r="T1890" s="13"/>
      <c r="U1890" s="18" t="str">
        <f>HYPERLINK("https://pbs.twimg.com/profile_images/855380982287011840/Q7yfYxVG.jpg","View")</f>
        <v>View</v>
      </c>
      <c r="V1890" s="13"/>
      <c r="W1890" s="13"/>
      <c r="X1890" s="13"/>
      <c r="Y1890" s="13"/>
      <c r="Z1890" s="13"/>
    </row>
    <row r="1891">
      <c r="A1891" s="8">
        <v>43848.26453703704</v>
      </c>
      <c r="B1891" s="9" t="str">
        <f>HYPERLINK("https://twitter.com/NELGPParents","@NELGPParents")</f>
        <v>@NELGPParents</v>
      </c>
      <c r="C1891" s="10" t="s">
        <v>8140</v>
      </c>
      <c r="D1891" s="10" t="s">
        <v>8141</v>
      </c>
      <c r="E1891" s="9" t="str">
        <f>HYPERLINK("https://twitter.com/NELGPParents/status/1218493472006639616","1218493472006639616")</f>
        <v>1218493472006639616</v>
      </c>
      <c r="F1891" s="10" t="s">
        <v>8142</v>
      </c>
      <c r="G1891" s="13"/>
      <c r="H1891" s="13"/>
      <c r="I1891" s="14">
        <v>0.0</v>
      </c>
      <c r="J1891" s="14">
        <v>0.0</v>
      </c>
      <c r="K1891" s="9" t="str">
        <f>HYPERLINK("http://twitter.com/download/iphone","Twitter for iPhone")</f>
        <v>Twitter for iPhone</v>
      </c>
      <c r="L1891" s="15">
        <v>527.0</v>
      </c>
      <c r="M1891" s="15">
        <v>1023.0</v>
      </c>
      <c r="N1891" s="15">
        <v>3.0</v>
      </c>
      <c r="O1891" s="16"/>
      <c r="P1891" s="17">
        <v>43186.380625000005</v>
      </c>
      <c r="Q1891" s="10" t="s">
        <v>95</v>
      </c>
      <c r="R1891" s="10" t="s">
        <v>8143</v>
      </c>
      <c r="S1891" s="13"/>
      <c r="T1891" s="13"/>
      <c r="U1891" s="18" t="str">
        <f>HYPERLINK("https://pbs.twimg.com/profile_images/1122402759070945281/YD4VuKZ1.jpg","View")</f>
        <v>View</v>
      </c>
      <c r="V1891" s="13"/>
      <c r="W1891" s="13"/>
      <c r="X1891" s="13"/>
      <c r="Y1891" s="13"/>
      <c r="Z1891" s="13"/>
    </row>
    <row r="1892">
      <c r="A1892" s="8">
        <v>43848.263969907406</v>
      </c>
      <c r="B1892" s="9" t="str">
        <f>HYPERLINK("https://twitter.com/lgibson12397","@lgibson12397")</f>
        <v>@lgibson12397</v>
      </c>
      <c r="C1892" s="10" t="s">
        <v>3010</v>
      </c>
      <c r="D1892" s="10" t="s">
        <v>8144</v>
      </c>
      <c r="E1892" s="9" t="str">
        <f>HYPERLINK("https://twitter.com/lgibson12397/status/1218493264556437505","1218493264556437505")</f>
        <v>1218493264556437505</v>
      </c>
      <c r="F1892" s="13"/>
      <c r="G1892" s="11" t="s">
        <v>8145</v>
      </c>
      <c r="H1892" s="13"/>
      <c r="I1892" s="14">
        <v>14.0</v>
      </c>
      <c r="J1892" s="14">
        <v>92.0</v>
      </c>
      <c r="K1892" s="9" t="str">
        <f>HYPERLINK("http://twitter.com/download/android","Twitter for Android")</f>
        <v>Twitter for Android</v>
      </c>
      <c r="L1892" s="15">
        <v>8912.0</v>
      </c>
      <c r="M1892" s="15">
        <v>9794.0</v>
      </c>
      <c r="N1892" s="15">
        <v>15.0</v>
      </c>
      <c r="O1892" s="16"/>
      <c r="P1892" s="17">
        <v>42002.58578703704</v>
      </c>
      <c r="Q1892" s="13"/>
      <c r="R1892" s="10" t="s">
        <v>3012</v>
      </c>
      <c r="S1892" s="13"/>
      <c r="T1892" s="13"/>
      <c r="U1892" s="18" t="str">
        <f>HYPERLINK("https://pbs.twimg.com/profile_images/1022914492227760128/zjmy0zqU.jpg","View")</f>
        <v>View</v>
      </c>
      <c r="V1892" s="13"/>
      <c r="W1892" s="13"/>
      <c r="X1892" s="13"/>
      <c r="Y1892" s="13"/>
      <c r="Z1892" s="13"/>
    </row>
    <row r="1893">
      <c r="A1893" s="8">
        <v>43848.263715277775</v>
      </c>
      <c r="B1893" s="9" t="str">
        <f>HYPERLINK("https://twitter.com/markhenick","@markhenick")</f>
        <v>@markhenick</v>
      </c>
      <c r="C1893" s="10" t="s">
        <v>4614</v>
      </c>
      <c r="D1893" s="10" t="s">
        <v>8146</v>
      </c>
      <c r="E1893" s="9" t="str">
        <f>HYPERLINK("https://twitter.com/markhenick/status/1218493170809479173","1218493170809479173")</f>
        <v>1218493170809479173</v>
      </c>
      <c r="F1893" s="11" t="s">
        <v>8147</v>
      </c>
      <c r="G1893" s="13"/>
      <c r="H1893" s="13"/>
      <c r="I1893" s="14">
        <v>0.0</v>
      </c>
      <c r="J1893" s="14">
        <v>0.0</v>
      </c>
      <c r="K1893" s="9" t="str">
        <f>HYPERLINK("http://twitter.com/download/iphone","Twitter for iPhone")</f>
        <v>Twitter for iPhone</v>
      </c>
      <c r="L1893" s="15">
        <v>19058.0</v>
      </c>
      <c r="M1893" s="15">
        <v>480.0</v>
      </c>
      <c r="N1893" s="15">
        <v>256.0</v>
      </c>
      <c r="O1893" s="21" t="s">
        <v>522</v>
      </c>
      <c r="P1893" s="17">
        <v>39980.78016203704</v>
      </c>
      <c r="Q1893" s="10" t="s">
        <v>4617</v>
      </c>
      <c r="R1893" s="10" t="s">
        <v>4618</v>
      </c>
      <c r="S1893" s="11" t="s">
        <v>4619</v>
      </c>
      <c r="T1893" s="13"/>
      <c r="U1893" s="18" t="str">
        <f>HYPERLINK("https://pbs.twimg.com/profile_images/1212443244015030272/F-0jwyfC.jpg","View")</f>
        <v>View</v>
      </c>
      <c r="V1893" s="13"/>
      <c r="W1893" s="13"/>
      <c r="X1893" s="13"/>
      <c r="Y1893" s="13"/>
      <c r="Z1893" s="13"/>
    </row>
    <row r="1894">
      <c r="A1894" s="8">
        <v>43848.262835648144</v>
      </c>
      <c r="B1894" s="9" t="str">
        <f>HYPERLINK("https://twitter.com/DShorb","@DShorb")</f>
        <v>@DShorb</v>
      </c>
      <c r="C1894" s="10" t="s">
        <v>21</v>
      </c>
      <c r="D1894" s="10" t="s">
        <v>22</v>
      </c>
      <c r="E1894" s="9" t="str">
        <f>HYPERLINK("https://twitter.com/DShorb/status/1218492853921423360","1218492853921423360")</f>
        <v>1218492853921423360</v>
      </c>
      <c r="F1894" s="11" t="s">
        <v>8148</v>
      </c>
      <c r="G1894" s="13"/>
      <c r="H1894" s="13"/>
      <c r="I1894" s="14">
        <v>0.0</v>
      </c>
      <c r="J1894" s="14">
        <v>0.0</v>
      </c>
      <c r="K1894" s="9" t="str">
        <f>HYPERLINK("https://www.smedian.com","Penname")</f>
        <v>Penname</v>
      </c>
      <c r="L1894" s="15">
        <v>3871.0</v>
      </c>
      <c r="M1894" s="15">
        <v>4543.0</v>
      </c>
      <c r="N1894" s="15">
        <v>185.0</v>
      </c>
      <c r="O1894" s="16"/>
      <c r="P1894" s="17">
        <v>40991.739027777774</v>
      </c>
      <c r="Q1894" s="10" t="s">
        <v>24</v>
      </c>
      <c r="R1894" s="10" t="s">
        <v>25</v>
      </c>
      <c r="S1894" s="11" t="s">
        <v>26</v>
      </c>
      <c r="T1894" s="13"/>
      <c r="U1894" s="18" t="str">
        <f>HYPERLINK("https://pbs.twimg.com/profile_images/1134459629478408192/VnPf0dlm.jpg","View")</f>
        <v>View</v>
      </c>
      <c r="V1894" s="13"/>
      <c r="W1894" s="13"/>
      <c r="X1894" s="13"/>
      <c r="Y1894" s="13"/>
      <c r="Z1894" s="13"/>
    </row>
    <row r="1895">
      <c r="A1895" s="8">
        <v>43848.262662037036</v>
      </c>
      <c r="B1895" s="9" t="str">
        <f>HYPERLINK("https://twitter.com/SLAMKingsX","@SLAMKingsX")</f>
        <v>@SLAMKingsX</v>
      </c>
      <c r="C1895" s="10" t="s">
        <v>5403</v>
      </c>
      <c r="D1895" s="10" t="s">
        <v>8149</v>
      </c>
      <c r="E1895" s="9" t="str">
        <f>HYPERLINK("https://twitter.com/SLAMKingsX/status/1218492792357511171","1218492792357511171")</f>
        <v>1218492792357511171</v>
      </c>
      <c r="F1895" s="11" t="s">
        <v>5405</v>
      </c>
      <c r="G1895" s="11" t="s">
        <v>8150</v>
      </c>
      <c r="H1895" s="13"/>
      <c r="I1895" s="14">
        <v>0.0</v>
      </c>
      <c r="J1895" s="14">
        <v>2.0</v>
      </c>
      <c r="K1895" s="9" t="str">
        <f>HYPERLINK("https://ifttt.com","IFTTT")</f>
        <v>IFTTT</v>
      </c>
      <c r="L1895" s="15">
        <v>1781.0</v>
      </c>
      <c r="M1895" s="15">
        <v>1331.0</v>
      </c>
      <c r="N1895" s="15">
        <v>21.0</v>
      </c>
      <c r="O1895" s="16"/>
      <c r="P1895" s="17">
        <v>42521.31391203703</v>
      </c>
      <c r="Q1895" s="10" t="s">
        <v>95</v>
      </c>
      <c r="R1895" s="10" t="s">
        <v>5407</v>
      </c>
      <c r="S1895" s="11" t="s">
        <v>5408</v>
      </c>
      <c r="T1895" s="13"/>
      <c r="U1895" s="18" t="str">
        <f>HYPERLINK("https://pbs.twimg.com/profile_images/978931875380191232/9p3XUveI.jpg","View")</f>
        <v>View</v>
      </c>
      <c r="V1895" s="13"/>
      <c r="W1895" s="13"/>
      <c r="X1895" s="13"/>
      <c r="Y1895" s="13"/>
      <c r="Z1895" s="13"/>
    </row>
    <row r="1896">
      <c r="A1896" s="8">
        <v>43848.26265046296</v>
      </c>
      <c r="B1896" s="9" t="str">
        <f>HYPERLINK("https://twitter.com/chris_gibson12","@chris_gibson12")</f>
        <v>@chris_gibson12</v>
      </c>
      <c r="C1896" s="10" t="s">
        <v>8151</v>
      </c>
      <c r="D1896" s="10" t="s">
        <v>8152</v>
      </c>
      <c r="E1896" s="9" t="str">
        <f>HYPERLINK("https://twitter.com/chris_gibson12/status/1218492785227112449","1218492785227112449")</f>
        <v>1218492785227112449</v>
      </c>
      <c r="F1896" s="13"/>
      <c r="G1896" s="11" t="s">
        <v>8153</v>
      </c>
      <c r="H1896" s="13"/>
      <c r="I1896" s="14">
        <v>1.0</v>
      </c>
      <c r="J1896" s="14">
        <v>0.0</v>
      </c>
      <c r="K1896" s="9" t="str">
        <f>HYPERLINK("http://twitter.com/download/iphone","Twitter for iPhone")</f>
        <v>Twitter for iPhone</v>
      </c>
      <c r="L1896" s="15">
        <v>202.0</v>
      </c>
      <c r="M1896" s="15">
        <v>304.0</v>
      </c>
      <c r="N1896" s="15">
        <v>0.0</v>
      </c>
      <c r="O1896" s="16"/>
      <c r="P1896" s="17">
        <v>42682.305752314816</v>
      </c>
      <c r="Q1896" s="10" t="s">
        <v>5022</v>
      </c>
      <c r="R1896" s="10" t="s">
        <v>8154</v>
      </c>
      <c r="S1896" s="11" t="s">
        <v>8155</v>
      </c>
      <c r="T1896" s="13"/>
      <c r="U1896" s="18" t="str">
        <f>HYPERLINK("https://pbs.twimg.com/profile_images/795972616938983424/IIlREmNo.jpg","View")</f>
        <v>View</v>
      </c>
      <c r="V1896" s="13"/>
      <c r="W1896" s="13"/>
      <c r="X1896" s="13"/>
      <c r="Y1896" s="13"/>
      <c r="Z1896" s="13"/>
    </row>
    <row r="1897">
      <c r="A1897" s="8">
        <v>43848.262141203704</v>
      </c>
      <c r="B1897" s="9" t="str">
        <f>HYPERLINK("https://twitter.com/burke_steven","@burke_steven")</f>
        <v>@burke_steven</v>
      </c>
      <c r="C1897" s="10" t="s">
        <v>8156</v>
      </c>
      <c r="D1897" s="10" t="s">
        <v>8157</v>
      </c>
      <c r="E1897" s="9" t="str">
        <f>HYPERLINK("https://twitter.com/burke_steven/status/1218492603534102528","1218492603534102528")</f>
        <v>1218492603534102528</v>
      </c>
      <c r="F1897" s="13"/>
      <c r="G1897" s="11" t="s">
        <v>8158</v>
      </c>
      <c r="H1897" s="13"/>
      <c r="I1897" s="14">
        <v>1.0</v>
      </c>
      <c r="J1897" s="14">
        <v>0.0</v>
      </c>
      <c r="K1897" s="9" t="str">
        <f>HYPERLINK("http://twitter.com/download/android","Twitter for Android")</f>
        <v>Twitter for Android</v>
      </c>
      <c r="L1897" s="15">
        <v>513.0</v>
      </c>
      <c r="M1897" s="15">
        <v>1142.0</v>
      </c>
      <c r="N1897" s="15">
        <v>9.0</v>
      </c>
      <c r="O1897" s="16"/>
      <c r="P1897" s="17">
        <v>40924.593136574076</v>
      </c>
      <c r="Q1897" s="10" t="s">
        <v>8159</v>
      </c>
      <c r="R1897" s="13"/>
      <c r="S1897" s="13"/>
      <c r="T1897" s="13"/>
      <c r="U1897" s="18" t="str">
        <f>HYPERLINK("https://pbs.twimg.com/profile_images/1213966875484446721/5ceSZR5n.jpg","View")</f>
        <v>View</v>
      </c>
      <c r="V1897" s="13"/>
      <c r="W1897" s="13"/>
      <c r="X1897" s="13"/>
      <c r="Y1897" s="13"/>
      <c r="Z1897" s="13"/>
    </row>
    <row r="1898">
      <c r="A1898" s="8">
        <v>43848.2615625</v>
      </c>
      <c r="B1898" s="9" t="str">
        <f>HYPERLINK("https://twitter.com/womensbrainpro","@womensbrainpro")</f>
        <v>@womensbrainpro</v>
      </c>
      <c r="C1898" s="10" t="s">
        <v>7011</v>
      </c>
      <c r="D1898" s="10" t="s">
        <v>8160</v>
      </c>
      <c r="E1898" s="9" t="str">
        <f>HYPERLINK("https://twitter.com/womensbrainpro/status/1218492394431225857","1218492394431225857")</f>
        <v>1218492394431225857</v>
      </c>
      <c r="F1898" s="13"/>
      <c r="G1898" s="11" t="s">
        <v>8161</v>
      </c>
      <c r="H1898" s="13"/>
      <c r="I1898" s="14">
        <v>6.0</v>
      </c>
      <c r="J1898" s="14">
        <v>8.0</v>
      </c>
      <c r="K1898" s="9" t="str">
        <f>HYPERLINK("http://twitter.com/download/iphone","Twitter for iPhone")</f>
        <v>Twitter for iPhone</v>
      </c>
      <c r="L1898" s="15">
        <v>4136.0</v>
      </c>
      <c r="M1898" s="15">
        <v>5000.0</v>
      </c>
      <c r="N1898" s="15">
        <v>64.0</v>
      </c>
      <c r="O1898" s="16"/>
      <c r="P1898" s="17">
        <v>42779.67152777778</v>
      </c>
      <c r="Q1898" s="10" t="s">
        <v>7014</v>
      </c>
      <c r="R1898" s="10" t="s">
        <v>7015</v>
      </c>
      <c r="S1898" s="11" t="s">
        <v>7016</v>
      </c>
      <c r="T1898" s="13"/>
      <c r="U1898" s="18" t="str">
        <f>HYPERLINK("https://pbs.twimg.com/profile_images/831249224557875200/6sL7dKBO.jpg","View")</f>
        <v>View</v>
      </c>
      <c r="V1898" s="13"/>
      <c r="W1898" s="13"/>
      <c r="X1898" s="13"/>
      <c r="Y1898" s="13"/>
      <c r="Z1898" s="13"/>
    </row>
    <row r="1899">
      <c r="A1899" s="8">
        <v>43848.26053240741</v>
      </c>
      <c r="B1899" s="9" t="str">
        <f>HYPERLINK("https://twitter.com/TomMadejski","@TomMadejski")</f>
        <v>@TomMadejski</v>
      </c>
      <c r="C1899" s="10" t="s">
        <v>8162</v>
      </c>
      <c r="D1899" s="10" t="s">
        <v>8163</v>
      </c>
      <c r="E1899" s="9" t="str">
        <f>HYPERLINK("https://twitter.com/TomMadejski/status/1218492018994941952","1218492018994941952")</f>
        <v>1218492018994941952</v>
      </c>
      <c r="F1899" s="11" t="s">
        <v>8164</v>
      </c>
      <c r="G1899" s="13"/>
      <c r="H1899" s="13"/>
      <c r="I1899" s="14">
        <v>1.0</v>
      </c>
      <c r="J1899" s="14">
        <v>0.0</v>
      </c>
      <c r="K1899" s="9" t="str">
        <f t="shared" ref="K1899:K1900" si="234">HYPERLINK("https://www.hootsuite.com","Hootsuite Inc.")</f>
        <v>Hootsuite Inc.</v>
      </c>
      <c r="L1899" s="15">
        <v>373.0</v>
      </c>
      <c r="M1899" s="15">
        <v>315.0</v>
      </c>
      <c r="N1899" s="15">
        <v>7.0</v>
      </c>
      <c r="O1899" s="16"/>
      <c r="P1899" s="17">
        <v>42036.93204861111</v>
      </c>
      <c r="Q1899" s="10" t="s">
        <v>8165</v>
      </c>
      <c r="R1899" s="10" t="s">
        <v>8166</v>
      </c>
      <c r="S1899" s="13"/>
      <c r="T1899" s="13"/>
      <c r="U1899" s="18" t="str">
        <f>HYPERLINK("https://pbs.twimg.com/profile_images/592199214421147648/fcO6lFJI.jpg","View")</f>
        <v>View</v>
      </c>
      <c r="V1899" s="13"/>
      <c r="W1899" s="13"/>
      <c r="X1899" s="13"/>
      <c r="Y1899" s="13"/>
      <c r="Z1899" s="13"/>
    </row>
    <row r="1900">
      <c r="A1900" s="8">
        <v>43848.26049768519</v>
      </c>
      <c r="B1900" s="9" t="str">
        <f>HYPERLINK("https://twitter.com/DIMHN","@DIMHN")</f>
        <v>@DIMHN</v>
      </c>
      <c r="C1900" s="10" t="s">
        <v>8167</v>
      </c>
      <c r="D1900" s="10" t="s">
        <v>8168</v>
      </c>
      <c r="E1900" s="9" t="str">
        <f>HYPERLINK("https://twitter.com/DIMHN/status/1218492006013571072","1218492006013571072")</f>
        <v>1218492006013571072</v>
      </c>
      <c r="F1900" s="11" t="s">
        <v>8169</v>
      </c>
      <c r="G1900" s="11" t="s">
        <v>8170</v>
      </c>
      <c r="H1900" s="13"/>
      <c r="I1900" s="14">
        <v>1.0</v>
      </c>
      <c r="J1900" s="14">
        <v>0.0</v>
      </c>
      <c r="K1900" s="9" t="str">
        <f t="shared" si="234"/>
        <v>Hootsuite Inc.</v>
      </c>
      <c r="L1900" s="15">
        <v>1870.0</v>
      </c>
      <c r="M1900" s="15">
        <v>2857.0</v>
      </c>
      <c r="N1900" s="15">
        <v>53.0</v>
      </c>
      <c r="O1900" s="16"/>
      <c r="P1900" s="17">
        <v>41095.18996527778</v>
      </c>
      <c r="Q1900" s="13"/>
      <c r="R1900" s="10" t="s">
        <v>8171</v>
      </c>
      <c r="S1900" s="11" t="s">
        <v>8172</v>
      </c>
      <c r="T1900" s="13"/>
      <c r="U1900" s="18" t="str">
        <f>HYPERLINK("https://pbs.twimg.com/profile_images/835443062847459328/YSKWQK7W.jpg","View")</f>
        <v>View</v>
      </c>
      <c r="V1900" s="13"/>
      <c r="W1900" s="13"/>
      <c r="X1900" s="13"/>
      <c r="Y1900" s="13"/>
      <c r="Z1900" s="13"/>
    </row>
    <row r="1901">
      <c r="A1901" s="8">
        <v>43848.258564814816</v>
      </c>
      <c r="B1901" s="9" t="str">
        <f>HYPERLINK("https://twitter.com/JamesDMusic1","@JamesDMusic1")</f>
        <v>@JamesDMusic1</v>
      </c>
      <c r="C1901" s="10" t="s">
        <v>8173</v>
      </c>
      <c r="D1901" s="10" t="s">
        <v>8174</v>
      </c>
      <c r="E1901" s="9" t="str">
        <f>HYPERLINK("https://twitter.com/JamesDMusic1/status/1218491304147144705","1218491304147144705")</f>
        <v>1218491304147144705</v>
      </c>
      <c r="F1901" s="13"/>
      <c r="G1901" s="11" t="s">
        <v>8175</v>
      </c>
      <c r="H1901" s="13"/>
      <c r="I1901" s="14">
        <v>1.0</v>
      </c>
      <c r="J1901" s="14">
        <v>3.0</v>
      </c>
      <c r="K1901" s="9" t="str">
        <f t="shared" ref="K1901:K1902" si="235">HYPERLINK("http://twitter.com/download/android","Twitter for Android")</f>
        <v>Twitter for Android</v>
      </c>
      <c r="L1901" s="15">
        <v>792.0</v>
      </c>
      <c r="M1901" s="15">
        <v>658.0</v>
      </c>
      <c r="N1901" s="15">
        <v>14.0</v>
      </c>
      <c r="O1901" s="16"/>
      <c r="P1901" s="17">
        <v>39968.469675925924</v>
      </c>
      <c r="Q1901" s="10" t="s">
        <v>161</v>
      </c>
      <c r="R1901" s="10" t="s">
        <v>8176</v>
      </c>
      <c r="S1901" s="11" t="s">
        <v>8177</v>
      </c>
      <c r="T1901" s="13"/>
      <c r="U1901" s="18" t="str">
        <f>HYPERLINK("https://pbs.twimg.com/profile_images/1218491699879710722/7ln0CKaa.jpg","View")</f>
        <v>View</v>
      </c>
      <c r="V1901" s="13"/>
      <c r="W1901" s="13"/>
      <c r="X1901" s="13"/>
      <c r="Y1901" s="13"/>
      <c r="Z1901" s="13"/>
    </row>
    <row r="1902">
      <c r="A1902" s="8">
        <v>43848.258252314816</v>
      </c>
      <c r="B1902" s="9" t="str">
        <f>HYPERLINK("https://twitter.com/apexbhdearborn","@apexbhdearborn")</f>
        <v>@apexbhdearborn</v>
      </c>
      <c r="C1902" s="10" t="s">
        <v>8178</v>
      </c>
      <c r="D1902" s="10" t="s">
        <v>8179</v>
      </c>
      <c r="E1902" s="9" t="str">
        <f>HYPERLINK("https://twitter.com/apexbhdearborn/status/1218491194591862784","1218491194591862784")</f>
        <v>1218491194591862784</v>
      </c>
      <c r="F1902" s="13"/>
      <c r="G1902" s="11" t="s">
        <v>8180</v>
      </c>
      <c r="H1902" s="13"/>
      <c r="I1902" s="14">
        <v>1.0</v>
      </c>
      <c r="J1902" s="14">
        <v>1.0</v>
      </c>
      <c r="K1902" s="9" t="str">
        <f t="shared" si="235"/>
        <v>Twitter for Android</v>
      </c>
      <c r="L1902" s="15">
        <v>37.0</v>
      </c>
      <c r="M1902" s="15">
        <v>56.0</v>
      </c>
      <c r="N1902" s="15">
        <v>7.0</v>
      </c>
      <c r="O1902" s="16"/>
      <c r="P1902" s="17">
        <v>41461.116875</v>
      </c>
      <c r="Q1902" s="13"/>
      <c r="R1902" s="10" t="s">
        <v>8181</v>
      </c>
      <c r="S1902" s="11" t="s">
        <v>8182</v>
      </c>
      <c r="T1902" s="13"/>
      <c r="U1902" s="18" t="str">
        <f>HYPERLINK("https://pbs.twimg.com/profile_images/575950303675097088/d9Pwqj5s.png","View")</f>
        <v>View</v>
      </c>
      <c r="V1902" s="13"/>
      <c r="W1902" s="13"/>
      <c r="X1902" s="13"/>
      <c r="Y1902" s="13"/>
      <c r="Z1902" s="13"/>
    </row>
    <row r="1903">
      <c r="A1903" s="8">
        <v>43848.258009259254</v>
      </c>
      <c r="B1903" s="9" t="str">
        <f>HYPERLINK("https://twitter.com/ProfLAppleby","@ProfLAppleby")</f>
        <v>@ProfLAppleby</v>
      </c>
      <c r="C1903" s="10" t="s">
        <v>8088</v>
      </c>
      <c r="D1903" s="10" t="s">
        <v>8183</v>
      </c>
      <c r="E1903" s="9" t="str">
        <f>HYPERLINK("https://twitter.com/ProfLAppleby/status/1218491104728879104","1218491104728879104")</f>
        <v>1218491104728879104</v>
      </c>
      <c r="F1903" s="10" t="s">
        <v>8184</v>
      </c>
      <c r="G1903" s="13"/>
      <c r="H1903" s="13"/>
      <c r="I1903" s="14">
        <v>3.0</v>
      </c>
      <c r="J1903" s="14">
        <v>3.0</v>
      </c>
      <c r="K1903" s="9" t="str">
        <f>HYPERLINK("https://mobile.twitter.com","Twitter Web App")</f>
        <v>Twitter Web App</v>
      </c>
      <c r="L1903" s="15">
        <v>19991.0</v>
      </c>
      <c r="M1903" s="15">
        <v>1276.0</v>
      </c>
      <c r="N1903" s="15">
        <v>338.0</v>
      </c>
      <c r="O1903" s="16"/>
      <c r="P1903" s="17">
        <v>41051.49784722222</v>
      </c>
      <c r="Q1903" s="10" t="s">
        <v>8090</v>
      </c>
      <c r="R1903" s="10" t="s">
        <v>8091</v>
      </c>
      <c r="S1903" s="13"/>
      <c r="T1903" s="13"/>
      <c r="U1903" s="18" t="str">
        <f>HYPERLINK("https://pbs.twimg.com/profile_images/1089084460690219008/1yCPcGAC.jpg","View")</f>
        <v>View</v>
      </c>
      <c r="V1903" s="13"/>
      <c r="W1903" s="13"/>
      <c r="X1903" s="13"/>
      <c r="Y1903" s="13"/>
      <c r="Z1903" s="13"/>
    </row>
    <row r="1904">
      <c r="A1904" s="8">
        <v>43848.25711805555</v>
      </c>
      <c r="B1904" s="9" t="str">
        <f>HYPERLINK("https://twitter.com/AngelfrmMars","@AngelfrmMars")</f>
        <v>@AngelfrmMars</v>
      </c>
      <c r="C1904" s="10" t="s">
        <v>8185</v>
      </c>
      <c r="D1904" s="10" t="s">
        <v>8186</v>
      </c>
      <c r="E1904" s="9" t="str">
        <f>HYPERLINK("https://twitter.com/AngelfrmMars/status/1218490782941736960","1218490782941736960")</f>
        <v>1218490782941736960</v>
      </c>
      <c r="F1904" s="13"/>
      <c r="G1904" s="11" t="s">
        <v>8187</v>
      </c>
      <c r="H1904" s="13"/>
      <c r="I1904" s="14">
        <v>1.0</v>
      </c>
      <c r="J1904" s="14">
        <v>0.0</v>
      </c>
      <c r="K1904" s="9" t="str">
        <f>HYPERLINK("http://twitter.com/download/android","Twitter for Android")</f>
        <v>Twitter for Android</v>
      </c>
      <c r="L1904" s="15">
        <v>22.0</v>
      </c>
      <c r="M1904" s="15">
        <v>294.0</v>
      </c>
      <c r="N1904" s="15">
        <v>0.0</v>
      </c>
      <c r="O1904" s="16"/>
      <c r="P1904" s="17">
        <v>43823.43666666667</v>
      </c>
      <c r="Q1904" s="13"/>
      <c r="R1904" s="10" t="s">
        <v>8188</v>
      </c>
      <c r="S1904" s="13"/>
      <c r="T1904" s="13"/>
      <c r="U1904" s="18" t="str">
        <f>HYPERLINK("https://pbs.twimg.com/profile_images/1209496353216155648/9vWGWA_S.jpg","View")</f>
        <v>View</v>
      </c>
      <c r="V1904" s="13"/>
      <c r="W1904" s="13"/>
      <c r="X1904" s="13"/>
      <c r="Y1904" s="13"/>
      <c r="Z1904" s="13"/>
    </row>
    <row r="1905">
      <c r="A1905" s="8">
        <v>43848.2569212963</v>
      </c>
      <c r="B1905" s="9" t="str">
        <f>HYPERLINK("https://twitter.com/MuthianiNzioki","@MuthianiNzioki")</f>
        <v>@MuthianiNzioki</v>
      </c>
      <c r="C1905" s="10" t="s">
        <v>8189</v>
      </c>
      <c r="D1905" s="10" t="s">
        <v>238</v>
      </c>
      <c r="E1905" s="9" t="str">
        <f>HYPERLINK("https://twitter.com/MuthianiNzioki/status/1218490712339230720","1218490712339230720")</f>
        <v>1218490712339230720</v>
      </c>
      <c r="F1905" s="13"/>
      <c r="G1905" s="13"/>
      <c r="H1905" s="13"/>
      <c r="I1905" s="14">
        <v>0.0</v>
      </c>
      <c r="J1905" s="14">
        <v>0.0</v>
      </c>
      <c r="K1905" s="9" t="str">
        <f>HYPERLINK("http://twitter.com/download/iphone","Twitter for iPhone")</f>
        <v>Twitter for iPhone</v>
      </c>
      <c r="L1905" s="15">
        <v>339.0</v>
      </c>
      <c r="M1905" s="15">
        <v>429.0</v>
      </c>
      <c r="N1905" s="15">
        <v>18.0</v>
      </c>
      <c r="O1905" s="16"/>
      <c r="P1905" s="17">
        <v>40788.5700462963</v>
      </c>
      <c r="Q1905" s="10" t="s">
        <v>8190</v>
      </c>
      <c r="R1905" s="10" t="s">
        <v>8191</v>
      </c>
      <c r="S1905" s="13"/>
      <c r="T1905" s="13"/>
      <c r="U1905" s="18" t="str">
        <f>HYPERLINK("https://pbs.twimg.com/profile_images/1182545190755688448/1a_wWBhl.jpg","View")</f>
        <v>View</v>
      </c>
      <c r="V1905" s="13"/>
      <c r="W1905" s="13"/>
      <c r="X1905" s="13"/>
      <c r="Y1905" s="13"/>
      <c r="Z1905" s="13"/>
    </row>
    <row r="1906">
      <c r="A1906" s="8">
        <v>43848.25690972222</v>
      </c>
      <c r="B1906" s="9" t="str">
        <f>HYPERLINK("https://twitter.com/brokenmom48","@brokenmom48")</f>
        <v>@brokenmom48</v>
      </c>
      <c r="C1906" s="10" t="s">
        <v>8192</v>
      </c>
      <c r="D1906" s="10" t="s">
        <v>8193</v>
      </c>
      <c r="E1906" s="9" t="str">
        <f>HYPERLINK("https://twitter.com/brokenmom48/status/1218490706022617088","1218490706022617088")</f>
        <v>1218490706022617088</v>
      </c>
      <c r="F1906" s="13"/>
      <c r="G1906" s="13"/>
      <c r="H1906" s="13"/>
      <c r="I1906" s="14">
        <v>0.0</v>
      </c>
      <c r="J1906" s="14">
        <v>9.0</v>
      </c>
      <c r="K1906" s="9" t="str">
        <f>HYPERLINK("http://twitter.com/download/android","Twitter for Android")</f>
        <v>Twitter for Android</v>
      </c>
      <c r="L1906" s="15">
        <v>585.0</v>
      </c>
      <c r="M1906" s="15">
        <v>681.0</v>
      </c>
      <c r="N1906" s="15">
        <v>1.0</v>
      </c>
      <c r="O1906" s="16"/>
      <c r="P1906" s="17">
        <v>43688.809016203704</v>
      </c>
      <c r="Q1906" s="10" t="s">
        <v>2737</v>
      </c>
      <c r="R1906" s="10" t="s">
        <v>8194</v>
      </c>
      <c r="S1906" s="13"/>
      <c r="T1906" s="13"/>
      <c r="U1906" s="18" t="str">
        <f>HYPERLINK("https://pbs.twimg.com/profile_images/1210543225410408450/UIFv0VcD.jpg","View")</f>
        <v>View</v>
      </c>
      <c r="V1906" s="13"/>
      <c r="W1906" s="13"/>
      <c r="X1906" s="13"/>
      <c r="Y1906" s="13"/>
      <c r="Z1906" s="13"/>
    </row>
    <row r="1907">
      <c r="A1907" s="8">
        <v>43848.256793981476</v>
      </c>
      <c r="B1907" s="9" t="str">
        <f>HYPERLINK("https://twitter.com/recce_trooper","@recce_trooper")</f>
        <v>@recce_trooper</v>
      </c>
      <c r="C1907" s="10" t="s">
        <v>8195</v>
      </c>
      <c r="D1907" s="10" t="s">
        <v>238</v>
      </c>
      <c r="E1907" s="9" t="str">
        <f>HYPERLINK("https://twitter.com/recce_trooper/status/1218490666445090816","1218490666445090816")</f>
        <v>1218490666445090816</v>
      </c>
      <c r="F1907" s="13"/>
      <c r="G1907" s="13"/>
      <c r="H1907" s="13"/>
      <c r="I1907" s="14">
        <v>0.0</v>
      </c>
      <c r="J1907" s="14">
        <v>0.0</v>
      </c>
      <c r="K1907" s="9" t="str">
        <f>HYPERLINK("https://mobile.twitter.com","Twitter Web App")</f>
        <v>Twitter Web App</v>
      </c>
      <c r="L1907" s="15">
        <v>924.0</v>
      </c>
      <c r="M1907" s="15">
        <v>1653.0</v>
      </c>
      <c r="N1907" s="15">
        <v>17.0</v>
      </c>
      <c r="O1907" s="16"/>
      <c r="P1907" s="17">
        <v>40881.832650462966</v>
      </c>
      <c r="Q1907" s="10" t="s">
        <v>8196</v>
      </c>
      <c r="R1907" s="10" t="s">
        <v>8197</v>
      </c>
      <c r="S1907" s="13"/>
      <c r="T1907" s="13"/>
      <c r="U1907" s="18" t="str">
        <f>HYPERLINK("https://pbs.twimg.com/profile_images/900408412063793153/lF9u5Ckc.jpg","View")</f>
        <v>View</v>
      </c>
      <c r="V1907" s="13"/>
      <c r="W1907" s="13"/>
      <c r="X1907" s="13"/>
      <c r="Y1907" s="13"/>
      <c r="Z1907" s="13"/>
    </row>
    <row r="1908">
      <c r="A1908" s="8">
        <v>43848.256747685184</v>
      </c>
      <c r="B1908" s="9" t="str">
        <f>HYPERLINK("https://twitter.com/Alwinner","@Alwinner")</f>
        <v>@Alwinner</v>
      </c>
      <c r="C1908" s="10" t="s">
        <v>8198</v>
      </c>
      <c r="D1908" s="10" t="s">
        <v>238</v>
      </c>
      <c r="E1908" s="9" t="str">
        <f>HYPERLINK("https://twitter.com/Alwinner/status/1218490648455778306","1218490648455778306")</f>
        <v>1218490648455778306</v>
      </c>
      <c r="F1908" s="13"/>
      <c r="G1908" s="13"/>
      <c r="H1908" s="13"/>
      <c r="I1908" s="14">
        <v>0.0</v>
      </c>
      <c r="J1908" s="14">
        <v>0.0</v>
      </c>
      <c r="K1908" s="9" t="str">
        <f t="shared" ref="K1908:K1909" si="236">HYPERLINK("http://twitter.com/download/iphone","Twitter for iPhone")</f>
        <v>Twitter for iPhone</v>
      </c>
      <c r="L1908" s="15">
        <v>625.0</v>
      </c>
      <c r="M1908" s="15">
        <v>1042.0</v>
      </c>
      <c r="N1908" s="15">
        <v>40.0</v>
      </c>
      <c r="O1908" s="16"/>
      <c r="P1908" s="17">
        <v>39895.375439814816</v>
      </c>
      <c r="Q1908" s="10" t="s">
        <v>8199</v>
      </c>
      <c r="R1908" s="10" t="s">
        <v>8200</v>
      </c>
      <c r="S1908" s="11" t="s">
        <v>8201</v>
      </c>
      <c r="T1908" s="13"/>
      <c r="U1908" s="18" t="str">
        <f>HYPERLINK("https://pbs.twimg.com/profile_images/825754572870148096/kfZx3ckx.jpg","View")</f>
        <v>View</v>
      </c>
      <c r="V1908" s="13"/>
      <c r="W1908" s="13"/>
      <c r="X1908" s="13"/>
      <c r="Y1908" s="13"/>
      <c r="Z1908" s="13"/>
    </row>
    <row r="1909">
      <c r="A1909" s="8">
        <v>43848.25633101852</v>
      </c>
      <c r="B1909" s="9" t="str">
        <f>HYPERLINK("https://twitter.com/KendalFamilyLaw","@KendalFamilyLaw")</f>
        <v>@KendalFamilyLaw</v>
      </c>
      <c r="C1909" s="10" t="s">
        <v>8202</v>
      </c>
      <c r="D1909" s="10" t="s">
        <v>8203</v>
      </c>
      <c r="E1909" s="9" t="str">
        <f>HYPERLINK("https://twitter.com/KendalFamilyLaw/status/1218490496953339909","1218490496953339909")</f>
        <v>1218490496953339909</v>
      </c>
      <c r="F1909" s="10" t="s">
        <v>8204</v>
      </c>
      <c r="G1909" s="13"/>
      <c r="H1909" s="13"/>
      <c r="I1909" s="14">
        <v>0.0</v>
      </c>
      <c r="J1909" s="14">
        <v>2.0</v>
      </c>
      <c r="K1909" s="9" t="str">
        <f t="shared" si="236"/>
        <v>Twitter for iPhone</v>
      </c>
      <c r="L1909" s="15">
        <v>378.0</v>
      </c>
      <c r="M1909" s="15">
        <v>930.0</v>
      </c>
      <c r="N1909" s="15">
        <v>13.0</v>
      </c>
      <c r="O1909" s="16"/>
      <c r="P1909" s="17">
        <v>42564.16241898148</v>
      </c>
      <c r="Q1909" s="10" t="s">
        <v>8205</v>
      </c>
      <c r="R1909" s="10" t="s">
        <v>8206</v>
      </c>
      <c r="S1909" s="11" t="s">
        <v>8207</v>
      </c>
      <c r="T1909" s="13"/>
      <c r="U1909" s="18" t="str">
        <f>HYPERLINK("https://pbs.twimg.com/profile_images/753146345481965568/dr0fra4H.jpg","View")</f>
        <v>View</v>
      </c>
      <c r="V1909" s="13"/>
      <c r="W1909" s="13"/>
      <c r="X1909" s="13"/>
      <c r="Y1909" s="13"/>
      <c r="Z1909" s="13"/>
    </row>
    <row r="1910">
      <c r="A1910" s="8">
        <v>43848.25623842592</v>
      </c>
      <c r="B1910" s="9" t="str">
        <f>HYPERLINK("https://twitter.com/Do_Until_Done","@Do_Until_Done")</f>
        <v>@Do_Until_Done</v>
      </c>
      <c r="C1910" s="10" t="s">
        <v>8208</v>
      </c>
      <c r="D1910" s="10" t="s">
        <v>238</v>
      </c>
      <c r="E1910" s="9" t="str">
        <f>HYPERLINK("https://twitter.com/Do_Until_Done/status/1218490461133975552","1218490461133975552")</f>
        <v>1218490461133975552</v>
      </c>
      <c r="F1910" s="13"/>
      <c r="G1910" s="13"/>
      <c r="H1910" s="13"/>
      <c r="I1910" s="14">
        <v>0.0</v>
      </c>
      <c r="J1910" s="14">
        <v>0.0</v>
      </c>
      <c r="K1910" s="9" t="str">
        <f t="shared" ref="K1910:K1911" si="237">HYPERLINK("http://twitter.com/download/android","Twitter for Android")</f>
        <v>Twitter for Android</v>
      </c>
      <c r="L1910" s="15">
        <v>7.0</v>
      </c>
      <c r="M1910" s="15">
        <v>140.0</v>
      </c>
      <c r="N1910" s="15">
        <v>0.0</v>
      </c>
      <c r="O1910" s="16"/>
      <c r="P1910" s="17">
        <v>42229.60490740741</v>
      </c>
      <c r="Q1910" s="13"/>
      <c r="R1910" s="10" t="s">
        <v>8209</v>
      </c>
      <c r="S1910" s="13"/>
      <c r="T1910" s="13"/>
      <c r="U1910" s="18" t="str">
        <f>HYPERLINK("https://pbs.twimg.com/profile_images/1142730390538530816/noPpe5My.jpg","View")</f>
        <v>View</v>
      </c>
      <c r="V1910" s="13"/>
      <c r="W1910" s="13"/>
      <c r="X1910" s="13"/>
      <c r="Y1910" s="13"/>
      <c r="Z1910" s="13"/>
    </row>
    <row r="1911">
      <c r="A1911" s="8">
        <v>43848.2559837963</v>
      </c>
      <c r="B1911" s="9" t="str">
        <f>HYPERLINK("https://twitter.com/recycle_urself","@recycle_urself")</f>
        <v>@recycle_urself</v>
      </c>
      <c r="C1911" s="10" t="s">
        <v>8210</v>
      </c>
      <c r="D1911" s="10" t="s">
        <v>8211</v>
      </c>
      <c r="E1911" s="9" t="str">
        <f>HYPERLINK("https://twitter.com/recycle_urself/status/1218490372751548417","1218490372751548417")</f>
        <v>1218490372751548417</v>
      </c>
      <c r="F1911" s="13"/>
      <c r="G1911" s="11" t="s">
        <v>8212</v>
      </c>
      <c r="H1911" s="13"/>
      <c r="I1911" s="14">
        <v>3.0</v>
      </c>
      <c r="J1911" s="14">
        <v>4.0</v>
      </c>
      <c r="K1911" s="9" t="str">
        <f t="shared" si="237"/>
        <v>Twitter for Android</v>
      </c>
      <c r="L1911" s="15">
        <v>1257.0</v>
      </c>
      <c r="M1911" s="15">
        <v>1515.0</v>
      </c>
      <c r="N1911" s="15">
        <v>9.0</v>
      </c>
      <c r="O1911" s="16"/>
      <c r="P1911" s="17">
        <v>43250.641701388886</v>
      </c>
      <c r="Q1911" s="10" t="s">
        <v>7209</v>
      </c>
      <c r="R1911" s="10" t="s">
        <v>8213</v>
      </c>
      <c r="S1911" s="11" t="s">
        <v>8214</v>
      </c>
      <c r="T1911" s="13"/>
      <c r="U1911" s="18" t="str">
        <f>HYPERLINK("https://pbs.twimg.com/profile_images/1143580941488664577/svZKUUHU.jpg","View")</f>
        <v>View</v>
      </c>
      <c r="V1911" s="13"/>
      <c r="W1911" s="13"/>
      <c r="X1911" s="13"/>
      <c r="Y1911" s="13"/>
      <c r="Z1911" s="13"/>
    </row>
    <row r="1912">
      <c r="A1912" s="8">
        <v>43848.25576388889</v>
      </c>
      <c r="B1912" s="9" t="str">
        <f>HYPERLINK("https://twitter.com/lavenderlens","@lavenderlens")</f>
        <v>@lavenderlens</v>
      </c>
      <c r="C1912" s="10" t="s">
        <v>8215</v>
      </c>
      <c r="D1912" s="10" t="s">
        <v>8216</v>
      </c>
      <c r="E1912" s="9" t="str">
        <f>HYPERLINK("https://twitter.com/lavenderlens/status/1218490292300656640","1218490292300656640")</f>
        <v>1218490292300656640</v>
      </c>
      <c r="F1912" s="10" t="s">
        <v>8217</v>
      </c>
      <c r="G1912" s="13"/>
      <c r="H1912" s="13"/>
      <c r="I1912" s="14">
        <v>0.0</v>
      </c>
      <c r="J1912" s="14">
        <v>0.0</v>
      </c>
      <c r="K1912" s="9" t="str">
        <f>HYPERLINK("http://twitter.com/download/iphone","Twitter for iPhone")</f>
        <v>Twitter for iPhone</v>
      </c>
      <c r="L1912" s="15">
        <v>3149.0</v>
      </c>
      <c r="M1912" s="15">
        <v>4998.0</v>
      </c>
      <c r="N1912" s="15">
        <v>231.0</v>
      </c>
      <c r="O1912" s="16"/>
      <c r="P1912" s="17">
        <v>39946.718194444446</v>
      </c>
      <c r="Q1912" s="10" t="s">
        <v>8218</v>
      </c>
      <c r="R1912" s="10" t="s">
        <v>8219</v>
      </c>
      <c r="S1912" s="11" t="s">
        <v>8220</v>
      </c>
      <c r="T1912" s="13"/>
      <c r="U1912" s="18" t="str">
        <f>HYPERLINK("https://pbs.twimg.com/profile_images/882360571596726272/mojXDV6X.jpg","View")</f>
        <v>View</v>
      </c>
      <c r="V1912" s="13"/>
      <c r="W1912" s="13"/>
      <c r="X1912" s="13"/>
      <c r="Y1912" s="13"/>
      <c r="Z1912" s="13"/>
    </row>
    <row r="1913">
      <c r="A1913" s="8">
        <v>43848.255277777775</v>
      </c>
      <c r="B1913" s="9" t="str">
        <f>HYPERLINK("https://twitter.com/muzefun","@muzefun")</f>
        <v>@muzefun</v>
      </c>
      <c r="C1913" s="10" t="s">
        <v>8221</v>
      </c>
      <c r="D1913" s="10" t="s">
        <v>8222</v>
      </c>
      <c r="E1913" s="9" t="str">
        <f>HYPERLINK("https://twitter.com/muzefun/status/1218490116219514880","1218490116219514880")</f>
        <v>1218490116219514880</v>
      </c>
      <c r="F1913" s="10" t="s">
        <v>8223</v>
      </c>
      <c r="G1913" s="13"/>
      <c r="H1913" s="13"/>
      <c r="I1913" s="14">
        <v>0.0</v>
      </c>
      <c r="J1913" s="14">
        <v>0.0</v>
      </c>
      <c r="K1913" s="9" t="str">
        <f>HYPERLINK("https://mobile.twitter.com","Twitter Web App")</f>
        <v>Twitter Web App</v>
      </c>
      <c r="L1913" s="15">
        <v>429.0</v>
      </c>
      <c r="M1913" s="15">
        <v>133.0</v>
      </c>
      <c r="N1913" s="15">
        <v>327.0</v>
      </c>
      <c r="O1913" s="16"/>
      <c r="P1913" s="17">
        <v>40333.7052662037</v>
      </c>
      <c r="Q1913" s="10" t="s">
        <v>8224</v>
      </c>
      <c r="R1913" s="10" t="s">
        <v>8225</v>
      </c>
      <c r="S1913" s="11" t="s">
        <v>8226</v>
      </c>
      <c r="T1913" s="13"/>
      <c r="U1913" s="18" t="str">
        <f>HYPERLINK("https://pbs.twimg.com/profile_images/1214768818125451264/WbvzdwKZ.jpg","View")</f>
        <v>View</v>
      </c>
      <c r="V1913" s="13"/>
      <c r="W1913" s="13"/>
      <c r="X1913" s="13"/>
      <c r="Y1913" s="13"/>
      <c r="Z1913" s="13"/>
    </row>
    <row r="1914">
      <c r="A1914" s="8">
        <v>43848.25505787037</v>
      </c>
      <c r="B1914" s="9" t="str">
        <f>HYPERLINK("https://twitter.com/whitetreecoach1","@whitetreecoach1")</f>
        <v>@whitetreecoach1</v>
      </c>
      <c r="C1914" s="10" t="s">
        <v>8227</v>
      </c>
      <c r="D1914" s="10" t="s">
        <v>8228</v>
      </c>
      <c r="E1914" s="9" t="str">
        <f>HYPERLINK("https://twitter.com/whitetreecoach1/status/1218490034606739463","1218490034606739463")</f>
        <v>1218490034606739463</v>
      </c>
      <c r="F1914" s="13"/>
      <c r="G1914" s="13"/>
      <c r="H1914" s="13"/>
      <c r="I1914" s="14">
        <v>0.0</v>
      </c>
      <c r="J1914" s="14">
        <v>0.0</v>
      </c>
      <c r="K1914" s="9" t="str">
        <f>HYPERLINK("http://twitter.com/download/iphone","Twitter for iPhone")</f>
        <v>Twitter for iPhone</v>
      </c>
      <c r="L1914" s="15">
        <v>334.0</v>
      </c>
      <c r="M1914" s="15">
        <v>731.0</v>
      </c>
      <c r="N1914" s="15">
        <v>3.0</v>
      </c>
      <c r="O1914" s="16"/>
      <c r="P1914" s="17">
        <v>43480.22927083333</v>
      </c>
      <c r="Q1914" s="10" t="s">
        <v>6187</v>
      </c>
      <c r="R1914" s="10" t="s">
        <v>8229</v>
      </c>
      <c r="S1914" s="13"/>
      <c r="T1914" s="13"/>
      <c r="U1914" s="18" t="str">
        <f>HYPERLINK("https://pbs.twimg.com/profile_images/1165551562434985985/eFn50eZe.jpg","View")</f>
        <v>View</v>
      </c>
      <c r="V1914" s="13"/>
      <c r="W1914" s="13"/>
      <c r="X1914" s="13"/>
      <c r="Y1914" s="13"/>
      <c r="Z1914" s="13"/>
    </row>
    <row r="1915">
      <c r="A1915" s="8">
        <v>43848.25487268518</v>
      </c>
      <c r="B1915" s="9" t="str">
        <f>HYPERLINK("https://twitter.com/Mikeaceofspades","@Mikeaceofspades")</f>
        <v>@Mikeaceofspades</v>
      </c>
      <c r="C1915" s="10" t="s">
        <v>8230</v>
      </c>
      <c r="D1915" s="10" t="s">
        <v>8231</v>
      </c>
      <c r="E1915" s="9" t="str">
        <f>HYPERLINK("https://twitter.com/Mikeaceofspades/status/1218489968173232128","1218489968173232128")</f>
        <v>1218489968173232128</v>
      </c>
      <c r="F1915" s="13"/>
      <c r="G1915" s="11" t="s">
        <v>8232</v>
      </c>
      <c r="H1915" s="13"/>
      <c r="I1915" s="14">
        <v>0.0</v>
      </c>
      <c r="J1915" s="14">
        <v>0.0</v>
      </c>
      <c r="K1915" s="9" t="str">
        <f>HYPERLINK("https://sproutsocial.com","Sprout Social")</f>
        <v>Sprout Social</v>
      </c>
      <c r="L1915" s="15">
        <v>362.0</v>
      </c>
      <c r="M1915" s="15">
        <v>598.0</v>
      </c>
      <c r="N1915" s="15">
        <v>10.0</v>
      </c>
      <c r="O1915" s="16"/>
      <c r="P1915" s="17">
        <v>40128.48068287037</v>
      </c>
      <c r="Q1915" s="10" t="s">
        <v>4664</v>
      </c>
      <c r="R1915" s="10" t="s">
        <v>8233</v>
      </c>
      <c r="S1915" s="11" t="s">
        <v>8234</v>
      </c>
      <c r="T1915" s="13"/>
      <c r="U1915" s="18" t="str">
        <f>HYPERLINK("https://pbs.twimg.com/profile_images/1052842255239786496/CTHSCVEC.jpg","View")</f>
        <v>View</v>
      </c>
      <c r="V1915" s="13"/>
      <c r="W1915" s="13"/>
      <c r="X1915" s="13"/>
      <c r="Y1915" s="13"/>
      <c r="Z1915" s="13"/>
    </row>
    <row r="1916">
      <c r="A1916" s="8">
        <v>43848.25438657407</v>
      </c>
      <c r="B1916" s="9" t="str">
        <f>HYPERLINK("https://twitter.com/LynWhite1812","@LynWhite1812")</f>
        <v>@LynWhite1812</v>
      </c>
      <c r="C1916" s="10" t="s">
        <v>8235</v>
      </c>
      <c r="D1916" s="10" t="s">
        <v>8236</v>
      </c>
      <c r="E1916" s="9" t="str">
        <f>HYPERLINK("https://twitter.com/LynWhite1812/status/1218489790569623552","1218489790569623552")</f>
        <v>1218489790569623552</v>
      </c>
      <c r="F1916" s="10" t="s">
        <v>8237</v>
      </c>
      <c r="G1916" s="11" t="s">
        <v>8238</v>
      </c>
      <c r="H1916" s="13"/>
      <c r="I1916" s="14">
        <v>0.0</v>
      </c>
      <c r="J1916" s="14">
        <v>3.0</v>
      </c>
      <c r="K1916" s="9" t="str">
        <f>HYPERLINK("http://twitter.com/download/android","Twitter for Android")</f>
        <v>Twitter for Android</v>
      </c>
      <c r="L1916" s="15">
        <v>58.0</v>
      </c>
      <c r="M1916" s="15">
        <v>277.0</v>
      </c>
      <c r="N1916" s="15">
        <v>1.0</v>
      </c>
      <c r="O1916" s="16"/>
      <c r="P1916" s="17">
        <v>42910.49555555556</v>
      </c>
      <c r="Q1916" s="10" t="s">
        <v>1442</v>
      </c>
      <c r="R1916" s="10" t="s">
        <v>8239</v>
      </c>
      <c r="S1916" s="13"/>
      <c r="T1916" s="13"/>
      <c r="U1916" s="18" t="str">
        <f>HYPERLINK("https://pbs.twimg.com/profile_images/926928344523984897/qf3JzVLd.jpg","View")</f>
        <v>View</v>
      </c>
      <c r="V1916" s="13"/>
      <c r="W1916" s="13"/>
      <c r="X1916" s="13"/>
      <c r="Y1916" s="13"/>
      <c r="Z1916" s="13"/>
    </row>
    <row r="1917">
      <c r="A1917" s="8">
        <v>43848.253541666665</v>
      </c>
      <c r="B1917" s="9" t="str">
        <f>HYPERLINK("https://twitter.com/TheNFER","@TheNFER")</f>
        <v>@TheNFER</v>
      </c>
      <c r="C1917" s="10" t="s">
        <v>8240</v>
      </c>
      <c r="D1917" s="10" t="s">
        <v>8241</v>
      </c>
      <c r="E1917" s="9" t="str">
        <f>HYPERLINK("https://twitter.com/TheNFER/status/1218489485337530370","1218489485337530370")</f>
        <v>1218489485337530370</v>
      </c>
      <c r="F1917" s="11" t="s">
        <v>8242</v>
      </c>
      <c r="G1917" s="11" t="s">
        <v>8243</v>
      </c>
      <c r="H1917" s="13"/>
      <c r="I1917" s="14">
        <v>0.0</v>
      </c>
      <c r="J1917" s="14">
        <v>1.0</v>
      </c>
      <c r="K1917" s="9" t="str">
        <f>HYPERLINK("https://www.hootsuite.com","Hootsuite Inc.")</f>
        <v>Hootsuite Inc.</v>
      </c>
      <c r="L1917" s="15">
        <v>22944.0</v>
      </c>
      <c r="M1917" s="15">
        <v>3470.0</v>
      </c>
      <c r="N1917" s="15">
        <v>327.0</v>
      </c>
      <c r="O1917" s="21" t="s">
        <v>522</v>
      </c>
      <c r="P1917" s="17">
        <v>40192.475960648146</v>
      </c>
      <c r="Q1917" s="10" t="s">
        <v>2323</v>
      </c>
      <c r="R1917" s="10" t="s">
        <v>8244</v>
      </c>
      <c r="S1917" s="11" t="s">
        <v>8245</v>
      </c>
      <c r="T1917" s="13"/>
      <c r="U1917" s="18" t="str">
        <f>HYPERLINK("https://pbs.twimg.com/profile_images/1194658887439388673/nk4lhs1e.jpg","View")</f>
        <v>View</v>
      </c>
      <c r="V1917" s="13"/>
      <c r="W1917" s="13"/>
      <c r="X1917" s="13"/>
      <c r="Y1917" s="13"/>
      <c r="Z1917" s="13"/>
    </row>
    <row r="1918">
      <c r="A1918" s="8">
        <v>43848.25326388889</v>
      </c>
      <c r="B1918" s="9" t="str">
        <f>HYPERLINK("https://twitter.com/Arman__Mansouri","@Arman__Mansouri")</f>
        <v>@Arman__Mansouri</v>
      </c>
      <c r="C1918" s="23" t="s">
        <v>8246</v>
      </c>
      <c r="D1918" s="10" t="s">
        <v>8247</v>
      </c>
      <c r="E1918" s="9" t="str">
        <f>HYPERLINK("https://twitter.com/Arman__Mansouri/status/1218489387048218626","1218489387048218626")</f>
        <v>1218489387048218626</v>
      </c>
      <c r="F1918" s="13"/>
      <c r="G1918" s="13"/>
      <c r="H1918" s="13"/>
      <c r="I1918" s="14">
        <v>0.0</v>
      </c>
      <c r="J1918" s="14">
        <v>0.0</v>
      </c>
      <c r="K1918" s="9" t="str">
        <f>HYPERLINK("http://twitter.com/download/iphone","Twitter for iPhone")</f>
        <v>Twitter for iPhone</v>
      </c>
      <c r="L1918" s="15">
        <v>1.0</v>
      </c>
      <c r="M1918" s="15">
        <v>6.0</v>
      </c>
      <c r="N1918" s="15">
        <v>0.0</v>
      </c>
      <c r="O1918" s="16"/>
      <c r="P1918" s="17">
        <v>43842.70238425926</v>
      </c>
      <c r="Q1918" s="10" t="s">
        <v>8248</v>
      </c>
      <c r="R1918" s="10" t="s">
        <v>8249</v>
      </c>
      <c r="S1918" s="11" t="s">
        <v>8250</v>
      </c>
      <c r="T1918" s="13"/>
      <c r="U1918" s="18" t="str">
        <f>HYPERLINK("https://pbs.twimg.com/profile_images/1216813652935872512/HrOIY8_w.jpg","View")</f>
        <v>View</v>
      </c>
      <c r="V1918" s="13"/>
      <c r="W1918" s="13"/>
      <c r="X1918" s="13"/>
      <c r="Y1918" s="13"/>
      <c r="Z1918" s="13"/>
    </row>
    <row r="1919">
      <c r="A1919" s="8">
        <v>43848.25287037037</v>
      </c>
      <c r="B1919" s="9" t="str">
        <f>HYPERLINK("https://twitter.com/NATTYCATZ","@NATTYCATZ")</f>
        <v>@NATTYCATZ</v>
      </c>
      <c r="C1919" s="10" t="s">
        <v>8251</v>
      </c>
      <c r="D1919" s="10" t="s">
        <v>8252</v>
      </c>
      <c r="E1919" s="9" t="str">
        <f>HYPERLINK("https://twitter.com/NATTYCATZ/status/1218489242264969216","1218489242264969216")</f>
        <v>1218489242264969216</v>
      </c>
      <c r="F1919" s="11" t="s">
        <v>8253</v>
      </c>
      <c r="G1919" s="13"/>
      <c r="H1919" s="13"/>
      <c r="I1919" s="14">
        <v>0.0</v>
      </c>
      <c r="J1919" s="14">
        <v>0.0</v>
      </c>
      <c r="K1919" s="9" t="str">
        <f t="shared" ref="K1919:K1922" si="238">HYPERLINK("http://twitter.com/download/android","Twitter for Android")</f>
        <v>Twitter for Android</v>
      </c>
      <c r="L1919" s="15">
        <v>568.0</v>
      </c>
      <c r="M1919" s="15">
        <v>2468.0</v>
      </c>
      <c r="N1919" s="15">
        <v>3.0</v>
      </c>
      <c r="O1919" s="16"/>
      <c r="P1919" s="17">
        <v>41866.517164351855</v>
      </c>
      <c r="Q1919" s="10" t="s">
        <v>8254</v>
      </c>
      <c r="R1919" s="10" t="s">
        <v>8255</v>
      </c>
      <c r="S1919" s="11" t="s">
        <v>8256</v>
      </c>
      <c r="T1919" s="13"/>
      <c r="U1919" s="18" t="str">
        <f>HYPERLINK("https://pbs.twimg.com/profile_images/1218518643899817984/SgQSwoor.jpg","View")</f>
        <v>View</v>
      </c>
      <c r="V1919" s="13"/>
      <c r="W1919" s="13"/>
      <c r="X1919" s="13"/>
      <c r="Y1919" s="13"/>
      <c r="Z1919" s="13"/>
    </row>
    <row r="1920">
      <c r="A1920" s="8">
        <v>43848.25266203703</v>
      </c>
      <c r="B1920" s="9" t="str">
        <f>HYPERLINK("https://twitter.com/lgibson12397","@lgibson12397")</f>
        <v>@lgibson12397</v>
      </c>
      <c r="C1920" s="10" t="s">
        <v>3010</v>
      </c>
      <c r="D1920" s="10" t="s">
        <v>8257</v>
      </c>
      <c r="E1920" s="9" t="str">
        <f>HYPERLINK("https://twitter.com/lgibson12397/status/1218489167048515584","1218489167048515584")</f>
        <v>1218489167048515584</v>
      </c>
      <c r="F1920" s="13"/>
      <c r="G1920" s="11" t="s">
        <v>8258</v>
      </c>
      <c r="H1920" s="13"/>
      <c r="I1920" s="14">
        <v>12.0</v>
      </c>
      <c r="J1920" s="14">
        <v>68.0</v>
      </c>
      <c r="K1920" s="9" t="str">
        <f t="shared" si="238"/>
        <v>Twitter for Android</v>
      </c>
      <c r="L1920" s="15">
        <v>8912.0</v>
      </c>
      <c r="M1920" s="15">
        <v>9794.0</v>
      </c>
      <c r="N1920" s="15">
        <v>15.0</v>
      </c>
      <c r="O1920" s="16"/>
      <c r="P1920" s="17">
        <v>42002.58578703704</v>
      </c>
      <c r="Q1920" s="13"/>
      <c r="R1920" s="10" t="s">
        <v>3012</v>
      </c>
      <c r="S1920" s="13"/>
      <c r="T1920" s="13"/>
      <c r="U1920" s="18" t="str">
        <f>HYPERLINK("https://pbs.twimg.com/profile_images/1022914492227760128/zjmy0zqU.jpg","View")</f>
        <v>View</v>
      </c>
      <c r="V1920" s="13"/>
      <c r="W1920" s="13"/>
      <c r="X1920" s="13"/>
      <c r="Y1920" s="13"/>
      <c r="Z1920" s="13"/>
    </row>
    <row r="1921">
      <c r="A1921" s="8">
        <v>43848.25232638889</v>
      </c>
      <c r="B1921" s="9" t="str">
        <f>HYPERLINK("https://twitter.com/AmzFibro","@AmzFibro")</f>
        <v>@AmzFibro</v>
      </c>
      <c r="C1921" s="10" t="s">
        <v>8259</v>
      </c>
      <c r="D1921" s="10" t="s">
        <v>8260</v>
      </c>
      <c r="E1921" s="9" t="str">
        <f>HYPERLINK("https://twitter.com/AmzFibro/status/1218489046420291584","1218489046420291584")</f>
        <v>1218489046420291584</v>
      </c>
      <c r="F1921" s="13"/>
      <c r="G1921" s="11" t="s">
        <v>8261</v>
      </c>
      <c r="H1921" s="13"/>
      <c r="I1921" s="14">
        <v>2.0</v>
      </c>
      <c r="J1921" s="14">
        <v>23.0</v>
      </c>
      <c r="K1921" s="9" t="str">
        <f t="shared" si="238"/>
        <v>Twitter for Android</v>
      </c>
      <c r="L1921" s="15">
        <v>4080.0</v>
      </c>
      <c r="M1921" s="15">
        <v>3410.0</v>
      </c>
      <c r="N1921" s="15">
        <v>14.0</v>
      </c>
      <c r="O1921" s="16"/>
      <c r="P1921" s="17">
        <v>43278.16591435185</v>
      </c>
      <c r="Q1921" s="10" t="s">
        <v>161</v>
      </c>
      <c r="R1921" s="10" t="s">
        <v>8262</v>
      </c>
      <c r="S1921" s="11" t="s">
        <v>8263</v>
      </c>
      <c r="T1921" s="13"/>
      <c r="U1921" s="18" t="str">
        <f>HYPERLINK("https://pbs.twimg.com/profile_images/1210870063760363520/jf9nSbV1.jpg","View")</f>
        <v>View</v>
      </c>
      <c r="V1921" s="13"/>
      <c r="W1921" s="13"/>
      <c r="X1921" s="13"/>
      <c r="Y1921" s="13"/>
      <c r="Z1921" s="13"/>
    </row>
    <row r="1922">
      <c r="A1922" s="8">
        <v>43848.25163194444</v>
      </c>
      <c r="B1922" s="9" t="str">
        <f>HYPERLINK("https://twitter.com/TheYorkMind","@TheYorkMind")</f>
        <v>@TheYorkMind</v>
      </c>
      <c r="C1922" s="10" t="s">
        <v>8264</v>
      </c>
      <c r="D1922" s="10" t="s">
        <v>8265</v>
      </c>
      <c r="E1922" s="9" t="str">
        <f>HYPERLINK("https://twitter.com/TheYorkMind/status/1218488792128069632","1218488792128069632")</f>
        <v>1218488792128069632</v>
      </c>
      <c r="F1922" s="13"/>
      <c r="G1922" s="11" t="s">
        <v>8266</v>
      </c>
      <c r="H1922" s="13"/>
      <c r="I1922" s="14">
        <v>0.0</v>
      </c>
      <c r="J1922" s="14">
        <v>6.0</v>
      </c>
      <c r="K1922" s="9" t="str">
        <f t="shared" si="238"/>
        <v>Twitter for Android</v>
      </c>
      <c r="L1922" s="15">
        <v>4260.0</v>
      </c>
      <c r="M1922" s="15">
        <v>1951.0</v>
      </c>
      <c r="N1922" s="15">
        <v>201.0</v>
      </c>
      <c r="O1922" s="16"/>
      <c r="P1922" s="17">
        <v>40290.31173611111</v>
      </c>
      <c r="Q1922" s="10" t="s">
        <v>8267</v>
      </c>
      <c r="R1922" s="10" t="s">
        <v>8268</v>
      </c>
      <c r="S1922" s="11" t="s">
        <v>8269</v>
      </c>
      <c r="T1922" s="13"/>
      <c r="U1922" s="18" t="str">
        <f>HYPERLINK("https://pbs.twimg.com/profile_images/1136661311201431552/zR9xqfqG.png","View")</f>
        <v>View</v>
      </c>
      <c r="V1922" s="13"/>
      <c r="W1922" s="13"/>
      <c r="X1922" s="13"/>
      <c r="Y1922" s="13"/>
      <c r="Z1922" s="13"/>
    </row>
    <row r="1923">
      <c r="A1923" s="8">
        <v>43848.251550925925</v>
      </c>
      <c r="B1923" s="9" t="str">
        <f>HYPERLINK("https://twitter.com/SwanHousing","@SwanHousing")</f>
        <v>@SwanHousing</v>
      </c>
      <c r="C1923" s="10" t="s">
        <v>8270</v>
      </c>
      <c r="D1923" s="10" t="s">
        <v>8271</v>
      </c>
      <c r="E1923" s="9" t="str">
        <f>HYPERLINK("https://twitter.com/SwanHousing/status/1218488763829182470","1218488763829182470")</f>
        <v>1218488763829182470</v>
      </c>
      <c r="F1923" s="13"/>
      <c r="G1923" s="11" t="s">
        <v>8272</v>
      </c>
      <c r="H1923" s="13"/>
      <c r="I1923" s="14">
        <v>0.0</v>
      </c>
      <c r="J1923" s="14">
        <v>2.0</v>
      </c>
      <c r="K1923" s="9" t="str">
        <f>HYPERLINK("https://orlo.tech","Orlo")</f>
        <v>Orlo</v>
      </c>
      <c r="L1923" s="15">
        <v>2057.0</v>
      </c>
      <c r="M1923" s="15">
        <v>576.0</v>
      </c>
      <c r="N1923" s="15">
        <v>59.0</v>
      </c>
      <c r="O1923" s="16"/>
      <c r="P1923" s="17">
        <v>41304.31696759259</v>
      </c>
      <c r="Q1923" s="10" t="s">
        <v>8273</v>
      </c>
      <c r="R1923" s="10" t="s">
        <v>8274</v>
      </c>
      <c r="S1923" s="11" t="s">
        <v>8275</v>
      </c>
      <c r="T1923" s="13"/>
      <c r="U1923" s="18" t="str">
        <f>HYPERLINK("https://pbs.twimg.com/profile_images/1212708638915252225/HJ7lHpmb.jpg","View")</f>
        <v>View</v>
      </c>
      <c r="V1923" s="13"/>
      <c r="W1923" s="13"/>
      <c r="X1923" s="13"/>
      <c r="Y1923" s="13"/>
      <c r="Z1923" s="13"/>
    </row>
    <row r="1924">
      <c r="A1924" s="8">
        <v>43848.25111111111</v>
      </c>
      <c r="B1924" s="9" t="str">
        <f>HYPERLINK("https://twitter.com/McateerMc","@McateerMc")</f>
        <v>@McateerMc</v>
      </c>
      <c r="C1924" s="10" t="s">
        <v>8276</v>
      </c>
      <c r="D1924" s="10" t="s">
        <v>8277</v>
      </c>
      <c r="E1924" s="9" t="str">
        <f>HYPERLINK("https://twitter.com/McateerMc/status/1218488603979939843","1218488603979939843")</f>
        <v>1218488603979939843</v>
      </c>
      <c r="F1924" s="13"/>
      <c r="G1924" s="11" t="s">
        <v>8278</v>
      </c>
      <c r="H1924" s="13"/>
      <c r="I1924" s="14">
        <v>3.0</v>
      </c>
      <c r="J1924" s="14">
        <v>6.0</v>
      </c>
      <c r="K1924" s="9" t="str">
        <f>HYPERLINK("http://twitter.com/download/iphone","Twitter for iPhone")</f>
        <v>Twitter for iPhone</v>
      </c>
      <c r="L1924" s="15">
        <v>1029.0</v>
      </c>
      <c r="M1924" s="15">
        <v>1009.0</v>
      </c>
      <c r="N1924" s="15">
        <v>32.0</v>
      </c>
      <c r="O1924" s="16"/>
      <c r="P1924" s="17">
        <v>40764.303935185184</v>
      </c>
      <c r="Q1924" s="10" t="s">
        <v>8098</v>
      </c>
      <c r="R1924" s="10" t="s">
        <v>8279</v>
      </c>
      <c r="S1924" s="11" t="s">
        <v>8280</v>
      </c>
      <c r="T1924" s="13"/>
      <c r="U1924" s="18" t="str">
        <f>HYPERLINK("https://pbs.twimg.com/profile_images/1081590353541632001/7mnOfAwL.jpg","View")</f>
        <v>View</v>
      </c>
      <c r="V1924" s="13"/>
      <c r="W1924" s="13"/>
      <c r="X1924" s="13"/>
      <c r="Y1924" s="13"/>
      <c r="Z1924" s="13"/>
    </row>
    <row r="1925">
      <c r="A1925" s="8">
        <v>43848.250821759255</v>
      </c>
      <c r="B1925" s="9" t="str">
        <f>HYPERLINK("https://twitter.com/GoForHealth","@GoForHealth")</f>
        <v>@GoForHealth</v>
      </c>
      <c r="C1925" s="10" t="s">
        <v>8281</v>
      </c>
      <c r="D1925" s="10" t="s">
        <v>8282</v>
      </c>
      <c r="E1925" s="9" t="str">
        <f>HYPERLINK("https://twitter.com/GoForHealth/status/1218488500544327680","1218488500544327680")</f>
        <v>1218488500544327680</v>
      </c>
      <c r="F1925" s="11" t="s">
        <v>8283</v>
      </c>
      <c r="G1925" s="11" t="s">
        <v>8284</v>
      </c>
      <c r="H1925" s="13"/>
      <c r="I1925" s="14">
        <v>0.0</v>
      </c>
      <c r="J1925" s="14">
        <v>0.0</v>
      </c>
      <c r="K1925" s="9" t="str">
        <f>HYPERLINK("https://www.socialoomph.com","SocialOomph")</f>
        <v>SocialOomph</v>
      </c>
      <c r="L1925" s="15">
        <v>2770.0</v>
      </c>
      <c r="M1925" s="15">
        <v>656.0</v>
      </c>
      <c r="N1925" s="15">
        <v>253.0</v>
      </c>
      <c r="O1925" s="16"/>
      <c r="P1925" s="17">
        <v>42076.4437962963</v>
      </c>
      <c r="Q1925" s="10" t="s">
        <v>8285</v>
      </c>
      <c r="R1925" s="10" t="s">
        <v>8286</v>
      </c>
      <c r="S1925" s="11" t="s">
        <v>8287</v>
      </c>
      <c r="T1925" s="13"/>
      <c r="U1925" s="18" t="str">
        <f>HYPERLINK("https://pbs.twimg.com/profile_images/603859132467159040/VtO4OVgm.jpg","View")</f>
        <v>View</v>
      </c>
      <c r="V1925" s="13"/>
      <c r="W1925" s="13"/>
      <c r="X1925" s="13"/>
      <c r="Y1925" s="13"/>
      <c r="Z1925" s="13"/>
    </row>
    <row r="1926">
      <c r="A1926" s="8">
        <v>43848.250821759255</v>
      </c>
      <c r="B1926" s="9" t="str">
        <f>HYPERLINK("https://twitter.com/FSonnenberg","@FSonnenberg")</f>
        <v>@FSonnenberg</v>
      </c>
      <c r="C1926" s="10" t="s">
        <v>2059</v>
      </c>
      <c r="D1926" s="10" t="s">
        <v>8288</v>
      </c>
      <c r="E1926" s="9" t="str">
        <f>HYPERLINK("https://twitter.com/FSonnenberg/status/1218488500112297984","1218488500112297984")</f>
        <v>1218488500112297984</v>
      </c>
      <c r="F1926" s="11" t="s">
        <v>8289</v>
      </c>
      <c r="G1926" s="13"/>
      <c r="H1926" s="13"/>
      <c r="I1926" s="14">
        <v>0.0</v>
      </c>
      <c r="J1926" s="14">
        <v>1.0</v>
      </c>
      <c r="K1926" s="9" t="str">
        <f>HYPERLINK("https://www.socialjukebox.com","The Social Jukebox")</f>
        <v>The Social Jukebox</v>
      </c>
      <c r="L1926" s="15">
        <v>93856.0</v>
      </c>
      <c r="M1926" s="15">
        <v>61542.0</v>
      </c>
      <c r="N1926" s="15">
        <v>2658.0</v>
      </c>
      <c r="O1926" s="16"/>
      <c r="P1926" s="17">
        <v>40419.65079861111</v>
      </c>
      <c r="Q1926" s="10" t="s">
        <v>2062</v>
      </c>
      <c r="R1926" s="10" t="s">
        <v>2063</v>
      </c>
      <c r="S1926" s="11" t="s">
        <v>2064</v>
      </c>
      <c r="T1926" s="13"/>
      <c r="U1926" s="18" t="str">
        <f>HYPERLINK("https://pbs.twimg.com/profile_images/841693592733155328/Hk0DSFtA.jpg","View")</f>
        <v>View</v>
      </c>
      <c r="V1926" s="13"/>
      <c r="W1926" s="13"/>
      <c r="X1926" s="13"/>
      <c r="Y1926" s="13"/>
      <c r="Z1926" s="13"/>
    </row>
    <row r="1927">
      <c r="A1927" s="8">
        <v>43848.25057870371</v>
      </c>
      <c r="B1927" s="9" t="str">
        <f>HYPERLINK("https://twitter.com/SpencerCoffman8","@SpencerCoffman8")</f>
        <v>@SpencerCoffman8</v>
      </c>
      <c r="C1927" s="10" t="s">
        <v>8290</v>
      </c>
      <c r="D1927" s="10" t="s">
        <v>8291</v>
      </c>
      <c r="E1927" s="9" t="str">
        <f>HYPERLINK("https://twitter.com/SpencerCoffman8/status/1218488414003191808","1218488414003191808")</f>
        <v>1218488414003191808</v>
      </c>
      <c r="F1927" s="11" t="s">
        <v>8292</v>
      </c>
      <c r="G1927" s="13"/>
      <c r="H1927" s="13"/>
      <c r="I1927" s="14">
        <v>0.0</v>
      </c>
      <c r="J1927" s="14">
        <v>0.0</v>
      </c>
      <c r="K1927" s="9" t="str">
        <f>HYPERLINK("https://ifttt.com","IFTTT")</f>
        <v>IFTTT</v>
      </c>
      <c r="L1927" s="15">
        <v>323.0</v>
      </c>
      <c r="M1927" s="15">
        <v>350.0</v>
      </c>
      <c r="N1927" s="15">
        <v>8.0</v>
      </c>
      <c r="O1927" s="16"/>
      <c r="P1927" s="17">
        <v>42745.08545138889</v>
      </c>
      <c r="Q1927" s="10" t="s">
        <v>360</v>
      </c>
      <c r="R1927" s="10" t="s">
        <v>8293</v>
      </c>
      <c r="S1927" s="11" t="s">
        <v>8294</v>
      </c>
      <c r="T1927" s="13"/>
      <c r="U1927" s="18" t="str">
        <f>HYPERLINK("https://pbs.twimg.com/profile_images/940354082245459968/dol_rluJ.jpg","View")</f>
        <v>View</v>
      </c>
      <c r="V1927" s="13"/>
      <c r="W1927" s="13"/>
      <c r="X1927" s="13"/>
      <c r="Y1927" s="13"/>
      <c r="Z1927" s="13"/>
    </row>
    <row r="1928">
      <c r="A1928" s="8">
        <v>43848.25053240741</v>
      </c>
      <c r="B1928" s="9" t="str">
        <f>HYPERLINK("https://twitter.com/Mind_Mosaic_16","@Mind_Mosaic_16")</f>
        <v>@Mind_Mosaic_16</v>
      </c>
      <c r="C1928" s="10" t="s">
        <v>1439</v>
      </c>
      <c r="D1928" s="10" t="s">
        <v>8295</v>
      </c>
      <c r="E1928" s="9" t="str">
        <f>HYPERLINK("https://twitter.com/Mind_Mosaic_16/status/1218488396563255296","1218488396563255296")</f>
        <v>1218488396563255296</v>
      </c>
      <c r="F1928" s="13"/>
      <c r="G1928" s="11" t="s">
        <v>8296</v>
      </c>
      <c r="H1928" s="13"/>
      <c r="I1928" s="14">
        <v>2.0</v>
      </c>
      <c r="J1928" s="14">
        <v>2.0</v>
      </c>
      <c r="K1928" s="9" t="str">
        <f t="shared" ref="K1928:K1929" si="239">HYPERLINK("https://www.hootsuite.com","Hootsuite Inc.")</f>
        <v>Hootsuite Inc.</v>
      </c>
      <c r="L1928" s="15">
        <v>230.0</v>
      </c>
      <c r="M1928" s="15">
        <v>108.0</v>
      </c>
      <c r="N1928" s="15">
        <v>1.0</v>
      </c>
      <c r="O1928" s="16"/>
      <c r="P1928" s="17">
        <v>42654.619305555556</v>
      </c>
      <c r="Q1928" s="10" t="s">
        <v>1442</v>
      </c>
      <c r="R1928" s="10" t="s">
        <v>1443</v>
      </c>
      <c r="S1928" s="11" t="s">
        <v>1444</v>
      </c>
      <c r="T1928" s="13"/>
      <c r="U1928" s="18" t="str">
        <f>HYPERLINK("https://pbs.twimg.com/profile_images/1058341515502764032/MSc7-rJh.jpg","View")</f>
        <v>View</v>
      </c>
      <c r="V1928" s="13"/>
      <c r="W1928" s="13"/>
      <c r="X1928" s="13"/>
      <c r="Y1928" s="13"/>
      <c r="Z1928" s="13"/>
    </row>
    <row r="1929">
      <c r="A1929" s="8">
        <v>43848.250439814816</v>
      </c>
      <c r="B1929" s="9" t="str">
        <f>HYPERLINK("https://twitter.com/EvolutionMHS","@EvolutionMHS")</f>
        <v>@EvolutionMHS</v>
      </c>
      <c r="C1929" s="10" t="s">
        <v>8297</v>
      </c>
      <c r="D1929" s="10" t="s">
        <v>8298</v>
      </c>
      <c r="E1929" s="9" t="str">
        <f>HYPERLINK("https://twitter.com/EvolutionMHS/status/1218488362694324224","1218488362694324224")</f>
        <v>1218488362694324224</v>
      </c>
      <c r="F1929" s="11" t="s">
        <v>8299</v>
      </c>
      <c r="G1929" s="11" t="s">
        <v>8300</v>
      </c>
      <c r="H1929" s="13"/>
      <c r="I1929" s="14">
        <v>0.0</v>
      </c>
      <c r="J1929" s="14">
        <v>0.0</v>
      </c>
      <c r="K1929" s="9" t="str">
        <f t="shared" si="239"/>
        <v>Hootsuite Inc.</v>
      </c>
      <c r="L1929" s="15">
        <v>17.0</v>
      </c>
      <c r="M1929" s="15">
        <v>51.0</v>
      </c>
      <c r="N1929" s="15">
        <v>0.0</v>
      </c>
      <c r="O1929" s="16"/>
      <c r="P1929" s="17">
        <v>43583.709074074075</v>
      </c>
      <c r="Q1929" s="10" t="s">
        <v>8301</v>
      </c>
      <c r="R1929" s="10" t="s">
        <v>8302</v>
      </c>
      <c r="S1929" s="11" t="s">
        <v>8303</v>
      </c>
      <c r="T1929" s="13"/>
      <c r="U1929" s="18" t="str">
        <f>HYPERLINK("https://pbs.twimg.com/profile_images/1122606772114608129/NC1yYmg1.jpg","View")</f>
        <v>View</v>
      </c>
      <c r="V1929" s="13"/>
      <c r="W1929" s="13"/>
      <c r="X1929" s="13"/>
      <c r="Y1929" s="13"/>
      <c r="Z1929" s="13"/>
    </row>
    <row r="1930">
      <c r="A1930" s="8">
        <v>43848.25034722222</v>
      </c>
      <c r="B1930" s="9" t="str">
        <f>HYPERLINK("https://twitter.com/rcosgrove","@rcosgrove")</f>
        <v>@rcosgrove</v>
      </c>
      <c r="C1930" s="10" t="s">
        <v>2820</v>
      </c>
      <c r="D1930" s="10" t="s">
        <v>2821</v>
      </c>
      <c r="E1930" s="9" t="str">
        <f>HYPERLINK("https://twitter.com/rcosgrove/status/1218488326073864193","1218488326073864193")</f>
        <v>1218488326073864193</v>
      </c>
      <c r="F1930" s="11" t="s">
        <v>2822</v>
      </c>
      <c r="G1930" s="11" t="s">
        <v>8304</v>
      </c>
      <c r="H1930" s="13"/>
      <c r="I1930" s="14">
        <v>0.0</v>
      </c>
      <c r="J1930" s="14">
        <v>0.0</v>
      </c>
      <c r="K1930" s="9" t="str">
        <f>HYPERLINK("https://ifttt.com","IFTTT")</f>
        <v>IFTTT</v>
      </c>
      <c r="L1930" s="15">
        <v>2712.0</v>
      </c>
      <c r="M1930" s="15">
        <v>1269.0</v>
      </c>
      <c r="N1930" s="15">
        <v>158.0</v>
      </c>
      <c r="O1930" s="21" t="s">
        <v>522</v>
      </c>
      <c r="P1930" s="17">
        <v>39638.771990740745</v>
      </c>
      <c r="Q1930" s="10" t="s">
        <v>2805</v>
      </c>
      <c r="R1930" s="10" t="s">
        <v>2824</v>
      </c>
      <c r="S1930" s="11" t="s">
        <v>2825</v>
      </c>
      <c r="T1930" s="13"/>
      <c r="U1930" s="18" t="str">
        <f>HYPERLINK("https://pbs.twimg.com/profile_images/1197101054002913280/BYB5b0FW.jpg","View")</f>
        <v>View</v>
      </c>
      <c r="V1930" s="13"/>
      <c r="W1930" s="13"/>
      <c r="X1930" s="13"/>
      <c r="Y1930" s="13"/>
      <c r="Z1930" s="13"/>
    </row>
    <row r="1931">
      <c r="A1931" s="8">
        <v>43848.25032407408</v>
      </c>
      <c r="B1931" s="9" t="str">
        <f>HYPERLINK("https://twitter.com/fourteen0seven","@fourteen0seven")</f>
        <v>@fourteen0seven</v>
      </c>
      <c r="C1931" s="10" t="s">
        <v>8305</v>
      </c>
      <c r="D1931" s="10" t="s">
        <v>8306</v>
      </c>
      <c r="E1931" s="9" t="str">
        <f>HYPERLINK("https://twitter.com/fourteen0seven/status/1218488318775697408","1218488318775697408")</f>
        <v>1218488318775697408</v>
      </c>
      <c r="F1931" s="13"/>
      <c r="G1931" s="11" t="s">
        <v>8307</v>
      </c>
      <c r="H1931" s="13"/>
      <c r="I1931" s="14">
        <v>2.0</v>
      </c>
      <c r="J1931" s="14">
        <v>6.0</v>
      </c>
      <c r="K1931" s="9" t="str">
        <f>HYPERLINK("https://mobile.twitter.com","Twitter Web App")</f>
        <v>Twitter Web App</v>
      </c>
      <c r="L1931" s="15">
        <v>186.0</v>
      </c>
      <c r="M1931" s="15">
        <v>158.0</v>
      </c>
      <c r="N1931" s="15">
        <v>0.0</v>
      </c>
      <c r="O1931" s="16"/>
      <c r="P1931" s="17">
        <v>43467.373807870375</v>
      </c>
      <c r="Q1931" s="10" t="s">
        <v>3863</v>
      </c>
      <c r="R1931" s="10" t="s">
        <v>8308</v>
      </c>
      <c r="S1931" s="11" t="s">
        <v>8309</v>
      </c>
      <c r="T1931" s="13"/>
      <c r="U1931" s="18" t="str">
        <f>HYPERLINK("https://pbs.twimg.com/profile_images/1080465122240401413/lztN1oWV.jpg","View")</f>
        <v>View</v>
      </c>
      <c r="V1931" s="13"/>
      <c r="W1931" s="13"/>
      <c r="X1931" s="13"/>
      <c r="Y1931" s="13"/>
      <c r="Z1931" s="13"/>
    </row>
    <row r="1932">
      <c r="A1932" s="8">
        <v>43848.2503125</v>
      </c>
      <c r="B1932" s="9" t="str">
        <f>HYPERLINK("https://twitter.com/lindahobbis","@lindahobbis")</f>
        <v>@lindahobbis</v>
      </c>
      <c r="C1932" s="10" t="s">
        <v>3309</v>
      </c>
      <c r="D1932" s="10" t="s">
        <v>8310</v>
      </c>
      <c r="E1932" s="9" t="str">
        <f>HYPERLINK("https://twitter.com/lindahobbis/status/1218488315780980736","1218488315780980736")</f>
        <v>1218488315780980736</v>
      </c>
      <c r="F1932" s="11" t="s">
        <v>8311</v>
      </c>
      <c r="G1932" s="11" t="s">
        <v>8312</v>
      </c>
      <c r="H1932" s="13"/>
      <c r="I1932" s="14">
        <v>0.0</v>
      </c>
      <c r="J1932" s="14">
        <v>0.0</v>
      </c>
      <c r="K1932" s="9" t="str">
        <f>HYPERLINK("https://buffer.com","Buffer")</f>
        <v>Buffer</v>
      </c>
      <c r="L1932" s="15">
        <v>14368.0</v>
      </c>
      <c r="M1932" s="15">
        <v>3719.0</v>
      </c>
      <c r="N1932" s="15">
        <v>889.0</v>
      </c>
      <c r="O1932" s="16"/>
      <c r="P1932" s="17">
        <v>40418.67385416667</v>
      </c>
      <c r="Q1932" s="10" t="s">
        <v>1324</v>
      </c>
      <c r="R1932" s="10" t="s">
        <v>3313</v>
      </c>
      <c r="S1932" s="11" t="s">
        <v>3314</v>
      </c>
      <c r="T1932" s="13"/>
      <c r="U1932" s="18" t="str">
        <f>HYPERLINK("https://pbs.twimg.com/profile_images/1063787433928650754/J0a3EKfF.jpg","View")</f>
        <v>View</v>
      </c>
      <c r="V1932" s="13"/>
      <c r="W1932" s="13"/>
      <c r="X1932" s="13"/>
      <c r="Y1932" s="13"/>
      <c r="Z1932" s="13"/>
    </row>
    <row r="1933">
      <c r="A1933" s="8">
        <v>43848.25013888889</v>
      </c>
      <c r="B1933" s="9" t="str">
        <f>HYPERLINK("https://twitter.com/UKMercer","@UKMercer")</f>
        <v>@UKMercer</v>
      </c>
      <c r="C1933" s="10" t="s">
        <v>3652</v>
      </c>
      <c r="D1933" s="10" t="s">
        <v>8313</v>
      </c>
      <c r="E1933" s="9" t="str">
        <f>HYPERLINK("https://twitter.com/UKMercer/status/1218488252333797377","1218488252333797377")</f>
        <v>1218488252333797377</v>
      </c>
      <c r="F1933" s="11" t="s">
        <v>8314</v>
      </c>
      <c r="G1933" s="11" t="s">
        <v>8315</v>
      </c>
      <c r="H1933" s="13"/>
      <c r="I1933" s="14">
        <v>0.0</v>
      </c>
      <c r="J1933" s="14">
        <v>0.0</v>
      </c>
      <c r="K1933" s="9" t="str">
        <f>HYPERLINK("https://www.spredfast.com/","Spredfast app")</f>
        <v>Spredfast app</v>
      </c>
      <c r="L1933" s="15">
        <v>5395.0</v>
      </c>
      <c r="M1933" s="15">
        <v>4028.0</v>
      </c>
      <c r="N1933" s="15">
        <v>155.0</v>
      </c>
      <c r="O1933" s="16"/>
      <c r="P1933" s="17">
        <v>40875.288611111115</v>
      </c>
      <c r="Q1933" s="10" t="s">
        <v>2323</v>
      </c>
      <c r="R1933" s="10" t="s">
        <v>3656</v>
      </c>
      <c r="S1933" s="11" t="s">
        <v>3657</v>
      </c>
      <c r="T1933" s="13"/>
      <c r="U1933" s="18" t="str">
        <f>HYPERLINK("https://pbs.twimg.com/profile_images/877174520620220416/BAbB7Rqs.jpg","View")</f>
        <v>View</v>
      </c>
      <c r="V1933" s="13"/>
      <c r="W1933" s="13"/>
      <c r="X1933" s="13"/>
      <c r="Y1933" s="13"/>
      <c r="Z1933" s="13"/>
    </row>
    <row r="1934">
      <c r="A1934" s="8">
        <v>43848.25</v>
      </c>
      <c r="B1934" s="9" t="str">
        <f>HYPERLINK("https://twitter.com/KatjaJaqueline","@KatjaJaqueline")</f>
        <v>@KatjaJaqueline</v>
      </c>
      <c r="C1934" s="10" t="s">
        <v>7355</v>
      </c>
      <c r="D1934" s="10" t="s">
        <v>8316</v>
      </c>
      <c r="E1934" s="9" t="str">
        <f>HYPERLINK("https://twitter.com/KatjaJaqueline/status/1218488204275453952","1218488204275453952")</f>
        <v>1218488204275453952</v>
      </c>
      <c r="F1934" s="13"/>
      <c r="G1934" s="11" t="s">
        <v>8317</v>
      </c>
      <c r="H1934" s="13"/>
      <c r="I1934" s="14">
        <v>0.0</v>
      </c>
      <c r="J1934" s="14">
        <v>0.0</v>
      </c>
      <c r="K1934" s="9" t="str">
        <f>HYPERLINK("https://eclincher.com","eClincher")</f>
        <v>eClincher</v>
      </c>
      <c r="L1934" s="15">
        <v>38.0</v>
      </c>
      <c r="M1934" s="15">
        <v>83.0</v>
      </c>
      <c r="N1934" s="15">
        <v>3.0</v>
      </c>
      <c r="O1934" s="16"/>
      <c r="P1934" s="17">
        <v>40444.210810185185</v>
      </c>
      <c r="Q1934" s="10" t="s">
        <v>6691</v>
      </c>
      <c r="R1934" s="10" t="s">
        <v>7358</v>
      </c>
      <c r="S1934" s="11" t="s">
        <v>7359</v>
      </c>
      <c r="T1934" s="13"/>
      <c r="U1934" s="18" t="str">
        <f>HYPERLINK("https://pbs.twimg.com/profile_images/2277453855/oxw7wje155jkdlpy882d.jpeg","View")</f>
        <v>View</v>
      </c>
      <c r="V1934" s="13"/>
      <c r="W1934" s="13"/>
      <c r="X1934" s="13"/>
      <c r="Y1934" s="13"/>
      <c r="Z1934" s="13"/>
    </row>
    <row r="1935">
      <c r="A1935" s="8">
        <v>43848.24986111111</v>
      </c>
      <c r="B1935" s="9" t="str">
        <f>HYPERLINK("https://twitter.com/MariaCedres","@MariaCedres")</f>
        <v>@MariaCedres</v>
      </c>
      <c r="C1935" s="10" t="s">
        <v>8318</v>
      </c>
      <c r="D1935" s="10" t="s">
        <v>238</v>
      </c>
      <c r="E1935" s="9" t="str">
        <f>HYPERLINK("https://twitter.com/MariaCedres/status/1218488152782000129","1218488152782000129")</f>
        <v>1218488152782000129</v>
      </c>
      <c r="F1935" s="13"/>
      <c r="G1935" s="13"/>
      <c r="H1935" s="13"/>
      <c r="I1935" s="14">
        <v>0.0</v>
      </c>
      <c r="J1935" s="14">
        <v>0.0</v>
      </c>
      <c r="K1935" s="9" t="str">
        <f>HYPERLINK("http://twitter.com/download/android","Twitter for Android")</f>
        <v>Twitter for Android</v>
      </c>
      <c r="L1935" s="15">
        <v>478.0</v>
      </c>
      <c r="M1935" s="15">
        <v>2640.0</v>
      </c>
      <c r="N1935" s="15">
        <v>3.0</v>
      </c>
      <c r="O1935" s="16"/>
      <c r="P1935" s="17">
        <v>40401.9308912037</v>
      </c>
      <c r="Q1935" s="13"/>
      <c r="R1935" s="13"/>
      <c r="S1935" s="13"/>
      <c r="T1935" s="13"/>
      <c r="U1935" s="18" t="str">
        <f>HYPERLINK("https://pbs.twimg.com/profile_images/3143708416/5c26f4066fed7a76c8a1c0241e324007.jpeg","View")</f>
        <v>View</v>
      </c>
      <c r="V1935" s="13"/>
      <c r="W1935" s="13"/>
      <c r="X1935" s="13"/>
      <c r="Y1935" s="13"/>
      <c r="Z1935" s="13"/>
    </row>
    <row r="1936">
      <c r="A1936" s="8">
        <v>43848.24890046296</v>
      </c>
      <c r="B1936" s="9" t="str">
        <f>HYPERLINK("https://twitter.com/aidingmental","@aidingmental")</f>
        <v>@aidingmental</v>
      </c>
      <c r="C1936" s="10" t="s">
        <v>8319</v>
      </c>
      <c r="D1936" s="10" t="s">
        <v>8320</v>
      </c>
      <c r="E1936" s="9" t="str">
        <f>HYPERLINK("https://twitter.com/aidingmental/status/1218487802750472194","1218487802750472194")</f>
        <v>1218487802750472194</v>
      </c>
      <c r="F1936" s="13"/>
      <c r="G1936" s="11" t="s">
        <v>8321</v>
      </c>
      <c r="H1936" s="13"/>
      <c r="I1936" s="14">
        <v>0.0</v>
      </c>
      <c r="J1936" s="14">
        <v>0.0</v>
      </c>
      <c r="K1936" s="9" t="str">
        <f>HYPERLINK("http://twitter.com/download/iphone","Twitter for iPhone")</f>
        <v>Twitter for iPhone</v>
      </c>
      <c r="L1936" s="15">
        <v>30.0</v>
      </c>
      <c r="M1936" s="15">
        <v>51.0</v>
      </c>
      <c r="N1936" s="15">
        <v>1.0</v>
      </c>
      <c r="O1936" s="16"/>
      <c r="P1936" s="17">
        <v>43632.43069444444</v>
      </c>
      <c r="Q1936" s="10" t="s">
        <v>8322</v>
      </c>
      <c r="R1936" s="10" t="s">
        <v>8323</v>
      </c>
      <c r="S1936" s="11" t="s">
        <v>8324</v>
      </c>
      <c r="T1936" s="13"/>
      <c r="U1936" s="18" t="str">
        <f>HYPERLINK("https://pbs.twimg.com/profile_images/1186035728041566209/-C1mtLfz.jpg","View")</f>
        <v>View</v>
      </c>
      <c r="V1936" s="13"/>
      <c r="W1936" s="13"/>
      <c r="X1936" s="13"/>
      <c r="Y1936" s="13"/>
      <c r="Z1936" s="13"/>
    </row>
    <row r="1937">
      <c r="A1937" s="8">
        <v>43848.24888888889</v>
      </c>
      <c r="B1937" s="9" t="str">
        <f>HYPERLINK("https://twitter.com/ecotreasure","@ecotreasure")</f>
        <v>@ecotreasure</v>
      </c>
      <c r="C1937" s="10" t="s">
        <v>8325</v>
      </c>
      <c r="D1937" s="10" t="s">
        <v>8326</v>
      </c>
      <c r="E1937" s="9" t="str">
        <f>HYPERLINK("https://twitter.com/ecotreasure/status/1218487800745598977","1218487800745598977")</f>
        <v>1218487800745598977</v>
      </c>
      <c r="F1937" s="11" t="s">
        <v>8327</v>
      </c>
      <c r="G1937" s="11" t="s">
        <v>8328</v>
      </c>
      <c r="H1937" s="13"/>
      <c r="I1937" s="14">
        <v>1.0</v>
      </c>
      <c r="J1937" s="14">
        <v>2.0</v>
      </c>
      <c r="K1937" s="9" t="str">
        <f>HYPERLINK("https://ifttt.com","IFTTT")</f>
        <v>IFTTT</v>
      </c>
      <c r="L1937" s="15">
        <v>2065.0</v>
      </c>
      <c r="M1937" s="15">
        <v>5000.0</v>
      </c>
      <c r="N1937" s="15">
        <v>130.0</v>
      </c>
      <c r="O1937" s="16"/>
      <c r="P1937" s="17">
        <v>40134.318402777775</v>
      </c>
      <c r="Q1937" s="10" t="s">
        <v>8329</v>
      </c>
      <c r="R1937" s="10" t="s">
        <v>8330</v>
      </c>
      <c r="S1937" s="11" t="s">
        <v>8331</v>
      </c>
      <c r="T1937" s="13"/>
      <c r="U1937" s="18" t="str">
        <f>HYPERLINK("https://pbs.twimg.com/profile_images/769959720643862528/dTLCOoYR.jpg","View")</f>
        <v>View</v>
      </c>
      <c r="V1937" s="13"/>
      <c r="W1937" s="13"/>
      <c r="X1937" s="13"/>
      <c r="Y1937" s="13"/>
      <c r="Z1937" s="13"/>
    </row>
    <row r="1938">
      <c r="A1938" s="8">
        <v>43848.24849537037</v>
      </c>
      <c r="B1938" s="9" t="str">
        <f>HYPERLINK("https://twitter.com/Moey1513","@Moey1513")</f>
        <v>@Moey1513</v>
      </c>
      <c r="C1938" s="10" t="s">
        <v>8332</v>
      </c>
      <c r="D1938" s="10" t="s">
        <v>8333</v>
      </c>
      <c r="E1938" s="9" t="str">
        <f>HYPERLINK("https://twitter.com/Moey1513/status/1218487656570638336","1218487656570638336")</f>
        <v>1218487656570638336</v>
      </c>
      <c r="F1938" s="13"/>
      <c r="G1938" s="13"/>
      <c r="H1938" s="13"/>
      <c r="I1938" s="14">
        <v>0.0</v>
      </c>
      <c r="J1938" s="14">
        <v>0.0</v>
      </c>
      <c r="K1938" s="9" t="str">
        <f>HYPERLINK("http://twitter.com/download/iphone","Twitter for iPhone")</f>
        <v>Twitter for iPhone</v>
      </c>
      <c r="L1938" s="15">
        <v>54.0</v>
      </c>
      <c r="M1938" s="15">
        <v>96.0</v>
      </c>
      <c r="N1938" s="15">
        <v>1.0</v>
      </c>
      <c r="O1938" s="16"/>
      <c r="P1938" s="17">
        <v>42395.9541087963</v>
      </c>
      <c r="Q1938" s="10" t="s">
        <v>8334</v>
      </c>
      <c r="R1938" s="13"/>
      <c r="S1938" s="13"/>
      <c r="T1938" s="13"/>
      <c r="U1938" s="18" t="str">
        <f>HYPERLINK("https://pbs.twimg.com/profile_images/1176240495821033478/PekYyxgJ.jpg","View")</f>
        <v>View</v>
      </c>
      <c r="V1938" s="13"/>
      <c r="W1938" s="13"/>
      <c r="X1938" s="13"/>
      <c r="Y1938" s="13"/>
      <c r="Z1938" s="13"/>
    </row>
    <row r="1939">
      <c r="A1939" s="8">
        <v>43848.24840277778</v>
      </c>
      <c r="B1939" s="9" t="str">
        <f>HYPERLINK("https://twitter.com/DonelaLinas","@DonelaLinas")</f>
        <v>@DonelaLinas</v>
      </c>
      <c r="C1939" s="10" t="s">
        <v>1838</v>
      </c>
      <c r="D1939" s="10" t="s">
        <v>8335</v>
      </c>
      <c r="E1939" s="9" t="str">
        <f>HYPERLINK("https://twitter.com/DonelaLinas/status/1218487621980213248","1218487621980213248")</f>
        <v>1218487621980213248</v>
      </c>
      <c r="F1939" s="13"/>
      <c r="G1939" s="13"/>
      <c r="H1939" s="13"/>
      <c r="I1939" s="14">
        <v>0.0</v>
      </c>
      <c r="J1939" s="14">
        <v>0.0</v>
      </c>
      <c r="K1939" s="9" t="str">
        <f>HYPERLINK("http://twitter.com/download/android","Twitter for Android")</f>
        <v>Twitter for Android</v>
      </c>
      <c r="L1939" s="15">
        <v>34.0</v>
      </c>
      <c r="M1939" s="15">
        <v>57.0</v>
      </c>
      <c r="N1939" s="15">
        <v>0.0</v>
      </c>
      <c r="O1939" s="16"/>
      <c r="P1939" s="17">
        <v>42519.46498842593</v>
      </c>
      <c r="Q1939" s="10" t="s">
        <v>1840</v>
      </c>
      <c r="R1939" s="10" t="s">
        <v>1841</v>
      </c>
      <c r="S1939" s="13"/>
      <c r="T1939" s="13"/>
      <c r="U1939" s="18" t="str">
        <f>HYPERLINK("https://pbs.twimg.com/profile_images/737072476367269888/aenGDd9p.jpg","View")</f>
        <v>View</v>
      </c>
      <c r="V1939" s="13"/>
      <c r="W1939" s="13"/>
      <c r="X1939" s="13"/>
      <c r="Y1939" s="13"/>
      <c r="Z1939" s="13"/>
    </row>
    <row r="1940">
      <c r="A1940" s="8">
        <v>43848.24793981481</v>
      </c>
      <c r="B1940" s="9" t="str">
        <f>HYPERLINK("https://twitter.com/alanemtage","@alanemtage")</f>
        <v>@alanemtage</v>
      </c>
      <c r="C1940" s="10" t="s">
        <v>8336</v>
      </c>
      <c r="D1940" s="10" t="s">
        <v>8337</v>
      </c>
      <c r="E1940" s="9" t="str">
        <f>HYPERLINK("https://twitter.com/alanemtage/status/1218487454543634433","1218487454543634433")</f>
        <v>1218487454543634433</v>
      </c>
      <c r="F1940" s="11" t="s">
        <v>8338</v>
      </c>
      <c r="G1940" s="11" t="s">
        <v>8339</v>
      </c>
      <c r="H1940" s="13"/>
      <c r="I1940" s="14">
        <v>0.0</v>
      </c>
      <c r="J1940" s="14">
        <v>0.0</v>
      </c>
      <c r="K1940" s="9" t="str">
        <f>HYPERLINK("https://buffer.com","Buffer")</f>
        <v>Buffer</v>
      </c>
      <c r="L1940" s="15">
        <v>587.0</v>
      </c>
      <c r="M1940" s="15">
        <v>1182.0</v>
      </c>
      <c r="N1940" s="15">
        <v>145.0</v>
      </c>
      <c r="O1940" s="16"/>
      <c r="P1940" s="17">
        <v>40555.29844907408</v>
      </c>
      <c r="Q1940" s="13"/>
      <c r="R1940" s="10" t="s">
        <v>8340</v>
      </c>
      <c r="S1940" s="11" t="s">
        <v>8341</v>
      </c>
      <c r="T1940" s="13"/>
      <c r="U1940" s="18" t="str">
        <f>HYPERLINK("https://pbs.twimg.com/profile_images/842701582466797568/TBpMtv-0.jpg","View")</f>
        <v>View</v>
      </c>
      <c r="V1940" s="13"/>
      <c r="W1940" s="13"/>
      <c r="X1940" s="13"/>
      <c r="Y1940" s="13"/>
      <c r="Z1940" s="13"/>
    </row>
    <row r="1941">
      <c r="A1941" s="8">
        <v>43848.24774305556</v>
      </c>
      <c r="B1941" s="9" t="str">
        <f>HYPERLINK("https://twitter.com/eama70","@eama70")</f>
        <v>@eama70</v>
      </c>
      <c r="C1941" s="10" t="s">
        <v>8342</v>
      </c>
      <c r="D1941" s="10" t="s">
        <v>238</v>
      </c>
      <c r="E1941" s="9" t="str">
        <f>HYPERLINK("https://twitter.com/eama70/status/1218487383064293377","1218487383064293377")</f>
        <v>1218487383064293377</v>
      </c>
      <c r="F1941" s="13"/>
      <c r="G1941" s="13"/>
      <c r="H1941" s="13"/>
      <c r="I1941" s="14">
        <v>0.0</v>
      </c>
      <c r="J1941" s="14">
        <v>0.0</v>
      </c>
      <c r="K1941" s="9" t="str">
        <f>HYPERLINK("http://twitter.com/download/android","Twitter for Android")</f>
        <v>Twitter for Android</v>
      </c>
      <c r="L1941" s="15">
        <v>97.0</v>
      </c>
      <c r="M1941" s="15">
        <v>405.0</v>
      </c>
      <c r="N1941" s="15">
        <v>0.0</v>
      </c>
      <c r="O1941" s="16"/>
      <c r="P1941" s="17">
        <v>40980.96561342593</v>
      </c>
      <c r="Q1941" s="10" t="s">
        <v>8343</v>
      </c>
      <c r="R1941" s="10" t="s">
        <v>8344</v>
      </c>
      <c r="S1941" s="13"/>
      <c r="T1941" s="13"/>
      <c r="U1941" s="18" t="str">
        <f>HYPERLINK("https://pbs.twimg.com/profile_images/656997730724794368/M_zwg3x1.jpg","View")</f>
        <v>View</v>
      </c>
      <c r="V1941" s="13"/>
      <c r="W1941" s="13"/>
      <c r="X1941" s="13"/>
      <c r="Y1941" s="13"/>
      <c r="Z1941" s="13"/>
    </row>
    <row r="1942">
      <c r="A1942" s="8">
        <v>43848.24657407407</v>
      </c>
      <c r="B1942" s="9" t="str">
        <f>HYPERLINK("https://twitter.com/BPP_FCD","@BPP_FCD")</f>
        <v>@BPP_FCD</v>
      </c>
      <c r="C1942" s="10" t="s">
        <v>8345</v>
      </c>
      <c r="D1942" s="10" t="s">
        <v>8346</v>
      </c>
      <c r="E1942" s="9" t="str">
        <f>HYPERLINK("https://twitter.com/BPP_FCD/status/1218486961268318214","1218486961268318214")</f>
        <v>1218486961268318214</v>
      </c>
      <c r="F1942" s="11" t="s">
        <v>8347</v>
      </c>
      <c r="G1942" s="13"/>
      <c r="H1942" s="13"/>
      <c r="I1942" s="14">
        <v>0.0</v>
      </c>
      <c r="J1942" s="14">
        <v>0.0</v>
      </c>
      <c r="K1942" s="9" t="str">
        <f t="shared" ref="K1942:K1943" si="240">HYPERLINK("https://www.hootsuite.com","Hootsuite Inc.")</f>
        <v>Hootsuite Inc.</v>
      </c>
      <c r="L1942" s="15">
        <v>78.0</v>
      </c>
      <c r="M1942" s="15">
        <v>78.0</v>
      </c>
      <c r="N1942" s="15">
        <v>2.0</v>
      </c>
      <c r="O1942" s="16"/>
      <c r="P1942" s="17">
        <v>40954.089097222226</v>
      </c>
      <c r="Q1942" s="13"/>
      <c r="R1942" s="10" t="s">
        <v>8348</v>
      </c>
      <c r="S1942" s="13"/>
      <c r="T1942" s="13"/>
      <c r="U1942" s="18" t="str">
        <f>HYPERLINK("https://pbs.twimg.com/profile_images/1828544499/BPP_FCD_amended.jpg","View")</f>
        <v>View</v>
      </c>
      <c r="V1942" s="13"/>
      <c r="W1942" s="13"/>
      <c r="X1942" s="13"/>
      <c r="Y1942" s="13"/>
      <c r="Z1942" s="13"/>
    </row>
    <row r="1943">
      <c r="A1943" s="8">
        <v>43848.246562500004</v>
      </c>
      <c r="B1943" s="9" t="str">
        <f>HYPERLINK("https://twitter.com/_GenSuccess","@_GenSuccess")</f>
        <v>@_GenSuccess</v>
      </c>
      <c r="C1943" s="10" t="s">
        <v>8349</v>
      </c>
      <c r="D1943" s="10" t="s">
        <v>3961</v>
      </c>
      <c r="E1943" s="9" t="str">
        <f>HYPERLINK("https://twitter.com/_GenSuccess/status/1218486958504189954","1218486958504189954")</f>
        <v>1218486958504189954</v>
      </c>
      <c r="F1943" s="11" t="s">
        <v>8350</v>
      </c>
      <c r="G1943" s="13"/>
      <c r="H1943" s="9" t="str">
        <f>HYPERLINK("https://ctrlq.org/maps/address/#51.5033,0.1195","Map")</f>
        <v>Map</v>
      </c>
      <c r="I1943" s="14">
        <v>0.0</v>
      </c>
      <c r="J1943" s="14">
        <v>0.0</v>
      </c>
      <c r="K1943" s="9" t="str">
        <f t="shared" si="240"/>
        <v>Hootsuite Inc.</v>
      </c>
      <c r="L1943" s="15">
        <v>2440.0</v>
      </c>
      <c r="M1943" s="15">
        <v>2599.0</v>
      </c>
      <c r="N1943" s="15">
        <v>61.0</v>
      </c>
      <c r="O1943" s="16"/>
      <c r="P1943" s="17">
        <v>40844.85228009259</v>
      </c>
      <c r="Q1943" s="10" t="s">
        <v>2102</v>
      </c>
      <c r="R1943" s="10" t="s">
        <v>8351</v>
      </c>
      <c r="S1943" s="11" t="s">
        <v>8352</v>
      </c>
      <c r="T1943" s="13"/>
      <c r="U1943" s="18" t="str">
        <f>HYPERLINK("https://pbs.twimg.com/profile_images/1085636686887956481/eIbN-65Q.jpg","View")</f>
        <v>View</v>
      </c>
      <c r="V1943" s="13"/>
      <c r="W1943" s="13"/>
      <c r="X1943" s="13"/>
      <c r="Y1943" s="13"/>
      <c r="Z1943" s="13"/>
    </row>
    <row r="1944">
      <c r="A1944" s="8">
        <v>43848.24641203704</v>
      </c>
      <c r="B1944" s="9" t="str">
        <f>HYPERLINK("https://twitter.com/Ian92014492","@Ian92014492")</f>
        <v>@Ian92014492</v>
      </c>
      <c r="C1944" s="10" t="s">
        <v>8353</v>
      </c>
      <c r="D1944" s="10" t="s">
        <v>8354</v>
      </c>
      <c r="E1944" s="9" t="str">
        <f>HYPERLINK("https://twitter.com/Ian92014492/status/1218486901948108801","1218486901948108801")</f>
        <v>1218486901948108801</v>
      </c>
      <c r="F1944" s="13"/>
      <c r="G1944" s="13"/>
      <c r="H1944" s="13"/>
      <c r="I1944" s="14">
        <v>1.0</v>
      </c>
      <c r="J1944" s="14">
        <v>6.0</v>
      </c>
      <c r="K1944" s="9" t="str">
        <f>HYPERLINK("http://twitter.com/download/iphone","Twitter for iPhone")</f>
        <v>Twitter for iPhone</v>
      </c>
      <c r="L1944" s="15">
        <v>9.0</v>
      </c>
      <c r="M1944" s="15">
        <v>26.0</v>
      </c>
      <c r="N1944" s="15">
        <v>0.0</v>
      </c>
      <c r="O1944" s="16"/>
      <c r="P1944" s="17">
        <v>41195.81855324074</v>
      </c>
      <c r="Q1944" s="13"/>
      <c r="R1944" s="13"/>
      <c r="S1944" s="13"/>
      <c r="T1944" s="13"/>
      <c r="U1944" s="18" t="str">
        <f>HYPERLINK("https://pbs.twimg.com/profile_images/1217558384091648000/rwGRXMFY.jpg","View")</f>
        <v>View</v>
      </c>
      <c r="V1944" s="13"/>
      <c r="W1944" s="13"/>
      <c r="X1944" s="13"/>
      <c r="Y1944" s="13"/>
      <c r="Z1944" s="13"/>
    </row>
    <row r="1945">
      <c r="A1945" s="8">
        <v>43848.24543981481</v>
      </c>
      <c r="B1945" s="9" t="str">
        <f>HYPERLINK("https://twitter.com/vladoshell","@vladoshell")</f>
        <v>@vladoshell</v>
      </c>
      <c r="C1945" s="10" t="s">
        <v>8355</v>
      </c>
      <c r="D1945" s="10" t="s">
        <v>238</v>
      </c>
      <c r="E1945" s="9" t="str">
        <f>HYPERLINK("https://twitter.com/vladoshell/status/1218486548922093568","1218486548922093568")</f>
        <v>1218486548922093568</v>
      </c>
      <c r="F1945" s="13"/>
      <c r="G1945" s="13"/>
      <c r="H1945" s="13"/>
      <c r="I1945" s="14">
        <v>0.0</v>
      </c>
      <c r="J1945" s="14">
        <v>0.0</v>
      </c>
      <c r="K1945" s="9" t="str">
        <f>HYPERLINK("https://mobile.twitter.com","Twitter Web App")</f>
        <v>Twitter Web App</v>
      </c>
      <c r="L1945" s="15">
        <v>607.0</v>
      </c>
      <c r="M1945" s="15">
        <v>553.0</v>
      </c>
      <c r="N1945" s="15">
        <v>27.0</v>
      </c>
      <c r="O1945" s="16"/>
      <c r="P1945" s="17">
        <v>41932.46550925926</v>
      </c>
      <c r="Q1945" s="10" t="s">
        <v>8356</v>
      </c>
      <c r="R1945" s="10" t="s">
        <v>8357</v>
      </c>
      <c r="S1945" s="13"/>
      <c r="T1945" s="13"/>
      <c r="U1945" s="18" t="str">
        <f>HYPERLINK("https://pbs.twimg.com/profile_images/1079307171345637382/KlJ2bx2Q.jpg","View")</f>
        <v>View</v>
      </c>
      <c r="V1945" s="13"/>
      <c r="W1945" s="13"/>
      <c r="X1945" s="13"/>
      <c r="Y1945" s="13"/>
      <c r="Z1945" s="13"/>
    </row>
    <row r="1946">
      <c r="A1946" s="8">
        <v>43848.24458333333</v>
      </c>
      <c r="B1946" s="9" t="str">
        <f>HYPERLINK("https://twitter.com/emmajaneMH","@emmajaneMH")</f>
        <v>@emmajaneMH</v>
      </c>
      <c r="C1946" s="10" t="s">
        <v>8358</v>
      </c>
      <c r="D1946" s="10" t="s">
        <v>8359</v>
      </c>
      <c r="E1946" s="9" t="str">
        <f>HYPERLINK("https://twitter.com/emmajaneMH/status/1218486241068490752","1218486241068490752")</f>
        <v>1218486241068490752</v>
      </c>
      <c r="F1946" s="13"/>
      <c r="G1946" s="11" t="s">
        <v>8360</v>
      </c>
      <c r="H1946" s="13"/>
      <c r="I1946" s="14">
        <v>0.0</v>
      </c>
      <c r="J1946" s="14">
        <v>0.0</v>
      </c>
      <c r="K1946" s="9" t="str">
        <f>HYPERLINK("http://twitter.com/download/iphone","Twitter for iPhone")</f>
        <v>Twitter for iPhone</v>
      </c>
      <c r="L1946" s="15">
        <v>149.0</v>
      </c>
      <c r="M1946" s="15">
        <v>274.0</v>
      </c>
      <c r="N1946" s="15">
        <v>0.0</v>
      </c>
      <c r="O1946" s="16"/>
      <c r="P1946" s="17">
        <v>42321.443865740745</v>
      </c>
      <c r="Q1946" s="10" t="s">
        <v>7188</v>
      </c>
      <c r="R1946" s="10" t="s">
        <v>8361</v>
      </c>
      <c r="S1946" s="13"/>
      <c r="T1946" s="13"/>
      <c r="U1946" s="18" t="str">
        <f>HYPERLINK("https://pbs.twimg.com/profile_images/1197526244289634308/5J_VQIZ6.jpg","View")</f>
        <v>View</v>
      </c>
      <c r="V1946" s="13"/>
      <c r="W1946" s="13"/>
      <c r="X1946" s="13"/>
      <c r="Y1946" s="13"/>
      <c r="Z1946" s="13"/>
    </row>
    <row r="1947">
      <c r="A1947" s="8">
        <v>43848.24444444444</v>
      </c>
      <c r="B1947" s="9" t="str">
        <f>HYPERLINK("https://twitter.com/TheLinkCentreUK","@TheLinkCentreUK")</f>
        <v>@TheLinkCentreUK</v>
      </c>
      <c r="C1947" s="10" t="s">
        <v>8362</v>
      </c>
      <c r="D1947" s="10" t="s">
        <v>8363</v>
      </c>
      <c r="E1947" s="9" t="str">
        <f>HYPERLINK("https://twitter.com/TheLinkCentreUK/status/1218486187897151490","1218486187897151490")</f>
        <v>1218486187897151490</v>
      </c>
      <c r="F1947" s="11" t="s">
        <v>8364</v>
      </c>
      <c r="G1947" s="11" t="s">
        <v>8365</v>
      </c>
      <c r="H1947" s="13"/>
      <c r="I1947" s="14">
        <v>1.0</v>
      </c>
      <c r="J1947" s="14">
        <v>0.0</v>
      </c>
      <c r="K1947" s="9" t="str">
        <f>HYPERLINK("https://about.twitter.com/products/tweetdeck","TweetDeck")</f>
        <v>TweetDeck</v>
      </c>
      <c r="L1947" s="15">
        <v>564.0</v>
      </c>
      <c r="M1947" s="15">
        <v>634.0</v>
      </c>
      <c r="N1947" s="15">
        <v>10.0</v>
      </c>
      <c r="O1947" s="16"/>
      <c r="P1947" s="17">
        <v>42494.37016203704</v>
      </c>
      <c r="Q1947" s="10" t="s">
        <v>8366</v>
      </c>
      <c r="R1947" s="10" t="s">
        <v>8367</v>
      </c>
      <c r="S1947" s="11" t="s">
        <v>8368</v>
      </c>
      <c r="T1947" s="13"/>
      <c r="U1947" s="18" t="str">
        <f>HYPERLINK("https://pbs.twimg.com/profile_images/727846451779383296/YUMHzkB0.jpg","View")</f>
        <v>View</v>
      </c>
      <c r="V1947" s="13"/>
      <c r="W1947" s="13"/>
      <c r="X1947" s="13"/>
      <c r="Y1947" s="13"/>
      <c r="Z1947" s="13"/>
    </row>
    <row r="1948">
      <c r="A1948" s="8">
        <v>43848.242847222224</v>
      </c>
      <c r="B1948" s="9" t="str">
        <f>HYPERLINK("https://twitter.com/angpeacock1111","@angpeacock1111")</f>
        <v>@angpeacock1111</v>
      </c>
      <c r="C1948" s="10" t="s">
        <v>8369</v>
      </c>
      <c r="D1948" s="10" t="s">
        <v>8370</v>
      </c>
      <c r="E1948" s="9" t="str">
        <f>HYPERLINK("https://twitter.com/angpeacock1111/status/1218485612212150272","1218485612212150272")</f>
        <v>1218485612212150272</v>
      </c>
      <c r="F1948" s="11" t="s">
        <v>8371</v>
      </c>
      <c r="G1948" s="13"/>
      <c r="H1948" s="13"/>
      <c r="I1948" s="14">
        <v>3.0</v>
      </c>
      <c r="J1948" s="14">
        <v>2.0</v>
      </c>
      <c r="K1948" s="9" t="str">
        <f>HYPERLINK("http://twitter.com/download/iphone","Twitter for iPhone")</f>
        <v>Twitter for iPhone</v>
      </c>
      <c r="L1948" s="15">
        <v>1244.0</v>
      </c>
      <c r="M1948" s="15">
        <v>2398.0</v>
      </c>
      <c r="N1948" s="15">
        <v>24.0</v>
      </c>
      <c r="O1948" s="16"/>
      <c r="P1948" s="17">
        <v>39963.17091435185</v>
      </c>
      <c r="Q1948" s="10" t="s">
        <v>24</v>
      </c>
      <c r="R1948" s="10" t="s">
        <v>8372</v>
      </c>
      <c r="S1948" s="13"/>
      <c r="T1948" s="13"/>
      <c r="U1948" s="18" t="str">
        <f>HYPERLINK("https://pbs.twimg.com/profile_images/1199736345821884417/ujwvMSTI.jpg","View")</f>
        <v>View</v>
      </c>
      <c r="V1948" s="13"/>
      <c r="W1948" s="13"/>
      <c r="X1948" s="13"/>
      <c r="Y1948" s="13"/>
      <c r="Z1948" s="13"/>
    </row>
    <row r="1949">
      <c r="A1949" s="8">
        <v>43848.241990740746</v>
      </c>
      <c r="B1949" s="9" t="str">
        <f>HYPERLINK("https://twitter.com/introvertedit","@introvertedit")</f>
        <v>@introvertedit</v>
      </c>
      <c r="C1949" s="10" t="s">
        <v>7910</v>
      </c>
      <c r="D1949" s="10" t="s">
        <v>8373</v>
      </c>
      <c r="E1949" s="9" t="str">
        <f>HYPERLINK("https://twitter.com/introvertedit/status/1218485301024153601","1218485301024153601")</f>
        <v>1218485301024153601</v>
      </c>
      <c r="F1949" s="11" t="s">
        <v>8374</v>
      </c>
      <c r="G1949" s="13"/>
      <c r="H1949" s="13"/>
      <c r="I1949" s="14">
        <v>4.0</v>
      </c>
      <c r="J1949" s="14">
        <v>0.0</v>
      </c>
      <c r="K1949" s="9" t="str">
        <f>HYPERLINK("http://twitter.com/download/android","Twitter for Android")</f>
        <v>Twitter for Android</v>
      </c>
      <c r="L1949" s="15">
        <v>343.0</v>
      </c>
      <c r="M1949" s="15">
        <v>48.0</v>
      </c>
      <c r="N1949" s="15">
        <v>6.0</v>
      </c>
      <c r="O1949" s="16"/>
      <c r="P1949" s="17">
        <v>43548.579143518524</v>
      </c>
      <c r="Q1949" s="10" t="s">
        <v>446</v>
      </c>
      <c r="R1949" s="10" t="s">
        <v>7914</v>
      </c>
      <c r="S1949" s="11" t="s">
        <v>7915</v>
      </c>
      <c r="T1949" s="13"/>
      <c r="U1949" s="18" t="str">
        <f>HYPERLINK("https://pbs.twimg.com/profile_images/1193523556824604672/568fJyoY.jpg","View")</f>
        <v>View</v>
      </c>
      <c r="V1949" s="13"/>
      <c r="W1949" s="13"/>
      <c r="X1949" s="13"/>
      <c r="Y1949" s="13"/>
      <c r="Z1949" s="13"/>
    </row>
    <row r="1950">
      <c r="A1950" s="8">
        <v>43848.241168981476</v>
      </c>
      <c r="B1950" s="9" t="str">
        <f>HYPERLINK("https://twitter.com/gospeakyourmind","@gospeakyourmind")</f>
        <v>@gospeakyourmind</v>
      </c>
      <c r="C1950" s="10" t="s">
        <v>8375</v>
      </c>
      <c r="D1950" s="10" t="s">
        <v>8376</v>
      </c>
      <c r="E1950" s="9" t="str">
        <f>HYPERLINK("https://twitter.com/gospeakyourmind/status/1218485002725470208","1218485002725470208")</f>
        <v>1218485002725470208</v>
      </c>
      <c r="F1950" s="10" t="s">
        <v>8377</v>
      </c>
      <c r="G1950" s="11" t="s">
        <v>8378</v>
      </c>
      <c r="H1950" s="13"/>
      <c r="I1950" s="14">
        <v>1.0</v>
      </c>
      <c r="J1950" s="14">
        <v>1.0</v>
      </c>
      <c r="K1950" s="9" t="str">
        <f>HYPERLINK("https://mobile.twitter.com","Twitter Web App")</f>
        <v>Twitter Web App</v>
      </c>
      <c r="L1950" s="15">
        <v>2263.0</v>
      </c>
      <c r="M1950" s="15">
        <v>472.0</v>
      </c>
      <c r="N1950" s="15">
        <v>11.0</v>
      </c>
      <c r="O1950" s="16"/>
      <c r="P1950" s="17">
        <v>43587.47210648148</v>
      </c>
      <c r="Q1950" s="10" t="s">
        <v>3371</v>
      </c>
      <c r="R1950" s="10" t="s">
        <v>8379</v>
      </c>
      <c r="S1950" s="11" t="s">
        <v>8380</v>
      </c>
      <c r="T1950" s="13"/>
      <c r="U1950" s="18" t="str">
        <f>HYPERLINK("https://pbs.twimg.com/profile_images/1128685877339860992/edNGxGJG.png","View")</f>
        <v>View</v>
      </c>
      <c r="V1950" s="13"/>
      <c r="W1950" s="13"/>
      <c r="X1950" s="13"/>
      <c r="Y1950" s="13"/>
      <c r="Z1950" s="13"/>
    </row>
    <row r="1951">
      <c r="A1951" s="8">
        <v>43848.24108796296</v>
      </c>
      <c r="B1951" s="9" t="str">
        <f>HYPERLINK("https://twitter.com/Iam_Nita","@Iam_Nita")</f>
        <v>@Iam_Nita</v>
      </c>
      <c r="C1951" s="10" t="s">
        <v>8381</v>
      </c>
      <c r="D1951" s="10" t="s">
        <v>238</v>
      </c>
      <c r="E1951" s="9" t="str">
        <f>HYPERLINK("https://twitter.com/Iam_Nita/status/1218484970806747136","1218484970806747136")</f>
        <v>1218484970806747136</v>
      </c>
      <c r="F1951" s="13"/>
      <c r="G1951" s="13"/>
      <c r="H1951" s="13"/>
      <c r="I1951" s="14">
        <v>0.0</v>
      </c>
      <c r="J1951" s="14">
        <v>0.0</v>
      </c>
      <c r="K1951" s="9" t="str">
        <f>HYPERLINK("http://twitter.com/download/android","Twitter for Android")</f>
        <v>Twitter for Android</v>
      </c>
      <c r="L1951" s="15">
        <v>664.0</v>
      </c>
      <c r="M1951" s="15">
        <v>726.0</v>
      </c>
      <c r="N1951" s="15">
        <v>0.0</v>
      </c>
      <c r="O1951" s="16"/>
      <c r="P1951" s="17">
        <v>42348.08185185185</v>
      </c>
      <c r="Q1951" s="10" t="s">
        <v>4019</v>
      </c>
      <c r="R1951" s="10" t="s">
        <v>8382</v>
      </c>
      <c r="S1951" s="13"/>
      <c r="T1951" s="13"/>
      <c r="U1951" s="18" t="str">
        <f>HYPERLINK("https://pbs.twimg.com/profile_images/1081518017568231424/TD9o0mKS.jpg","View")</f>
        <v>View</v>
      </c>
      <c r="V1951" s="13"/>
      <c r="W1951" s="13"/>
      <c r="X1951" s="13"/>
      <c r="Y1951" s="13"/>
      <c r="Z1951" s="13"/>
    </row>
    <row r="1952">
      <c r="A1952" s="8">
        <v>43848.24071759259</v>
      </c>
      <c r="B1952" s="9" t="str">
        <f>HYPERLINK("https://twitter.com/sixpeso","@sixpeso")</f>
        <v>@sixpeso</v>
      </c>
      <c r="C1952" s="10" t="s">
        <v>8383</v>
      </c>
      <c r="D1952" s="10" t="s">
        <v>238</v>
      </c>
      <c r="E1952" s="9" t="str">
        <f>HYPERLINK("https://twitter.com/sixpeso/status/1218484839302811648","1218484839302811648")</f>
        <v>1218484839302811648</v>
      </c>
      <c r="F1952" s="13"/>
      <c r="G1952" s="13"/>
      <c r="H1952" s="13"/>
      <c r="I1952" s="14">
        <v>0.0</v>
      </c>
      <c r="J1952" s="14">
        <v>0.0</v>
      </c>
      <c r="K1952" s="9" t="str">
        <f>HYPERLINK("http://twitter.com/download/iphone","Twitter for iPhone")</f>
        <v>Twitter for iPhone</v>
      </c>
      <c r="L1952" s="15">
        <v>217.0</v>
      </c>
      <c r="M1952" s="15">
        <v>879.0</v>
      </c>
      <c r="N1952" s="15">
        <v>2.0</v>
      </c>
      <c r="O1952" s="16"/>
      <c r="P1952" s="17">
        <v>40030.972037037034</v>
      </c>
      <c r="Q1952" s="10" t="s">
        <v>8384</v>
      </c>
      <c r="R1952" s="10" t="s">
        <v>8385</v>
      </c>
      <c r="S1952" s="13"/>
      <c r="T1952" s="13"/>
      <c r="U1952" s="18" t="str">
        <f>HYPERLINK("https://pbs.twimg.com/profile_images/2303449136/image.jpg","View")</f>
        <v>View</v>
      </c>
      <c r="V1952" s="13"/>
      <c r="W1952" s="13"/>
      <c r="X1952" s="13"/>
      <c r="Y1952" s="13"/>
      <c r="Z1952" s="13"/>
    </row>
    <row r="1953">
      <c r="A1953" s="8">
        <v>43848.24034722222</v>
      </c>
      <c r="B1953" s="9" t="str">
        <f>HYPERLINK("https://twitter.com/AllInRhyme","@AllInRhyme")</f>
        <v>@AllInRhyme</v>
      </c>
      <c r="C1953" s="10" t="s">
        <v>8386</v>
      </c>
      <c r="D1953" s="10" t="s">
        <v>8387</v>
      </c>
      <c r="E1953" s="9" t="str">
        <f>HYPERLINK("https://twitter.com/AllInRhyme/status/1218484702434287616","1218484702434287616")</f>
        <v>1218484702434287616</v>
      </c>
      <c r="F1953" s="10" t="s">
        <v>8388</v>
      </c>
      <c r="G1953" s="11" t="s">
        <v>8389</v>
      </c>
      <c r="H1953" s="13"/>
      <c r="I1953" s="14">
        <v>0.0</v>
      </c>
      <c r="J1953" s="14">
        <v>0.0</v>
      </c>
      <c r="K1953" s="9" t="str">
        <f t="shared" ref="K1953:K1954" si="241">HYPERLINK("http://twitter.com/download/android","Twitter for Android")</f>
        <v>Twitter for Android</v>
      </c>
      <c r="L1953" s="15">
        <v>533.0</v>
      </c>
      <c r="M1953" s="15">
        <v>1216.0</v>
      </c>
      <c r="N1953" s="15">
        <v>13.0</v>
      </c>
      <c r="O1953" s="16"/>
      <c r="P1953" s="17">
        <v>41022.26020833333</v>
      </c>
      <c r="Q1953" s="10" t="s">
        <v>8390</v>
      </c>
      <c r="R1953" s="10" t="s">
        <v>8391</v>
      </c>
      <c r="S1953" s="11" t="s">
        <v>8392</v>
      </c>
      <c r="T1953" s="13"/>
      <c r="U1953" s="18" t="str">
        <f>HYPERLINK("https://pbs.twimg.com/profile_images/1211781038244057090/nUxG2bPB.jpg","View")</f>
        <v>View</v>
      </c>
      <c r="V1953" s="13"/>
      <c r="W1953" s="13"/>
      <c r="X1953" s="13"/>
      <c r="Y1953" s="13"/>
      <c r="Z1953" s="13"/>
    </row>
    <row r="1954">
      <c r="A1954" s="8">
        <v>43848.2397800926</v>
      </c>
      <c r="B1954" s="9" t="str">
        <f>HYPERLINK("https://twitter.com/MuddlyMum","@MuddlyMum")</f>
        <v>@MuddlyMum</v>
      </c>
      <c r="C1954" s="10" t="s">
        <v>8393</v>
      </c>
      <c r="D1954" s="10" t="s">
        <v>8394</v>
      </c>
      <c r="E1954" s="9" t="str">
        <f>HYPERLINK("https://twitter.com/MuddlyMum/status/1218484497135689729","1218484497135689729")</f>
        <v>1218484497135689729</v>
      </c>
      <c r="F1954" s="13"/>
      <c r="G1954" s="13"/>
      <c r="H1954" s="13"/>
      <c r="I1954" s="14">
        <v>0.0</v>
      </c>
      <c r="J1954" s="14">
        <v>6.0</v>
      </c>
      <c r="K1954" s="9" t="str">
        <f t="shared" si="241"/>
        <v>Twitter for Android</v>
      </c>
      <c r="L1954" s="15">
        <v>11775.0</v>
      </c>
      <c r="M1954" s="15">
        <v>7223.0</v>
      </c>
      <c r="N1954" s="15">
        <v>72.0</v>
      </c>
      <c r="O1954" s="16"/>
      <c r="P1954" s="17">
        <v>42760.237164351856</v>
      </c>
      <c r="Q1954" s="13"/>
      <c r="R1954" s="10" t="s">
        <v>8395</v>
      </c>
      <c r="S1954" s="13"/>
      <c r="T1954" s="13"/>
      <c r="U1954" s="18" t="str">
        <f>HYPERLINK("https://pbs.twimg.com/profile_images/1205641310524395531/XaFlKdjU.jpg","View")</f>
        <v>View</v>
      </c>
      <c r="V1954" s="13"/>
      <c r="W1954" s="13"/>
      <c r="X1954" s="13"/>
      <c r="Y1954" s="13"/>
      <c r="Z1954" s="13"/>
    </row>
    <row r="1955">
      <c r="A1955" s="8">
        <v>43848.23950231481</v>
      </c>
      <c r="B1955" s="9" t="str">
        <f>HYPERLINK("https://twitter.com/TherapyRoute","@TherapyRoute")</f>
        <v>@TherapyRoute</v>
      </c>
      <c r="C1955" s="10" t="s">
        <v>8396</v>
      </c>
      <c r="D1955" s="10" t="s">
        <v>8397</v>
      </c>
      <c r="E1955" s="9" t="str">
        <f>HYPERLINK("https://twitter.com/TherapyRoute/status/1218484398489624579","1218484398489624579")</f>
        <v>1218484398489624579</v>
      </c>
      <c r="F1955" s="11" t="s">
        <v>8398</v>
      </c>
      <c r="G1955" s="11" t="s">
        <v>8399</v>
      </c>
      <c r="H1955" s="13"/>
      <c r="I1955" s="14">
        <v>0.0</v>
      </c>
      <c r="J1955" s="14">
        <v>0.0</v>
      </c>
      <c r="K1955" s="9" t="str">
        <f t="shared" ref="K1955:K1956" si="242">HYPERLINK("https://mobile.twitter.com","Twitter Web App")</f>
        <v>Twitter Web App</v>
      </c>
      <c r="L1955" s="15">
        <v>12262.0</v>
      </c>
      <c r="M1955" s="15">
        <v>11257.0</v>
      </c>
      <c r="N1955" s="15">
        <v>41.0</v>
      </c>
      <c r="O1955" s="16"/>
      <c r="P1955" s="17">
        <v>42628.15497685185</v>
      </c>
      <c r="Q1955" s="13"/>
      <c r="R1955" s="10" t="s">
        <v>8400</v>
      </c>
      <c r="S1955" s="11" t="s">
        <v>8401</v>
      </c>
      <c r="T1955" s="13"/>
      <c r="U1955" s="18" t="str">
        <f>HYPERLINK("https://pbs.twimg.com/profile_images/842631318013968384/9m7ED_ix.jpg","View")</f>
        <v>View</v>
      </c>
      <c r="V1955" s="13"/>
      <c r="W1955" s="13"/>
      <c r="X1955" s="13"/>
      <c r="Y1955" s="13"/>
      <c r="Z1955" s="13"/>
    </row>
    <row r="1956">
      <c r="A1956" s="8">
        <v>43848.239016203705</v>
      </c>
      <c r="B1956" s="9" t="str">
        <f>HYPERLINK("https://twitter.com/Kit_Novak","@Kit_Novak")</f>
        <v>@Kit_Novak</v>
      </c>
      <c r="C1956" s="10" t="s">
        <v>1451</v>
      </c>
      <c r="D1956" s="10" t="s">
        <v>8402</v>
      </c>
      <c r="E1956" s="9" t="str">
        <f>HYPERLINK("https://twitter.com/Kit_Novak/status/1218484223675371520","1218484223675371520")</f>
        <v>1218484223675371520</v>
      </c>
      <c r="F1956" s="11" t="s">
        <v>1957</v>
      </c>
      <c r="G1956" s="13"/>
      <c r="H1956" s="13"/>
      <c r="I1956" s="14">
        <v>0.0</v>
      </c>
      <c r="J1956" s="14">
        <v>0.0</v>
      </c>
      <c r="K1956" s="9" t="str">
        <f t="shared" si="242"/>
        <v>Twitter Web App</v>
      </c>
      <c r="L1956" s="15">
        <v>441.0</v>
      </c>
      <c r="M1956" s="15">
        <v>599.0</v>
      </c>
      <c r="N1956" s="15">
        <v>7.0</v>
      </c>
      <c r="O1956" s="16"/>
      <c r="P1956" s="17">
        <v>40855.646840277775</v>
      </c>
      <c r="Q1956" s="10" t="s">
        <v>1454</v>
      </c>
      <c r="R1956" s="10" t="s">
        <v>1455</v>
      </c>
      <c r="S1956" s="11" t="s">
        <v>1456</v>
      </c>
      <c r="T1956" s="13"/>
      <c r="U1956" s="18" t="str">
        <f>HYPERLINK("https://pbs.twimg.com/profile_images/1205578805215186944/D_mHF7MC.jpg","View")</f>
        <v>View</v>
      </c>
      <c r="V1956" s="13"/>
      <c r="W1956" s="13"/>
      <c r="X1956" s="13"/>
      <c r="Y1956" s="13"/>
      <c r="Z1956" s="13"/>
    </row>
    <row r="1957">
      <c r="A1957" s="8">
        <v>43848.238645833335</v>
      </c>
      <c r="B1957" s="9" t="str">
        <f>HYPERLINK("https://twitter.com/ClaireBardner","@ClaireBardner")</f>
        <v>@ClaireBardner</v>
      </c>
      <c r="C1957" s="10" t="s">
        <v>8403</v>
      </c>
      <c r="D1957" s="10" t="s">
        <v>8404</v>
      </c>
      <c r="E1957" s="9" t="str">
        <f>HYPERLINK("https://twitter.com/ClaireBardner/status/1218484087272411136","1218484087272411136")</f>
        <v>1218484087272411136</v>
      </c>
      <c r="F1957" s="11" t="s">
        <v>8405</v>
      </c>
      <c r="G1957" s="13"/>
      <c r="H1957" s="13"/>
      <c r="I1957" s="14">
        <v>0.0</v>
      </c>
      <c r="J1957" s="14">
        <v>0.0</v>
      </c>
      <c r="K1957" s="9" t="str">
        <f t="shared" ref="K1957:K1960" si="243">HYPERLINK("http://twitter.com/download/iphone","Twitter for iPhone")</f>
        <v>Twitter for iPhone</v>
      </c>
      <c r="L1957" s="15">
        <v>937.0</v>
      </c>
      <c r="M1957" s="15">
        <v>3738.0</v>
      </c>
      <c r="N1957" s="15">
        <v>1.0</v>
      </c>
      <c r="O1957" s="16"/>
      <c r="P1957" s="17">
        <v>42632.36310185185</v>
      </c>
      <c r="Q1957" s="10" t="s">
        <v>95</v>
      </c>
      <c r="R1957" s="10" t="s">
        <v>8406</v>
      </c>
      <c r="S1957" s="11" t="s">
        <v>8407</v>
      </c>
      <c r="T1957" s="13"/>
      <c r="U1957" s="18" t="str">
        <f>HYPERLINK("https://pbs.twimg.com/profile_images/777852301625159680/XA_VKkFc.jpg","View")</f>
        <v>View</v>
      </c>
      <c r="V1957" s="13"/>
      <c r="W1957" s="13"/>
      <c r="X1957" s="13"/>
      <c r="Y1957" s="13"/>
      <c r="Z1957" s="13"/>
    </row>
    <row r="1958">
      <c r="A1958" s="8">
        <v>43848.23814814815</v>
      </c>
      <c r="B1958" s="9" t="str">
        <f>HYPERLINK("https://twitter.com/andreasgerden","@andreasgerden")</f>
        <v>@andreasgerden</v>
      </c>
      <c r="C1958" s="10" t="s">
        <v>8408</v>
      </c>
      <c r="D1958" s="10" t="s">
        <v>8409</v>
      </c>
      <c r="E1958" s="9" t="str">
        <f>HYPERLINK("https://twitter.com/andreasgerden/status/1218483907861061632","1218483907861061632")</f>
        <v>1218483907861061632</v>
      </c>
      <c r="F1958" s="13"/>
      <c r="G1958" s="13"/>
      <c r="H1958" s="13"/>
      <c r="I1958" s="14">
        <v>3.0</v>
      </c>
      <c r="J1958" s="14">
        <v>7.0</v>
      </c>
      <c r="K1958" s="9" t="str">
        <f t="shared" si="243"/>
        <v>Twitter for iPhone</v>
      </c>
      <c r="L1958" s="15">
        <v>2856.0</v>
      </c>
      <c r="M1958" s="15">
        <v>2900.0</v>
      </c>
      <c r="N1958" s="15">
        <v>11.0</v>
      </c>
      <c r="O1958" s="16"/>
      <c r="P1958" s="17">
        <v>43214.60392361111</v>
      </c>
      <c r="Q1958" s="10" t="s">
        <v>8410</v>
      </c>
      <c r="R1958" s="10" t="s">
        <v>8411</v>
      </c>
      <c r="S1958" s="11" t="s">
        <v>8412</v>
      </c>
      <c r="T1958" s="13"/>
      <c r="U1958" s="18" t="str">
        <f>HYPERLINK("https://pbs.twimg.com/profile_images/1210279356888580096/chG4UZ4Y.jpg","View")</f>
        <v>View</v>
      </c>
      <c r="V1958" s="13"/>
      <c r="W1958" s="13"/>
      <c r="X1958" s="13"/>
      <c r="Y1958" s="13"/>
      <c r="Z1958" s="13"/>
    </row>
    <row r="1959">
      <c r="A1959" s="8">
        <v>43848.23813657407</v>
      </c>
      <c r="B1959" s="9" t="str">
        <f>HYPERLINK("https://twitter.com/ladytereska","@ladytereska")</f>
        <v>@ladytereska</v>
      </c>
      <c r="C1959" s="10" t="s">
        <v>5465</v>
      </c>
      <c r="D1959" s="10" t="s">
        <v>8413</v>
      </c>
      <c r="E1959" s="9" t="str">
        <f>HYPERLINK("https://twitter.com/ladytereska/status/1218483902144221184","1218483902144221184")</f>
        <v>1218483902144221184</v>
      </c>
      <c r="F1959" s="13"/>
      <c r="G1959" s="11" t="s">
        <v>8414</v>
      </c>
      <c r="H1959" s="13"/>
      <c r="I1959" s="14">
        <v>0.0</v>
      </c>
      <c r="J1959" s="14">
        <v>13.0</v>
      </c>
      <c r="K1959" s="9" t="str">
        <f t="shared" si="243"/>
        <v>Twitter for iPhone</v>
      </c>
      <c r="L1959" s="15">
        <v>1015.0</v>
      </c>
      <c r="M1959" s="15">
        <v>360.0</v>
      </c>
      <c r="N1959" s="15">
        <v>11.0</v>
      </c>
      <c r="O1959" s="16"/>
      <c r="P1959" s="17">
        <v>40399.725439814814</v>
      </c>
      <c r="Q1959" s="13"/>
      <c r="R1959" s="10" t="s">
        <v>5468</v>
      </c>
      <c r="S1959" s="13"/>
      <c r="T1959" s="13"/>
      <c r="U1959" s="18" t="str">
        <f>HYPERLINK("https://pbs.twimg.com/profile_images/1056853578583891968/cD50Qd5F.jpg","View")</f>
        <v>View</v>
      </c>
      <c r="V1959" s="13"/>
      <c r="W1959" s="13"/>
      <c r="X1959" s="13"/>
      <c r="Y1959" s="13"/>
      <c r="Z1959" s="13"/>
    </row>
    <row r="1960">
      <c r="A1960" s="8">
        <v>43848.23777777777</v>
      </c>
      <c r="B1960" s="9" t="str">
        <f>HYPERLINK("https://twitter.com/AnnaMMarshall81","@AnnaMMarshall81")</f>
        <v>@AnnaMMarshall81</v>
      </c>
      <c r="C1960" s="10" t="s">
        <v>8415</v>
      </c>
      <c r="D1960" s="10" t="s">
        <v>8416</v>
      </c>
      <c r="E1960" s="9" t="str">
        <f>HYPERLINK("https://twitter.com/AnnaMMarshall81/status/1218483774561890305","1218483774561890305")</f>
        <v>1218483774561890305</v>
      </c>
      <c r="F1960" s="13"/>
      <c r="G1960" s="13"/>
      <c r="H1960" s="13"/>
      <c r="I1960" s="14">
        <v>0.0</v>
      </c>
      <c r="J1960" s="14">
        <v>14.0</v>
      </c>
      <c r="K1960" s="9" t="str">
        <f t="shared" si="243"/>
        <v>Twitter for iPhone</v>
      </c>
      <c r="L1960" s="15">
        <v>946.0</v>
      </c>
      <c r="M1960" s="15">
        <v>2197.0</v>
      </c>
      <c r="N1960" s="15">
        <v>14.0</v>
      </c>
      <c r="O1960" s="16"/>
      <c r="P1960" s="17">
        <v>41656.269062499996</v>
      </c>
      <c r="Q1960" s="10" t="s">
        <v>161</v>
      </c>
      <c r="R1960" s="10" t="s">
        <v>8417</v>
      </c>
      <c r="S1960" s="13"/>
      <c r="T1960" s="13"/>
      <c r="U1960" s="18" t="str">
        <f>HYPERLINK("https://pbs.twimg.com/profile_images/1021093488966946818/_Pj_O71z.jpg","View")</f>
        <v>View</v>
      </c>
      <c r="V1960" s="13"/>
      <c r="W1960" s="13"/>
      <c r="X1960" s="13"/>
      <c r="Y1960" s="13"/>
      <c r="Z1960" s="13"/>
    </row>
    <row r="1961">
      <c r="A1961" s="8">
        <v>43848.237488425926</v>
      </c>
      <c r="B1961" s="9" t="str">
        <f>HYPERLINK("https://twitter.com/OneDropPublish","@OneDropPublish")</f>
        <v>@OneDropPublish</v>
      </c>
      <c r="C1961" s="10" t="s">
        <v>8418</v>
      </c>
      <c r="D1961" s="10" t="s">
        <v>8419</v>
      </c>
      <c r="E1961" s="9" t="str">
        <f>HYPERLINK("https://twitter.com/OneDropPublish/status/1218483666432790528","1218483666432790528")</f>
        <v>1218483666432790528</v>
      </c>
      <c r="F1961" s="11" t="s">
        <v>8420</v>
      </c>
      <c r="G1961" s="11" t="s">
        <v>8389</v>
      </c>
      <c r="H1961" s="13"/>
      <c r="I1961" s="14">
        <v>0.0</v>
      </c>
      <c r="J1961" s="14">
        <v>1.0</v>
      </c>
      <c r="K1961" s="9" t="str">
        <f t="shared" ref="K1961:K1963" si="244">HYPERLINK("http://twitter.com/download/android","Twitter for Android")</f>
        <v>Twitter for Android</v>
      </c>
      <c r="L1961" s="15">
        <v>10.0</v>
      </c>
      <c r="M1961" s="15">
        <v>81.0</v>
      </c>
      <c r="N1961" s="15">
        <v>0.0</v>
      </c>
      <c r="O1961" s="16"/>
      <c r="P1961" s="17">
        <v>43758.303240740745</v>
      </c>
      <c r="Q1961" s="10" t="s">
        <v>8421</v>
      </c>
      <c r="R1961" s="10" t="s">
        <v>8422</v>
      </c>
      <c r="S1961" s="11" t="s">
        <v>8423</v>
      </c>
      <c r="T1961" s="13"/>
      <c r="U1961" s="18" t="str">
        <f>HYPERLINK("https://pbs.twimg.com/profile_images/1216840783640322048/R55_KfB7.jpg","View")</f>
        <v>View</v>
      </c>
      <c r="V1961" s="13"/>
      <c r="W1961" s="13"/>
      <c r="X1961" s="13"/>
      <c r="Y1961" s="13"/>
      <c r="Z1961" s="13"/>
    </row>
    <row r="1962">
      <c r="A1962" s="8">
        <v>43848.23688657407</v>
      </c>
      <c r="B1962" s="9" t="str">
        <f>HYPERLINK("https://twitter.com/CounsellingKane","@CounsellingKane")</f>
        <v>@CounsellingKane</v>
      </c>
      <c r="C1962" s="10" t="s">
        <v>8424</v>
      </c>
      <c r="D1962" s="10" t="s">
        <v>8425</v>
      </c>
      <c r="E1962" s="9" t="str">
        <f>HYPERLINK("https://twitter.com/CounsellingKane/status/1218483449130049543","1218483449130049543")</f>
        <v>1218483449130049543</v>
      </c>
      <c r="F1962" s="13"/>
      <c r="G1962" s="13"/>
      <c r="H1962" s="13"/>
      <c r="I1962" s="14">
        <v>0.0</v>
      </c>
      <c r="J1962" s="14">
        <v>1.0</v>
      </c>
      <c r="K1962" s="9" t="str">
        <f t="shared" si="244"/>
        <v>Twitter for Android</v>
      </c>
      <c r="L1962" s="15">
        <v>54.0</v>
      </c>
      <c r="M1962" s="15">
        <v>26.0</v>
      </c>
      <c r="N1962" s="15">
        <v>0.0</v>
      </c>
      <c r="O1962" s="16"/>
      <c r="P1962" s="17">
        <v>43699.404444444444</v>
      </c>
      <c r="Q1962" s="10" t="s">
        <v>8426</v>
      </c>
      <c r="R1962" s="10" t="s">
        <v>8427</v>
      </c>
      <c r="S1962" s="11" t="s">
        <v>8428</v>
      </c>
      <c r="T1962" s="13"/>
      <c r="U1962" s="18" t="str">
        <f>HYPERLINK("https://pbs.twimg.com/profile_images/1165723263546351616/dUC6UbrI.jpg","View")</f>
        <v>View</v>
      </c>
      <c r="V1962" s="13"/>
      <c r="W1962" s="13"/>
      <c r="X1962" s="13"/>
      <c r="Y1962" s="13"/>
      <c r="Z1962" s="13"/>
    </row>
    <row r="1963">
      <c r="A1963" s="8">
        <v>43848.23672453704</v>
      </c>
      <c r="B1963" s="9" t="str">
        <f>HYPERLINK("https://twitter.com/MichelleTomos","@MichelleTomos")</f>
        <v>@MichelleTomos</v>
      </c>
      <c r="C1963" s="10" t="s">
        <v>8429</v>
      </c>
      <c r="D1963" s="10" t="s">
        <v>8430</v>
      </c>
      <c r="E1963" s="9" t="str">
        <f>HYPERLINK("https://twitter.com/MichelleTomos/status/1218483392259461120","1218483392259461120")</f>
        <v>1218483392259461120</v>
      </c>
      <c r="F1963" s="13"/>
      <c r="G1963" s="11" t="s">
        <v>8431</v>
      </c>
      <c r="H1963" s="13"/>
      <c r="I1963" s="14">
        <v>0.0</v>
      </c>
      <c r="J1963" s="14">
        <v>3.0</v>
      </c>
      <c r="K1963" s="9" t="str">
        <f t="shared" si="244"/>
        <v>Twitter for Android</v>
      </c>
      <c r="L1963" s="15">
        <v>4303.0</v>
      </c>
      <c r="M1963" s="15">
        <v>2098.0</v>
      </c>
      <c r="N1963" s="15">
        <v>52.0</v>
      </c>
      <c r="O1963" s="16"/>
      <c r="P1963" s="17">
        <v>41002.25670138889</v>
      </c>
      <c r="Q1963" s="10" t="s">
        <v>8432</v>
      </c>
      <c r="R1963" s="10" t="s">
        <v>8433</v>
      </c>
      <c r="S1963" s="11" t="s">
        <v>8434</v>
      </c>
      <c r="T1963" s="13"/>
      <c r="U1963" s="18" t="str">
        <f>HYPERLINK("https://pbs.twimg.com/profile_images/1190575022064197632/dQZ1cMaA.jpg","View")</f>
        <v>View</v>
      </c>
      <c r="V1963" s="13"/>
      <c r="W1963" s="13"/>
      <c r="X1963" s="13"/>
      <c r="Y1963" s="13"/>
      <c r="Z1963" s="13"/>
    </row>
    <row r="1964">
      <c r="A1964" s="8">
        <v>43848.2361574074</v>
      </c>
      <c r="B1964" s="9" t="str">
        <f>HYPERLINK("https://twitter.com/on_lothianbuses","@on_lothianbuses")</f>
        <v>@on_lothianbuses</v>
      </c>
      <c r="C1964" s="10" t="s">
        <v>8435</v>
      </c>
      <c r="D1964" s="10" t="s">
        <v>8436</v>
      </c>
      <c r="E1964" s="9" t="str">
        <f>HYPERLINK("https://twitter.com/on_lothianbuses/status/1218483185643937792","1218483185643937792")</f>
        <v>1218483185643937792</v>
      </c>
      <c r="F1964" s="11" t="s">
        <v>8437</v>
      </c>
      <c r="G1964" s="11" t="s">
        <v>8438</v>
      </c>
      <c r="H1964" s="13"/>
      <c r="I1964" s="14">
        <v>3.0</v>
      </c>
      <c r="J1964" s="14">
        <v>16.0</v>
      </c>
      <c r="K1964" s="9" t="str">
        <f>HYPERLINK("https://www.hootsuite.com","Hootsuite Inc.")</f>
        <v>Hootsuite Inc.</v>
      </c>
      <c r="L1964" s="15">
        <v>99084.0</v>
      </c>
      <c r="M1964" s="15">
        <v>443.0</v>
      </c>
      <c r="N1964" s="15">
        <v>563.0</v>
      </c>
      <c r="O1964" s="21" t="s">
        <v>522</v>
      </c>
      <c r="P1964" s="17">
        <v>40057.09092592593</v>
      </c>
      <c r="Q1964" s="10" t="s">
        <v>7389</v>
      </c>
      <c r="R1964" s="10" t="s">
        <v>8439</v>
      </c>
      <c r="S1964" s="11" t="s">
        <v>8440</v>
      </c>
      <c r="T1964" s="13"/>
      <c r="U1964" s="18" t="str">
        <f>HYPERLINK("https://pbs.twimg.com/profile_images/1212715379614769152/aLGn2PtR.jpg","View")</f>
        <v>View</v>
      </c>
      <c r="V1964" s="13"/>
      <c r="W1964" s="13"/>
      <c r="X1964" s="13"/>
      <c r="Y1964" s="13"/>
      <c r="Z1964" s="13"/>
    </row>
    <row r="1965">
      <c r="A1965" s="8">
        <v>43848.2359375</v>
      </c>
      <c r="B1965" s="9" t="str">
        <f>HYPERLINK("https://twitter.com/MCFCLondon","@MCFCLondon")</f>
        <v>@MCFCLondon</v>
      </c>
      <c r="C1965" s="10" t="s">
        <v>8441</v>
      </c>
      <c r="D1965" s="10" t="s">
        <v>8442</v>
      </c>
      <c r="E1965" s="9" t="str">
        <f>HYPERLINK("https://twitter.com/MCFCLondon/status/1218483106811928578","1218483106811928578")</f>
        <v>1218483106811928578</v>
      </c>
      <c r="F1965" s="13"/>
      <c r="G1965" s="13"/>
      <c r="H1965" s="13"/>
      <c r="I1965" s="14">
        <v>0.0</v>
      </c>
      <c r="J1965" s="14">
        <v>2.0</v>
      </c>
      <c r="K1965" s="9" t="str">
        <f>HYPERLINK("http://twitter.com/download/android","Twitter for Android")</f>
        <v>Twitter for Android</v>
      </c>
      <c r="L1965" s="15">
        <v>2669.0</v>
      </c>
      <c r="M1965" s="15">
        <v>3216.0</v>
      </c>
      <c r="N1965" s="15">
        <v>30.0</v>
      </c>
      <c r="O1965" s="16"/>
      <c r="P1965" s="17">
        <v>40753.142800925925</v>
      </c>
      <c r="Q1965" s="10" t="s">
        <v>8443</v>
      </c>
      <c r="R1965" s="10" t="s">
        <v>8444</v>
      </c>
      <c r="S1965" s="13"/>
      <c r="T1965" s="13"/>
      <c r="U1965" s="18" t="str">
        <f>HYPERLINK("https://pbs.twimg.com/profile_images/1197459121966071809/nI5HXbKR.jpg","View")</f>
        <v>View</v>
      </c>
      <c r="V1965" s="13"/>
      <c r="W1965" s="13"/>
      <c r="X1965" s="13"/>
      <c r="Y1965" s="13"/>
      <c r="Z1965" s="13"/>
    </row>
    <row r="1966">
      <c r="A1966" s="8">
        <v>43848.23577546296</v>
      </c>
      <c r="B1966" s="9" t="str">
        <f>HYPERLINK("https://twitter.com/JukesJo","@JukesJo")</f>
        <v>@JukesJo</v>
      </c>
      <c r="C1966" s="10" t="s">
        <v>8445</v>
      </c>
      <c r="D1966" s="10" t="s">
        <v>8446</v>
      </c>
      <c r="E1966" s="9" t="str">
        <f>HYPERLINK("https://twitter.com/JukesJo/status/1218483045822619648","1218483045822619648")</f>
        <v>1218483045822619648</v>
      </c>
      <c r="F1966" s="11" t="s">
        <v>8447</v>
      </c>
      <c r="G1966" s="13"/>
      <c r="H1966" s="13"/>
      <c r="I1966" s="14">
        <v>15.0</v>
      </c>
      <c r="J1966" s="14">
        <v>15.0</v>
      </c>
      <c r="K1966" s="9" t="str">
        <f>HYPERLINK("https://mobile.twitter.com","Twitter Web App")</f>
        <v>Twitter Web App</v>
      </c>
      <c r="L1966" s="15">
        <v>1156.0</v>
      </c>
      <c r="M1966" s="15">
        <v>613.0</v>
      </c>
      <c r="N1966" s="15">
        <v>1.0</v>
      </c>
      <c r="O1966" s="16"/>
      <c r="P1966" s="17">
        <v>43396.29108796296</v>
      </c>
      <c r="Q1966" s="10" t="s">
        <v>446</v>
      </c>
      <c r="R1966" s="10" t="s">
        <v>8448</v>
      </c>
      <c r="S1966" s="13"/>
      <c r="T1966" s="13"/>
      <c r="U1966" s="18" t="str">
        <f>HYPERLINK("https://pbs.twimg.com/profile_images/1180936472519741441/_F6AUgbD.jpg","View")</f>
        <v>View</v>
      </c>
      <c r="V1966" s="13"/>
      <c r="W1966" s="13"/>
      <c r="X1966" s="13"/>
      <c r="Y1966" s="13"/>
      <c r="Z1966" s="13"/>
    </row>
    <row r="1967">
      <c r="A1967" s="8">
        <v>43848.23537037037</v>
      </c>
      <c r="B1967" s="9" t="str">
        <f>HYPERLINK("https://twitter.com/elaineterry06","@elaineterry06")</f>
        <v>@elaineterry06</v>
      </c>
      <c r="C1967" s="10" t="s">
        <v>8449</v>
      </c>
      <c r="D1967" s="10" t="s">
        <v>8450</v>
      </c>
      <c r="E1967" s="9" t="str">
        <f>HYPERLINK("https://twitter.com/elaineterry06/status/1218482899458105351","1218482899458105351")</f>
        <v>1218482899458105351</v>
      </c>
      <c r="F1967" s="11" t="s">
        <v>8451</v>
      </c>
      <c r="G1967" s="13"/>
      <c r="H1967" s="9" t="str">
        <f>HYPERLINK("https://ctrlq.org/maps/address/#52.97594319,-1.0722891","Map")</f>
        <v>Map</v>
      </c>
      <c r="I1967" s="14">
        <v>0.0</v>
      </c>
      <c r="J1967" s="14">
        <v>0.0</v>
      </c>
      <c r="K1967" s="9" t="str">
        <f>HYPERLINK("http://instagram.com","Instagram")</f>
        <v>Instagram</v>
      </c>
      <c r="L1967" s="15">
        <v>358.0</v>
      </c>
      <c r="M1967" s="15">
        <v>620.0</v>
      </c>
      <c r="N1967" s="15">
        <v>9.0</v>
      </c>
      <c r="O1967" s="16"/>
      <c r="P1967" s="17">
        <v>40814.57168981482</v>
      </c>
      <c r="Q1967" s="10" t="s">
        <v>1667</v>
      </c>
      <c r="R1967" s="10" t="s">
        <v>8452</v>
      </c>
      <c r="S1967" s="11" t="s">
        <v>8453</v>
      </c>
      <c r="T1967" s="13"/>
      <c r="U1967" s="18" t="str">
        <f>HYPERLINK("https://pbs.twimg.com/profile_images/1055117580934041602/5y4tkqGy.jpg","View")</f>
        <v>View</v>
      </c>
      <c r="V1967" s="13"/>
      <c r="W1967" s="13"/>
      <c r="X1967" s="13"/>
      <c r="Y1967" s="13"/>
      <c r="Z1967" s="13"/>
    </row>
    <row r="1968">
      <c r="A1968" s="8">
        <v>43848.23515046296</v>
      </c>
      <c r="B1968" s="9" t="str">
        <f>HYPERLINK("https://twitter.com/ladytereska","@ladytereska")</f>
        <v>@ladytereska</v>
      </c>
      <c r="C1968" s="10" t="s">
        <v>5465</v>
      </c>
      <c r="D1968" s="10" t="s">
        <v>8454</v>
      </c>
      <c r="E1968" s="9" t="str">
        <f>HYPERLINK("https://twitter.com/ladytereska/status/1218482820143894534","1218482820143894534")</f>
        <v>1218482820143894534</v>
      </c>
      <c r="F1968" s="13"/>
      <c r="G1968" s="11" t="s">
        <v>8455</v>
      </c>
      <c r="H1968" s="13"/>
      <c r="I1968" s="14">
        <v>3.0</v>
      </c>
      <c r="J1968" s="14">
        <v>18.0</v>
      </c>
      <c r="K1968" s="9" t="str">
        <f>HYPERLINK("http://twitter.com/download/iphone","Twitter for iPhone")</f>
        <v>Twitter for iPhone</v>
      </c>
      <c r="L1968" s="15">
        <v>1015.0</v>
      </c>
      <c r="M1968" s="15">
        <v>360.0</v>
      </c>
      <c r="N1968" s="15">
        <v>11.0</v>
      </c>
      <c r="O1968" s="16"/>
      <c r="P1968" s="17">
        <v>40399.725439814814</v>
      </c>
      <c r="Q1968" s="13"/>
      <c r="R1968" s="10" t="s">
        <v>5468</v>
      </c>
      <c r="S1968" s="13"/>
      <c r="T1968" s="13"/>
      <c r="U1968" s="18" t="str">
        <f>HYPERLINK("https://pbs.twimg.com/profile_images/1056853578583891968/cD50Qd5F.jpg","View")</f>
        <v>View</v>
      </c>
      <c r="V1968" s="13"/>
      <c r="W1968" s="13"/>
      <c r="X1968" s="13"/>
      <c r="Y1968" s="13"/>
      <c r="Z1968" s="13"/>
    </row>
    <row r="1969">
      <c r="A1969" s="8">
        <v>43848.23506944445</v>
      </c>
      <c r="B1969" s="9" t="str">
        <f>HYPERLINK("https://twitter.com/HappyHeadsMH","@HappyHeadsMH")</f>
        <v>@HappyHeadsMH</v>
      </c>
      <c r="C1969" s="10" t="s">
        <v>6439</v>
      </c>
      <c r="D1969" s="10" t="s">
        <v>8456</v>
      </c>
      <c r="E1969" s="9" t="str">
        <f>HYPERLINK("https://twitter.com/HappyHeadsMH/status/1218482790867578885","1218482790867578885")</f>
        <v>1218482790867578885</v>
      </c>
      <c r="F1969" s="13"/>
      <c r="G1969" s="11" t="s">
        <v>8457</v>
      </c>
      <c r="H1969" s="13"/>
      <c r="I1969" s="14">
        <v>2.0</v>
      </c>
      <c r="J1969" s="14">
        <v>3.0</v>
      </c>
      <c r="K1969" s="9" t="str">
        <f>HYPERLINK("http://twitter.com/download/android","Twitter for Android")</f>
        <v>Twitter for Android</v>
      </c>
      <c r="L1969" s="15">
        <v>109.0</v>
      </c>
      <c r="M1969" s="15">
        <v>156.0</v>
      </c>
      <c r="N1969" s="15">
        <v>1.0</v>
      </c>
      <c r="O1969" s="16"/>
      <c r="P1969" s="17">
        <v>43202.733449074076</v>
      </c>
      <c r="Q1969" s="10" t="s">
        <v>95</v>
      </c>
      <c r="R1969" s="10" t="s">
        <v>6441</v>
      </c>
      <c r="S1969" s="11" t="s">
        <v>6442</v>
      </c>
      <c r="T1969" s="13"/>
      <c r="U1969" s="18" t="str">
        <f>HYPERLINK("https://pbs.twimg.com/profile_images/988509024940380160/YMvMh0C5.jpg","View")</f>
        <v>View</v>
      </c>
      <c r="V1969" s="13"/>
      <c r="W1969" s="13"/>
      <c r="X1969" s="13"/>
      <c r="Y1969" s="13"/>
      <c r="Z1969" s="13"/>
    </row>
    <row r="1970">
      <c r="A1970" s="8">
        <v>43848.23494212963</v>
      </c>
      <c r="B1970" s="9" t="str">
        <f>HYPERLINK("https://twitter.com/JowettSophia","@JowettSophia")</f>
        <v>@JowettSophia</v>
      </c>
      <c r="C1970" s="10" t="s">
        <v>8458</v>
      </c>
      <c r="D1970" s="10" t="s">
        <v>8459</v>
      </c>
      <c r="E1970" s="9" t="str">
        <f>HYPERLINK("https://twitter.com/JowettSophia/status/1218482747318116352","1218482747318116352")</f>
        <v>1218482747318116352</v>
      </c>
      <c r="F1970" s="10" t="s">
        <v>8460</v>
      </c>
      <c r="G1970" s="13"/>
      <c r="H1970" s="13"/>
      <c r="I1970" s="14">
        <v>5.0</v>
      </c>
      <c r="J1970" s="14">
        <v>20.0</v>
      </c>
      <c r="K1970" s="9" t="str">
        <f>HYPERLINK("http://twitter.com/download/iphone","Twitter for iPhone")</f>
        <v>Twitter for iPhone</v>
      </c>
      <c r="L1970" s="15">
        <v>3869.0</v>
      </c>
      <c r="M1970" s="15">
        <v>1875.0</v>
      </c>
      <c r="N1970" s="15">
        <v>35.0</v>
      </c>
      <c r="O1970" s="16"/>
      <c r="P1970" s="17">
        <v>41566.706296296295</v>
      </c>
      <c r="Q1970" s="10" t="s">
        <v>8461</v>
      </c>
      <c r="R1970" s="10" t="s">
        <v>8462</v>
      </c>
      <c r="S1970" s="11" t="s">
        <v>8463</v>
      </c>
      <c r="T1970" s="13"/>
      <c r="U1970" s="18" t="str">
        <f>HYPERLINK("https://pbs.twimg.com/profile_images/1211207731861970944/ojzzW05F.jpg","View")</f>
        <v>View</v>
      </c>
      <c r="V1970" s="13"/>
      <c r="W1970" s="13"/>
      <c r="X1970" s="13"/>
      <c r="Y1970" s="13"/>
      <c r="Z1970" s="13"/>
    </row>
    <row r="1971">
      <c r="A1971" s="8">
        <v>43848.23475694444</v>
      </c>
      <c r="B1971" s="9" t="str">
        <f>HYPERLINK("https://twitter.com/CorstorphineP","@CorstorphineP")</f>
        <v>@CorstorphineP</v>
      </c>
      <c r="C1971" s="10" t="s">
        <v>8464</v>
      </c>
      <c r="D1971" s="10" t="s">
        <v>8465</v>
      </c>
      <c r="E1971" s="9" t="str">
        <f>HYPERLINK("https://twitter.com/CorstorphineP/status/1218482677545865216","1218482677545865216")</f>
        <v>1218482677545865216</v>
      </c>
      <c r="F1971" s="11" t="s">
        <v>8466</v>
      </c>
      <c r="G1971" s="13"/>
      <c r="H1971" s="13"/>
      <c r="I1971" s="14">
        <v>0.0</v>
      </c>
      <c r="J1971" s="14">
        <v>1.0</v>
      </c>
      <c r="K1971" s="9" t="str">
        <f>HYPERLINK("http://twitter.com/download/android","Twitter for Android")</f>
        <v>Twitter for Android</v>
      </c>
      <c r="L1971" s="15">
        <v>92.0</v>
      </c>
      <c r="M1971" s="15">
        <v>341.0</v>
      </c>
      <c r="N1971" s="15">
        <v>2.0</v>
      </c>
      <c r="O1971" s="16"/>
      <c r="P1971" s="17">
        <v>43444.71643518518</v>
      </c>
      <c r="Q1971" s="10" t="s">
        <v>7389</v>
      </c>
      <c r="R1971" s="10" t="s">
        <v>8467</v>
      </c>
      <c r="S1971" s="11" t="s">
        <v>8468</v>
      </c>
      <c r="T1971" s="13"/>
      <c r="U1971" s="18" t="str">
        <f>HYPERLINK("https://pbs.twimg.com/profile_images/1173928390358945792/q5HIgYxE.jpg","View")</f>
        <v>View</v>
      </c>
      <c r="V1971" s="13"/>
      <c r="W1971" s="13"/>
      <c r="X1971" s="13"/>
      <c r="Y1971" s="13"/>
      <c r="Z1971" s="13"/>
    </row>
    <row r="1972">
      <c r="A1972" s="8">
        <v>43848.234456018516</v>
      </c>
      <c r="B1972" s="9" t="str">
        <f>HYPERLINK("https://twitter.com/nickillenial","@nickillenial")</f>
        <v>@nickillenial</v>
      </c>
      <c r="C1972" s="10" t="s">
        <v>8469</v>
      </c>
      <c r="D1972" s="10" t="s">
        <v>8470</v>
      </c>
      <c r="E1972" s="9" t="str">
        <f>HYPERLINK("https://twitter.com/nickillenial/status/1218482570435813377","1218482570435813377")</f>
        <v>1218482570435813377</v>
      </c>
      <c r="F1972" s="13"/>
      <c r="G1972" s="13"/>
      <c r="H1972" s="13"/>
      <c r="I1972" s="14">
        <v>1.0</v>
      </c>
      <c r="J1972" s="14">
        <v>0.0</v>
      </c>
      <c r="K1972" s="9" t="str">
        <f t="shared" ref="K1972:K1973" si="245">HYPERLINK("http://twitter.com/download/iphone","Twitter for iPhone")</f>
        <v>Twitter for iPhone</v>
      </c>
      <c r="L1972" s="15">
        <v>54.0</v>
      </c>
      <c r="M1972" s="15">
        <v>131.0</v>
      </c>
      <c r="N1972" s="15">
        <v>0.0</v>
      </c>
      <c r="O1972" s="16"/>
      <c r="P1972" s="17">
        <v>40163.89503472222</v>
      </c>
      <c r="Q1972" s="10" t="s">
        <v>585</v>
      </c>
      <c r="R1972" s="10" t="s">
        <v>8471</v>
      </c>
      <c r="S1972" s="11" t="s">
        <v>8472</v>
      </c>
      <c r="T1972" s="13"/>
      <c r="U1972" s="18" t="str">
        <f>HYPERLINK("https://pbs.twimg.com/profile_images/1204918135062532098/ubW62TeG.jpg","View")</f>
        <v>View</v>
      </c>
      <c r="V1972" s="13"/>
      <c r="W1972" s="13"/>
      <c r="X1972" s="13"/>
      <c r="Y1972" s="13"/>
      <c r="Z1972" s="13"/>
    </row>
    <row r="1973">
      <c r="A1973" s="8">
        <v>43848.234293981484</v>
      </c>
      <c r="B1973" s="9" t="str">
        <f>HYPERLINK("https://twitter.com/CLVCooper","@CLVCooper")</f>
        <v>@CLVCooper</v>
      </c>
      <c r="C1973" s="10" t="s">
        <v>8473</v>
      </c>
      <c r="D1973" s="10" t="s">
        <v>8474</v>
      </c>
      <c r="E1973" s="9" t="str">
        <f>HYPERLINK("https://twitter.com/CLVCooper/status/1218482511925391360","1218482511925391360")</f>
        <v>1218482511925391360</v>
      </c>
      <c r="F1973" s="10" t="s">
        <v>8475</v>
      </c>
      <c r="G1973" s="11" t="s">
        <v>8476</v>
      </c>
      <c r="H1973" s="13"/>
      <c r="I1973" s="14">
        <v>2.0</v>
      </c>
      <c r="J1973" s="14">
        <v>6.0</v>
      </c>
      <c r="K1973" s="9" t="str">
        <f t="shared" si="245"/>
        <v>Twitter for iPhone</v>
      </c>
      <c r="L1973" s="15">
        <v>175.0</v>
      </c>
      <c r="M1973" s="15">
        <v>303.0</v>
      </c>
      <c r="N1973" s="15">
        <v>1.0</v>
      </c>
      <c r="O1973" s="16"/>
      <c r="P1973" s="17">
        <v>43591.31908564815</v>
      </c>
      <c r="Q1973" s="10" t="s">
        <v>8477</v>
      </c>
      <c r="R1973" s="10" t="s">
        <v>8478</v>
      </c>
      <c r="S1973" s="11" t="s">
        <v>8479</v>
      </c>
      <c r="T1973" s="13"/>
      <c r="U1973" s="18" t="str">
        <f>HYPERLINK("https://pbs.twimg.com/profile_images/1218499213937594368/P9SSm7Z0.jpg","View")</f>
        <v>View</v>
      </c>
      <c r="V1973" s="13"/>
      <c r="W1973" s="13"/>
      <c r="X1973" s="13"/>
      <c r="Y1973" s="13"/>
      <c r="Z1973" s="13"/>
    </row>
    <row r="1974">
      <c r="A1974" s="8">
        <v>43848.23376157407</v>
      </c>
      <c r="B1974" s="9" t="str">
        <f>HYPERLINK("https://twitter.com/_weightloss284","@_weightloss284")</f>
        <v>@_weightloss284</v>
      </c>
      <c r="C1974" s="10" t="s">
        <v>8480</v>
      </c>
      <c r="D1974" s="10" t="s">
        <v>8481</v>
      </c>
      <c r="E1974" s="9" t="str">
        <f>HYPERLINK("https://twitter.com/_weightloss284/status/1218482317078999041","1218482317078999041")</f>
        <v>1218482317078999041</v>
      </c>
      <c r="F1974" s="11" t="s">
        <v>8482</v>
      </c>
      <c r="G1974" s="11" t="s">
        <v>8483</v>
      </c>
      <c r="H1974" s="13"/>
      <c r="I1974" s="14">
        <v>0.0</v>
      </c>
      <c r="J1974" s="14">
        <v>0.0</v>
      </c>
      <c r="K1974" s="9" t="str">
        <f>HYPERLINK("http://pachaworld.org/","Pachaworldmain")</f>
        <v>Pachaworldmain</v>
      </c>
      <c r="L1974" s="15">
        <v>30740.0</v>
      </c>
      <c r="M1974" s="15">
        <v>29150.0</v>
      </c>
      <c r="N1974" s="15">
        <v>648.0</v>
      </c>
      <c r="O1974" s="16"/>
      <c r="P1974" s="17">
        <v>40811.433842592596</v>
      </c>
      <c r="Q1974" s="10" t="s">
        <v>8484</v>
      </c>
      <c r="R1974" s="10" t="s">
        <v>8485</v>
      </c>
      <c r="S1974" s="11" t="s">
        <v>8486</v>
      </c>
      <c r="T1974" s="13"/>
      <c r="U1974" s="18" t="str">
        <f>HYPERLINK("https://pbs.twimg.com/profile_images/856213931802710018/G1Ag0eNK.jpg","View")</f>
        <v>View</v>
      </c>
      <c r="V1974" s="13"/>
      <c r="W1974" s="13"/>
      <c r="X1974" s="13"/>
      <c r="Y1974" s="13"/>
      <c r="Z1974" s="13"/>
    </row>
    <row r="1975">
      <c r="A1975" s="8">
        <v>43848.2325</v>
      </c>
      <c r="B1975" s="9" t="str">
        <f>HYPERLINK("https://twitter.com/EmmaMcCord2","@EmmaMcCord2")</f>
        <v>@EmmaMcCord2</v>
      </c>
      <c r="C1975" s="10" t="s">
        <v>8487</v>
      </c>
      <c r="D1975" s="10" t="s">
        <v>8488</v>
      </c>
      <c r="E1975" s="9" t="str">
        <f>HYPERLINK("https://twitter.com/EmmaMcCord2/status/1218481860432617472","1218481860432617472")</f>
        <v>1218481860432617472</v>
      </c>
      <c r="F1975" s="13"/>
      <c r="G1975" s="11" t="s">
        <v>8489</v>
      </c>
      <c r="H1975" s="13"/>
      <c r="I1975" s="14">
        <v>2.0</v>
      </c>
      <c r="J1975" s="14">
        <v>3.0</v>
      </c>
      <c r="K1975" s="9" t="str">
        <f t="shared" ref="K1975:K1977" si="246">HYPERLINK("http://twitter.com/download/android","Twitter for Android")</f>
        <v>Twitter for Android</v>
      </c>
      <c r="L1975" s="15">
        <v>153.0</v>
      </c>
      <c r="M1975" s="15">
        <v>364.0</v>
      </c>
      <c r="N1975" s="15">
        <v>2.0</v>
      </c>
      <c r="O1975" s="16"/>
      <c r="P1975" s="17">
        <v>42195.52070601852</v>
      </c>
      <c r="Q1975" s="10" t="s">
        <v>8490</v>
      </c>
      <c r="R1975" s="10" t="s">
        <v>8491</v>
      </c>
      <c r="S1975" s="13"/>
      <c r="T1975" s="13"/>
      <c r="U1975" s="18" t="str">
        <f>HYPERLINK("https://pbs.twimg.com/profile_images/1206970567770943488/1b9rRNZs.jpg","View")</f>
        <v>View</v>
      </c>
      <c r="V1975" s="13"/>
      <c r="W1975" s="13"/>
      <c r="X1975" s="13"/>
      <c r="Y1975" s="13"/>
      <c r="Z1975" s="13"/>
    </row>
    <row r="1976">
      <c r="A1976" s="8">
        <v>43848.23204861111</v>
      </c>
      <c r="B1976" s="9" t="str">
        <f>HYPERLINK("https://twitter.com/mentalkhealthke","@mentalkhealthke")</f>
        <v>@mentalkhealthke</v>
      </c>
      <c r="C1976" s="10" t="s">
        <v>8492</v>
      </c>
      <c r="D1976" s="10" t="s">
        <v>8493</v>
      </c>
      <c r="E1976" s="9" t="str">
        <f>HYPERLINK("https://twitter.com/mentalkhealthke/status/1218481695202140161","1218481695202140161")</f>
        <v>1218481695202140161</v>
      </c>
      <c r="F1976" s="13"/>
      <c r="G1976" s="11" t="s">
        <v>8494</v>
      </c>
      <c r="H1976" s="13"/>
      <c r="I1976" s="14">
        <v>1.0</v>
      </c>
      <c r="J1976" s="14">
        <v>9.0</v>
      </c>
      <c r="K1976" s="9" t="str">
        <f t="shared" si="246"/>
        <v>Twitter for Android</v>
      </c>
      <c r="L1976" s="15">
        <v>958.0</v>
      </c>
      <c r="M1976" s="15">
        <v>155.0</v>
      </c>
      <c r="N1976" s="15">
        <v>4.0</v>
      </c>
      <c r="O1976" s="16"/>
      <c r="P1976" s="17">
        <v>43290.073229166665</v>
      </c>
      <c r="Q1976" s="10" t="s">
        <v>8190</v>
      </c>
      <c r="R1976" s="10" t="s">
        <v>8495</v>
      </c>
      <c r="S1976" s="11" t="s">
        <v>8496</v>
      </c>
      <c r="T1976" s="13"/>
      <c r="U1976" s="18" t="str">
        <f>HYPERLINK("https://pbs.twimg.com/profile_images/1030330871557935105/f-gvCxi7.jpg","View")</f>
        <v>View</v>
      </c>
      <c r="V1976" s="13"/>
      <c r="W1976" s="13"/>
      <c r="X1976" s="13"/>
      <c r="Y1976" s="13"/>
      <c r="Z1976" s="13"/>
    </row>
    <row r="1977">
      <c r="A1977" s="8">
        <v>43848.23155092592</v>
      </c>
      <c r="B1977" s="9" t="str">
        <f>HYPERLINK("https://twitter.com/agyemangs1","@agyemangs1")</f>
        <v>@agyemangs1</v>
      </c>
      <c r="C1977" s="10" t="s">
        <v>8497</v>
      </c>
      <c r="D1977" s="10" t="s">
        <v>238</v>
      </c>
      <c r="E1977" s="9" t="str">
        <f>HYPERLINK("https://twitter.com/agyemangs1/status/1218481516923232256","1218481516923232256")</f>
        <v>1218481516923232256</v>
      </c>
      <c r="F1977" s="13"/>
      <c r="G1977" s="13"/>
      <c r="H1977" s="13"/>
      <c r="I1977" s="14">
        <v>0.0</v>
      </c>
      <c r="J1977" s="14">
        <v>0.0</v>
      </c>
      <c r="K1977" s="9" t="str">
        <f t="shared" si="246"/>
        <v>Twitter for Android</v>
      </c>
      <c r="L1977" s="15">
        <v>87.0</v>
      </c>
      <c r="M1977" s="15">
        <v>202.0</v>
      </c>
      <c r="N1977" s="15">
        <v>0.0</v>
      </c>
      <c r="O1977" s="16"/>
      <c r="P1977" s="17">
        <v>41655.692083333335</v>
      </c>
      <c r="Q1977" s="10" t="s">
        <v>8498</v>
      </c>
      <c r="R1977" s="10" t="s">
        <v>8499</v>
      </c>
      <c r="S1977" s="13"/>
      <c r="T1977" s="13"/>
      <c r="U1977" s="18" t="str">
        <f>HYPERLINK("https://pbs.twimg.com/profile_images/999701244229836800/Afq2fJ6G.jpg","View")</f>
        <v>View</v>
      </c>
      <c r="V1977" s="13"/>
      <c r="W1977" s="13"/>
      <c r="X1977" s="13"/>
      <c r="Y1977" s="13"/>
      <c r="Z1977" s="13"/>
    </row>
    <row r="1978">
      <c r="A1978" s="8">
        <v>43848.231261574074</v>
      </c>
      <c r="B1978" s="9" t="str">
        <f>HYPERLINK("https://twitter.com/Bijan_Cyrus","@Bijan_Cyrus")</f>
        <v>@Bijan_Cyrus</v>
      </c>
      <c r="C1978" s="10" t="s">
        <v>4372</v>
      </c>
      <c r="D1978" s="10" t="s">
        <v>8500</v>
      </c>
      <c r="E1978" s="9" t="str">
        <f>HYPERLINK("https://twitter.com/Bijan_Cyrus/status/1218481412678000641","1218481412678000641")</f>
        <v>1218481412678000641</v>
      </c>
      <c r="F1978" s="11" t="s">
        <v>8501</v>
      </c>
      <c r="G1978" s="11" t="s">
        <v>8502</v>
      </c>
      <c r="H1978" s="13"/>
      <c r="I1978" s="14">
        <v>2.0</v>
      </c>
      <c r="J1978" s="14">
        <v>4.0</v>
      </c>
      <c r="K1978" s="9" t="str">
        <f>HYPERLINK("https://mobile.twitter.com","Twitter Web App")</f>
        <v>Twitter Web App</v>
      </c>
      <c r="L1978" s="15">
        <v>2301.0</v>
      </c>
      <c r="M1978" s="15">
        <v>1966.0</v>
      </c>
      <c r="N1978" s="15">
        <v>30.0</v>
      </c>
      <c r="O1978" s="16"/>
      <c r="P1978" s="17">
        <v>40907.15015046296</v>
      </c>
      <c r="Q1978" s="10" t="s">
        <v>4376</v>
      </c>
      <c r="R1978" s="10" t="s">
        <v>4377</v>
      </c>
      <c r="S1978" s="13"/>
      <c r="T1978" s="13"/>
      <c r="U1978" s="18" t="str">
        <f>HYPERLINK("https://pbs.twimg.com/profile_images/1216455708759273482/_0lDoYO4.jpg","View")</f>
        <v>View</v>
      </c>
      <c r="V1978" s="13"/>
      <c r="W1978" s="13"/>
      <c r="X1978" s="13"/>
      <c r="Y1978" s="13"/>
      <c r="Z1978" s="13"/>
    </row>
    <row r="1979">
      <c r="A1979" s="8">
        <v>43848.23011574074</v>
      </c>
      <c r="B1979" s="9" t="str">
        <f>HYPERLINK("https://twitter.com/depressiongetr1","@depressiongetr1")</f>
        <v>@depressiongetr1</v>
      </c>
      <c r="C1979" s="10" t="s">
        <v>8503</v>
      </c>
      <c r="D1979" s="10" t="s">
        <v>8504</v>
      </c>
      <c r="E1979" s="9" t="str">
        <f>HYPERLINK("https://twitter.com/depressiongetr1/status/1218480998071128070","1218480998071128070")</f>
        <v>1218480998071128070</v>
      </c>
      <c r="F1979" s="10" t="s">
        <v>8505</v>
      </c>
      <c r="G1979" s="11" t="s">
        <v>8506</v>
      </c>
      <c r="H1979" s="13"/>
      <c r="I1979" s="14">
        <v>0.0</v>
      </c>
      <c r="J1979" s="14">
        <v>1.0</v>
      </c>
      <c r="K1979" s="9" t="str">
        <f>HYPERLINK("https://ifttt.com","IFTTT")</f>
        <v>IFTTT</v>
      </c>
      <c r="L1979" s="15">
        <v>56.0</v>
      </c>
      <c r="M1979" s="15">
        <v>877.0</v>
      </c>
      <c r="N1979" s="15">
        <v>0.0</v>
      </c>
      <c r="O1979" s="16"/>
      <c r="P1979" s="17">
        <v>43728.65020833333</v>
      </c>
      <c r="Q1979" s="13"/>
      <c r="R1979" s="10" t="s">
        <v>8507</v>
      </c>
      <c r="S1979" s="11" t="s">
        <v>8508</v>
      </c>
      <c r="T1979" s="13"/>
      <c r="U1979" s="18" t="str">
        <f>HYPERLINK("https://pbs.twimg.com/profile_images/1175131956264275968/ZU0wHksk.jpg","View")</f>
        <v>View</v>
      </c>
      <c r="V1979" s="13"/>
      <c r="W1979" s="13"/>
      <c r="X1979" s="13"/>
      <c r="Y1979" s="13"/>
      <c r="Z1979" s="13"/>
    </row>
    <row r="1980">
      <c r="A1980" s="8">
        <v>43848.22997685186</v>
      </c>
      <c r="B1980" s="9" t="str">
        <f>HYPERLINK("https://twitter.com/kgpetrone","@kgpetrone")</f>
        <v>@kgpetrone</v>
      </c>
      <c r="C1980" s="10" t="s">
        <v>8509</v>
      </c>
      <c r="D1980" s="10" t="s">
        <v>8510</v>
      </c>
      <c r="E1980" s="9" t="str">
        <f>HYPERLINK("https://twitter.com/kgpetrone/status/1218480944765599746","1218480944765599746")</f>
        <v>1218480944765599746</v>
      </c>
      <c r="F1980" s="10" t="s">
        <v>8511</v>
      </c>
      <c r="G1980" s="11" t="s">
        <v>8512</v>
      </c>
      <c r="H1980" s="13"/>
      <c r="I1980" s="14">
        <v>0.0</v>
      </c>
      <c r="J1980" s="14">
        <v>0.0</v>
      </c>
      <c r="K1980" s="9" t="str">
        <f>HYPERLINK("https://mobile.twitter.com","Twitter Web App")</f>
        <v>Twitter Web App</v>
      </c>
      <c r="L1980" s="15">
        <v>1230.0</v>
      </c>
      <c r="M1980" s="15">
        <v>1695.0</v>
      </c>
      <c r="N1980" s="15">
        <v>19.0</v>
      </c>
      <c r="O1980" s="16"/>
      <c r="P1980" s="17">
        <v>41012.35236111111</v>
      </c>
      <c r="Q1980" s="10" t="s">
        <v>1099</v>
      </c>
      <c r="R1980" s="10" t="s">
        <v>8513</v>
      </c>
      <c r="S1980" s="11" t="s">
        <v>8514</v>
      </c>
      <c r="T1980" s="13"/>
      <c r="U1980" s="18" t="str">
        <f>HYPERLINK("https://pbs.twimg.com/profile_images/1089503914095988736/n5TaoFKr.jpg","View")</f>
        <v>View</v>
      </c>
      <c r="V1980" s="13"/>
      <c r="W1980" s="13"/>
      <c r="X1980" s="13"/>
      <c r="Y1980" s="13"/>
      <c r="Z1980" s="13"/>
    </row>
    <row r="1981">
      <c r="A1981" s="8">
        <v>43848.22965277778</v>
      </c>
      <c r="B1981" s="9" t="str">
        <f>HYPERLINK("https://twitter.com/WorthitCIC","@WorthitCIC")</f>
        <v>@WorthitCIC</v>
      </c>
      <c r="C1981" s="10" t="s">
        <v>8515</v>
      </c>
      <c r="D1981" s="10" t="s">
        <v>8516</v>
      </c>
      <c r="E1981" s="9" t="str">
        <f>HYPERLINK("https://twitter.com/WorthitCIC/status/1218480830508564481","1218480830508564481")</f>
        <v>1218480830508564481</v>
      </c>
      <c r="F1981" s="13"/>
      <c r="G1981" s="11" t="s">
        <v>8517</v>
      </c>
      <c r="H1981" s="13"/>
      <c r="I1981" s="14">
        <v>1.0</v>
      </c>
      <c r="J1981" s="14">
        <v>1.0</v>
      </c>
      <c r="K1981" s="9" t="str">
        <f>HYPERLINK("http://itunes.apple.com/us/app/twitter/id409789998?mt=12","Twitter for Mac")</f>
        <v>Twitter for Mac</v>
      </c>
      <c r="L1981" s="15">
        <v>3660.0</v>
      </c>
      <c r="M1981" s="15">
        <v>4035.0</v>
      </c>
      <c r="N1981" s="15">
        <v>119.0</v>
      </c>
      <c r="O1981" s="16"/>
      <c r="P1981" s="17">
        <v>40677.40587962963</v>
      </c>
      <c r="Q1981" s="10" t="s">
        <v>8518</v>
      </c>
      <c r="R1981" s="10" t="s">
        <v>8519</v>
      </c>
      <c r="S1981" s="11" t="s">
        <v>8520</v>
      </c>
      <c r="T1981" s="13"/>
      <c r="U1981" s="18" t="str">
        <f>HYPERLINK("https://pbs.twimg.com/profile_images/1017072583802609664/PY0Z9sMl.jpg","View")</f>
        <v>View</v>
      </c>
      <c r="V1981" s="13"/>
      <c r="W1981" s="13"/>
      <c r="X1981" s="13"/>
      <c r="Y1981" s="13"/>
      <c r="Z1981" s="13"/>
    </row>
    <row r="1982">
      <c r="A1982" s="8">
        <v>43848.229421296295</v>
      </c>
      <c r="B1982" s="9" t="str">
        <f>HYPERLINK("https://twitter.com/Feganscharity","@Feganscharity")</f>
        <v>@Feganscharity</v>
      </c>
      <c r="C1982" s="10" t="s">
        <v>8521</v>
      </c>
      <c r="D1982" s="10" t="s">
        <v>8522</v>
      </c>
      <c r="E1982" s="9" t="str">
        <f>HYPERLINK("https://twitter.com/Feganscharity/status/1218480745104183296","1218480745104183296")</f>
        <v>1218480745104183296</v>
      </c>
      <c r="F1982" s="13"/>
      <c r="G1982" s="11" t="s">
        <v>8523</v>
      </c>
      <c r="H1982" s="13"/>
      <c r="I1982" s="14">
        <v>1.0</v>
      </c>
      <c r="J1982" s="14">
        <v>1.0</v>
      </c>
      <c r="K1982" s="9" t="str">
        <f t="shared" ref="K1982:K1983" si="247">HYPERLINK("https://www.hootsuite.com","Hootsuite Inc.")</f>
        <v>Hootsuite Inc.</v>
      </c>
      <c r="L1982" s="15">
        <v>544.0</v>
      </c>
      <c r="M1982" s="15">
        <v>938.0</v>
      </c>
      <c r="N1982" s="15">
        <v>18.0</v>
      </c>
      <c r="O1982" s="16"/>
      <c r="P1982" s="17">
        <v>42093.74414351852</v>
      </c>
      <c r="Q1982" s="10" t="s">
        <v>161</v>
      </c>
      <c r="R1982" s="10" t="s">
        <v>8524</v>
      </c>
      <c r="S1982" s="11" t="s">
        <v>8525</v>
      </c>
      <c r="T1982" s="13"/>
      <c r="U1982" s="18" t="str">
        <f>HYPERLINK("https://pbs.twimg.com/profile_images/950727315448844289/6K-rUNPo.jpg","View")</f>
        <v>View</v>
      </c>
      <c r="V1982" s="13"/>
      <c r="W1982" s="13"/>
      <c r="X1982" s="13"/>
      <c r="Y1982" s="13"/>
      <c r="Z1982" s="13"/>
    </row>
    <row r="1983">
      <c r="A1983" s="8">
        <v>43848.2293287037</v>
      </c>
      <c r="B1983" s="9" t="str">
        <f>HYPERLINK("https://twitter.com/ParentsVoiceWor","@ParentsVoiceWor")</f>
        <v>@ParentsVoiceWor</v>
      </c>
      <c r="C1983" s="10" t="s">
        <v>1573</v>
      </c>
      <c r="D1983" s="10" t="s">
        <v>8526</v>
      </c>
      <c r="E1983" s="9" t="str">
        <f>HYPERLINK("https://twitter.com/ParentsVoiceWor/status/1218480712027910144","1218480712027910144")</f>
        <v>1218480712027910144</v>
      </c>
      <c r="F1983" s="11" t="s">
        <v>8527</v>
      </c>
      <c r="G1983" s="11" t="s">
        <v>8528</v>
      </c>
      <c r="H1983" s="13"/>
      <c r="I1983" s="14">
        <v>1.0</v>
      </c>
      <c r="J1983" s="14">
        <v>2.0</v>
      </c>
      <c r="K1983" s="9" t="str">
        <f t="shared" si="247"/>
        <v>Hootsuite Inc.</v>
      </c>
      <c r="L1983" s="15">
        <v>6822.0</v>
      </c>
      <c r="M1983" s="15">
        <v>7009.0</v>
      </c>
      <c r="N1983" s="15">
        <v>0.0</v>
      </c>
      <c r="O1983" s="16"/>
      <c r="P1983" s="17">
        <v>40221.271006944444</v>
      </c>
      <c r="Q1983" s="10" t="s">
        <v>1576</v>
      </c>
      <c r="R1983" s="10" t="s">
        <v>1577</v>
      </c>
      <c r="S1983" s="11" t="s">
        <v>1578</v>
      </c>
      <c r="T1983" s="13"/>
      <c r="U1983" s="18" t="str">
        <f>HYPERLINK("https://pbs.twimg.com/profile_images/768356754/parents__voice_logo_small.jpg","View")</f>
        <v>View</v>
      </c>
      <c r="V1983" s="13"/>
      <c r="W1983" s="13"/>
      <c r="X1983" s="13"/>
      <c r="Y1983" s="13"/>
      <c r="Z1983" s="13"/>
    </row>
    <row r="1984">
      <c r="A1984" s="8">
        <v>43848.22820601852</v>
      </c>
      <c r="B1984" s="9" t="str">
        <f>HYPERLINK("https://twitter.com/DonelaLinas","@DonelaLinas")</f>
        <v>@DonelaLinas</v>
      </c>
      <c r="C1984" s="10" t="s">
        <v>1838</v>
      </c>
      <c r="D1984" s="10" t="s">
        <v>8529</v>
      </c>
      <c r="E1984" s="9" t="str">
        <f>HYPERLINK("https://twitter.com/DonelaLinas/status/1218480305037807616","1218480305037807616")</f>
        <v>1218480305037807616</v>
      </c>
      <c r="F1984" s="13"/>
      <c r="G1984" s="13"/>
      <c r="H1984" s="13"/>
      <c r="I1984" s="14">
        <v>0.0</v>
      </c>
      <c r="J1984" s="14">
        <v>1.0</v>
      </c>
      <c r="K1984" s="9" t="str">
        <f>HYPERLINK("http://twitter.com/download/android","Twitter for Android")</f>
        <v>Twitter for Android</v>
      </c>
      <c r="L1984" s="15">
        <v>34.0</v>
      </c>
      <c r="M1984" s="15">
        <v>57.0</v>
      </c>
      <c r="N1984" s="15">
        <v>0.0</v>
      </c>
      <c r="O1984" s="16"/>
      <c r="P1984" s="17">
        <v>42519.46498842593</v>
      </c>
      <c r="Q1984" s="10" t="s">
        <v>1840</v>
      </c>
      <c r="R1984" s="10" t="s">
        <v>1841</v>
      </c>
      <c r="S1984" s="13"/>
      <c r="T1984" s="13"/>
      <c r="U1984" s="18" t="str">
        <f>HYPERLINK("https://pbs.twimg.com/profile_images/737072476367269888/aenGDd9p.jpg","View")</f>
        <v>View</v>
      </c>
      <c r="V1984" s="13"/>
      <c r="W1984" s="13"/>
      <c r="X1984" s="13"/>
      <c r="Y1984" s="13"/>
      <c r="Z1984" s="13"/>
    </row>
    <row r="1985">
      <c r="A1985" s="8">
        <v>43848.22739583333</v>
      </c>
      <c r="B1985" s="9" t="str">
        <f>HYPERLINK("https://twitter.com/towokesouls","@towokesouls")</f>
        <v>@towokesouls</v>
      </c>
      <c r="C1985" s="10" t="s">
        <v>8530</v>
      </c>
      <c r="D1985" s="10" t="s">
        <v>8531</v>
      </c>
      <c r="E1985" s="9" t="str">
        <f>HYPERLINK("https://twitter.com/towokesouls/status/1218480009247186944","1218480009247186944")</f>
        <v>1218480009247186944</v>
      </c>
      <c r="F1985" s="10" t="s">
        <v>8532</v>
      </c>
      <c r="G1985" s="11" t="s">
        <v>8533</v>
      </c>
      <c r="H1985" s="13"/>
      <c r="I1985" s="14">
        <v>0.0</v>
      </c>
      <c r="J1985" s="14">
        <v>0.0</v>
      </c>
      <c r="K1985" s="9" t="str">
        <f>HYPERLINK("https://mobile.twitter.com","Twitter Web App")</f>
        <v>Twitter Web App</v>
      </c>
      <c r="L1985" s="15">
        <v>65.0</v>
      </c>
      <c r="M1985" s="15">
        <v>157.0</v>
      </c>
      <c r="N1985" s="15">
        <v>2.0</v>
      </c>
      <c r="O1985" s="16"/>
      <c r="P1985" s="17">
        <v>43319.592685185184</v>
      </c>
      <c r="Q1985" s="10" t="s">
        <v>8534</v>
      </c>
      <c r="R1985" s="10" t="s">
        <v>8535</v>
      </c>
      <c r="S1985" s="11" t="s">
        <v>8536</v>
      </c>
      <c r="T1985" s="13"/>
      <c r="U1985" s="18" t="str">
        <f>HYPERLINK("https://pbs.twimg.com/profile_images/1026894446913302528/zbYodhXv.jpg","View")</f>
        <v>View</v>
      </c>
      <c r="V1985" s="13"/>
      <c r="W1985" s="13"/>
      <c r="X1985" s="13"/>
      <c r="Y1985" s="13"/>
      <c r="Z1985" s="13"/>
    </row>
    <row r="1986">
      <c r="A1986" s="8">
        <v>43848.22670138889</v>
      </c>
      <c r="B1986" s="9" t="str">
        <f>HYPERLINK("https://twitter.com/Ladyjax9","@Ladyjax9")</f>
        <v>@Ladyjax9</v>
      </c>
      <c r="C1986" s="10" t="s">
        <v>8537</v>
      </c>
      <c r="D1986" s="10" t="s">
        <v>8538</v>
      </c>
      <c r="E1986" s="9" t="str">
        <f>HYPERLINK("https://twitter.com/Ladyjax9/status/1218479759564443648","1218479759564443648")</f>
        <v>1218479759564443648</v>
      </c>
      <c r="F1986" s="13"/>
      <c r="G1986" s="11" t="s">
        <v>8539</v>
      </c>
      <c r="H1986" s="13"/>
      <c r="I1986" s="14">
        <v>0.0</v>
      </c>
      <c r="J1986" s="14">
        <v>3.0</v>
      </c>
      <c r="K1986" s="9" t="str">
        <f>HYPERLINK("http://twitter.com/download/iphone","Twitter for iPhone")</f>
        <v>Twitter for iPhone</v>
      </c>
      <c r="L1986" s="15">
        <v>367.0</v>
      </c>
      <c r="M1986" s="15">
        <v>439.0</v>
      </c>
      <c r="N1986" s="15">
        <v>1.0</v>
      </c>
      <c r="O1986" s="16"/>
      <c r="P1986" s="17">
        <v>43301.18017361111</v>
      </c>
      <c r="Q1986" s="10" t="s">
        <v>1324</v>
      </c>
      <c r="R1986" s="10" t="s">
        <v>8540</v>
      </c>
      <c r="S1986" s="13"/>
      <c r="T1986" s="13"/>
      <c r="U1986" s="18" t="str">
        <f>HYPERLINK("https://pbs.twimg.com/profile_images/1204295623656267777/0RgIFmiO.jpg","View")</f>
        <v>View</v>
      </c>
      <c r="V1986" s="13"/>
      <c r="W1986" s="13"/>
      <c r="X1986" s="13"/>
      <c r="Y1986" s="13"/>
      <c r="Z1986" s="13"/>
    </row>
    <row r="1987">
      <c r="A1987" s="8">
        <v>43848.22635416666</v>
      </c>
      <c r="B1987" s="9" t="str">
        <f>HYPERLINK("https://twitter.com/OlaJWalsh","@OlaJWalsh")</f>
        <v>@OlaJWalsh</v>
      </c>
      <c r="C1987" s="10" t="s">
        <v>8541</v>
      </c>
      <c r="D1987" s="10" t="s">
        <v>8542</v>
      </c>
      <c r="E1987" s="9" t="str">
        <f>HYPERLINK("https://twitter.com/OlaJWalsh/status/1218479632602882049","1218479632602882049")</f>
        <v>1218479632602882049</v>
      </c>
      <c r="F1987" s="13"/>
      <c r="G1987" s="11" t="s">
        <v>8543</v>
      </c>
      <c r="H1987" s="13"/>
      <c r="I1987" s="14">
        <v>0.0</v>
      </c>
      <c r="J1987" s="14">
        <v>0.0</v>
      </c>
      <c r="K1987" s="9" t="str">
        <f>HYPERLINK("http://twitter.com/download/android","Twitter for Android")</f>
        <v>Twitter for Android</v>
      </c>
      <c r="L1987" s="15">
        <v>24.0</v>
      </c>
      <c r="M1987" s="15">
        <v>151.0</v>
      </c>
      <c r="N1987" s="15">
        <v>0.0</v>
      </c>
      <c r="O1987" s="16"/>
      <c r="P1987" s="17">
        <v>43778.35766203704</v>
      </c>
      <c r="Q1987" s="13"/>
      <c r="R1987" s="10" t="s">
        <v>8544</v>
      </c>
      <c r="S1987" s="11" t="s">
        <v>8545</v>
      </c>
      <c r="T1987" s="13"/>
      <c r="U1987" s="18" t="str">
        <f>HYPERLINK("https://pbs.twimg.com/profile_images/1193160237592788994/uwk7aPNP.jpg","View")</f>
        <v>View</v>
      </c>
      <c r="V1987" s="13"/>
      <c r="W1987" s="13"/>
      <c r="X1987" s="13"/>
      <c r="Y1987" s="13"/>
      <c r="Z1987" s="13"/>
    </row>
    <row r="1988">
      <c r="A1988" s="8">
        <v>43848.22615740741</v>
      </c>
      <c r="B1988" s="9" t="str">
        <f>HYPERLINK("https://twitter.com/IsminiHatzi","@IsminiHatzi")</f>
        <v>@IsminiHatzi</v>
      </c>
      <c r="C1988" s="10" t="s">
        <v>8546</v>
      </c>
      <c r="D1988" s="10" t="s">
        <v>8547</v>
      </c>
      <c r="E1988" s="9" t="str">
        <f>HYPERLINK("https://twitter.com/IsminiHatzi/status/1218479561244999680","1218479561244999680")</f>
        <v>1218479561244999680</v>
      </c>
      <c r="F1988" s="13"/>
      <c r="G1988" s="13"/>
      <c r="H1988" s="13"/>
      <c r="I1988" s="14">
        <v>2.0</v>
      </c>
      <c r="J1988" s="14">
        <v>0.0</v>
      </c>
      <c r="K1988" s="9" t="str">
        <f>HYPERLINK("http://twitter.com/download/iphone","Twitter for iPhone")</f>
        <v>Twitter for iPhone</v>
      </c>
      <c r="L1988" s="15">
        <v>88.0</v>
      </c>
      <c r="M1988" s="15">
        <v>377.0</v>
      </c>
      <c r="N1988" s="15">
        <v>3.0</v>
      </c>
      <c r="O1988" s="16"/>
      <c r="P1988" s="17">
        <v>40840.367060185185</v>
      </c>
      <c r="Q1988" s="10" t="s">
        <v>2102</v>
      </c>
      <c r="R1988" s="10" t="s">
        <v>8548</v>
      </c>
      <c r="S1988" s="13"/>
      <c r="T1988" s="13"/>
      <c r="U1988" s="18" t="str">
        <f>HYPERLINK("https://pbs.twimg.com/profile_images/927635618578010113/J4nThb6g.jpg","View")</f>
        <v>View</v>
      </c>
      <c r="V1988" s="13"/>
      <c r="W1988" s="13"/>
      <c r="X1988" s="13"/>
      <c r="Y1988" s="13"/>
      <c r="Z1988" s="13"/>
    </row>
    <row r="1989">
      <c r="A1989" s="8">
        <v>43848.22578703704</v>
      </c>
      <c r="B1989" s="9" t="str">
        <f>HYPERLINK("https://twitter.com/DrBenjaminHabib","@DrBenjaminHabib")</f>
        <v>@DrBenjaminHabib</v>
      </c>
      <c r="C1989" s="10" t="s">
        <v>8549</v>
      </c>
      <c r="D1989" s="10" t="s">
        <v>8550</v>
      </c>
      <c r="E1989" s="9" t="str">
        <f>HYPERLINK("https://twitter.com/DrBenjaminHabib/status/1218479428600127488","1218479428600127488")</f>
        <v>1218479428600127488</v>
      </c>
      <c r="F1989" s="10" t="s">
        <v>8551</v>
      </c>
      <c r="G1989" s="13"/>
      <c r="H1989" s="13"/>
      <c r="I1989" s="14">
        <v>0.0</v>
      </c>
      <c r="J1989" s="14">
        <v>3.0</v>
      </c>
      <c r="K1989" s="9" t="str">
        <f>HYPERLINK("http://twitter.com/download/android","Twitter for Android")</f>
        <v>Twitter for Android</v>
      </c>
      <c r="L1989" s="15">
        <v>1707.0</v>
      </c>
      <c r="M1989" s="15">
        <v>1153.0</v>
      </c>
      <c r="N1989" s="15">
        <v>50.0</v>
      </c>
      <c r="O1989" s="16"/>
      <c r="P1989" s="17">
        <v>41172.071481481486</v>
      </c>
      <c r="Q1989" s="10" t="s">
        <v>8552</v>
      </c>
      <c r="R1989" s="10" t="s">
        <v>8553</v>
      </c>
      <c r="S1989" s="11" t="s">
        <v>8554</v>
      </c>
      <c r="T1989" s="13"/>
      <c r="U1989" s="18" t="str">
        <f>HYPERLINK("https://pbs.twimg.com/profile_images/1009028014976274432/Sz0_Qp3u.jpg","View")</f>
        <v>View</v>
      </c>
      <c r="V1989" s="13"/>
      <c r="W1989" s="13"/>
      <c r="X1989" s="13"/>
      <c r="Y1989" s="13"/>
      <c r="Z1989" s="13"/>
    </row>
    <row r="1990">
      <c r="A1990" s="8">
        <v>43848.225763888884</v>
      </c>
      <c r="B1990" s="9" t="str">
        <f>HYPERLINK("https://twitter.com/SE_CE_MIND","@SE_CE_MIND")</f>
        <v>@SE_CE_MIND</v>
      </c>
      <c r="C1990" s="10" t="s">
        <v>6662</v>
      </c>
      <c r="D1990" s="10" t="s">
        <v>8555</v>
      </c>
      <c r="E1990" s="9" t="str">
        <f>HYPERLINK("https://twitter.com/SE_CE_MIND/status/1218479419360260096","1218479419360260096")</f>
        <v>1218479419360260096</v>
      </c>
      <c r="F1990" s="13"/>
      <c r="G1990" s="11" t="s">
        <v>8556</v>
      </c>
      <c r="H1990" s="13"/>
      <c r="I1990" s="14">
        <v>0.0</v>
      </c>
      <c r="J1990" s="14">
        <v>2.0</v>
      </c>
      <c r="K1990" s="9" t="str">
        <f>HYPERLINK("https://www.hootsuite.com","Hootsuite Inc.")</f>
        <v>Hootsuite Inc.</v>
      </c>
      <c r="L1990" s="15">
        <v>1827.0</v>
      </c>
      <c r="M1990" s="15">
        <v>3091.0</v>
      </c>
      <c r="N1990" s="15">
        <v>37.0</v>
      </c>
      <c r="O1990" s="16"/>
      <c r="P1990" s="17">
        <v>41808.282418981486</v>
      </c>
      <c r="Q1990" s="10" t="s">
        <v>6665</v>
      </c>
      <c r="R1990" s="10" t="s">
        <v>6666</v>
      </c>
      <c r="S1990" s="11" t="s">
        <v>6667</v>
      </c>
      <c r="T1990" s="13"/>
      <c r="U1990" s="18" t="str">
        <f>HYPERLINK("https://pbs.twimg.com/profile_images/825710989169553408/LvCtoo5V.jpg","View")</f>
        <v>View</v>
      </c>
      <c r="V1990" s="13"/>
      <c r="W1990" s="13"/>
      <c r="X1990" s="13"/>
      <c r="Y1990" s="13"/>
      <c r="Z1990" s="13"/>
    </row>
    <row r="1991">
      <c r="A1991" s="8">
        <v>43848.225</v>
      </c>
      <c r="B1991" s="9" t="str">
        <f>HYPERLINK("https://twitter.com/Karlos_Int","@Karlos_Int")</f>
        <v>@Karlos_Int</v>
      </c>
      <c r="C1991" s="10" t="s">
        <v>7280</v>
      </c>
      <c r="D1991" s="10" t="s">
        <v>8557</v>
      </c>
      <c r="E1991" s="9" t="str">
        <f>HYPERLINK("https://twitter.com/Karlos_Int/status/1218479144176144384","1218479144176144384")</f>
        <v>1218479144176144384</v>
      </c>
      <c r="F1991" s="13"/>
      <c r="G1991" s="13"/>
      <c r="H1991" s="13"/>
      <c r="I1991" s="14">
        <v>0.0</v>
      </c>
      <c r="J1991" s="14">
        <v>0.0</v>
      </c>
      <c r="K1991" s="9" t="str">
        <f>HYPERLINK("https://buffer.com","Buffer")</f>
        <v>Buffer</v>
      </c>
      <c r="L1991" s="15">
        <v>1060.0</v>
      </c>
      <c r="M1991" s="15">
        <v>1109.0</v>
      </c>
      <c r="N1991" s="15">
        <v>3.0</v>
      </c>
      <c r="O1991" s="16"/>
      <c r="P1991" s="17">
        <v>43367.414305555554</v>
      </c>
      <c r="Q1991" s="10" t="s">
        <v>95</v>
      </c>
      <c r="R1991" s="10" t="s">
        <v>7282</v>
      </c>
      <c r="S1991" s="11" t="s">
        <v>7283</v>
      </c>
      <c r="T1991" s="13"/>
      <c r="U1991" s="18" t="str">
        <f>HYPERLINK("https://pbs.twimg.com/profile_images/1057262795421609985/LeWsmWBw.jpg","View")</f>
        <v>View</v>
      </c>
      <c r="V1991" s="13"/>
      <c r="W1991" s="13"/>
      <c r="X1991" s="13"/>
      <c r="Y1991" s="13"/>
      <c r="Z1991" s="13"/>
    </row>
    <row r="1992">
      <c r="A1992" s="8">
        <v>43848.22450231481</v>
      </c>
      <c r="B1992" s="9" t="str">
        <f>HYPERLINK("https://twitter.com/KaetlynParish","@KaetlynParish")</f>
        <v>@KaetlynParish</v>
      </c>
      <c r="C1992" s="10" t="s">
        <v>8558</v>
      </c>
      <c r="D1992" s="10" t="s">
        <v>8559</v>
      </c>
      <c r="E1992" s="9" t="str">
        <f>HYPERLINK("https://twitter.com/KaetlynParish/status/1218478963489693696","1218478963489693696")</f>
        <v>1218478963489693696</v>
      </c>
      <c r="F1992" s="13"/>
      <c r="G1992" s="13"/>
      <c r="H1992" s="13"/>
      <c r="I1992" s="14">
        <v>3.0</v>
      </c>
      <c r="J1992" s="14">
        <v>37.0</v>
      </c>
      <c r="K1992" s="9" t="str">
        <f t="shared" ref="K1992:K1994" si="248">HYPERLINK("http://twitter.com/download/iphone","Twitter for iPhone")</f>
        <v>Twitter for iPhone</v>
      </c>
      <c r="L1992" s="15">
        <v>8011.0</v>
      </c>
      <c r="M1992" s="15">
        <v>5953.0</v>
      </c>
      <c r="N1992" s="15">
        <v>54.0</v>
      </c>
      <c r="O1992" s="16"/>
      <c r="P1992" s="17">
        <v>43677.49096064815</v>
      </c>
      <c r="Q1992" s="10" t="s">
        <v>8560</v>
      </c>
      <c r="R1992" s="10" t="s">
        <v>8561</v>
      </c>
      <c r="S1992" s="13"/>
      <c r="T1992" s="13"/>
      <c r="U1992" s="18" t="str">
        <f>HYPERLINK("https://pbs.twimg.com/profile_images/1218225460611514373/S4mNAnfV.jpg","View")</f>
        <v>View</v>
      </c>
      <c r="V1992" s="13"/>
      <c r="W1992" s="13"/>
      <c r="X1992" s="13"/>
      <c r="Y1992" s="13"/>
      <c r="Z1992" s="13"/>
    </row>
    <row r="1993">
      <c r="A1993" s="8">
        <v>43848.22390046297</v>
      </c>
      <c r="B1993" s="9" t="str">
        <f>HYPERLINK("https://twitter.com/Skerries_CC","@Skerries_CC")</f>
        <v>@Skerries_CC</v>
      </c>
      <c r="C1993" s="10" t="s">
        <v>8562</v>
      </c>
      <c r="D1993" s="10" t="s">
        <v>8563</v>
      </c>
      <c r="E1993" s="9" t="str">
        <f>HYPERLINK("https://twitter.com/Skerries_CC/status/1218478744723251201","1218478744723251201")</f>
        <v>1218478744723251201</v>
      </c>
      <c r="F1993" s="13"/>
      <c r="G1993" s="11" t="s">
        <v>8564</v>
      </c>
      <c r="H1993" s="13"/>
      <c r="I1993" s="14">
        <v>0.0</v>
      </c>
      <c r="J1993" s="14">
        <v>3.0</v>
      </c>
      <c r="K1993" s="9" t="str">
        <f t="shared" si="248"/>
        <v>Twitter for iPhone</v>
      </c>
      <c r="L1993" s="15">
        <v>648.0</v>
      </c>
      <c r="M1993" s="15">
        <v>67.0</v>
      </c>
      <c r="N1993" s="15">
        <v>3.0</v>
      </c>
      <c r="O1993" s="16"/>
      <c r="P1993" s="17">
        <v>43000.23590277778</v>
      </c>
      <c r="Q1993" s="10" t="s">
        <v>8565</v>
      </c>
      <c r="R1993" s="10" t="s">
        <v>8566</v>
      </c>
      <c r="S1993" s="11" t="s">
        <v>8567</v>
      </c>
      <c r="T1993" s="13"/>
      <c r="U1993" s="18" t="str">
        <f>HYPERLINK("https://pbs.twimg.com/profile_images/911231735047782400/Rnbw9okm.jpg","View")</f>
        <v>View</v>
      </c>
      <c r="V1993" s="13"/>
      <c r="W1993" s="13"/>
      <c r="X1993" s="13"/>
      <c r="Y1993" s="13"/>
      <c r="Z1993" s="13"/>
    </row>
    <row r="1994">
      <c r="A1994" s="8">
        <v>43848.223773148144</v>
      </c>
      <c r="B1994" s="9" t="str">
        <f>HYPERLINK("https://twitter.com/TheKevinRFoley","@TheKevinRFoley")</f>
        <v>@TheKevinRFoley</v>
      </c>
      <c r="C1994" s="10" t="s">
        <v>8568</v>
      </c>
      <c r="D1994" s="10" t="s">
        <v>8569</v>
      </c>
      <c r="E1994" s="9" t="str">
        <f>HYPERLINK("https://twitter.com/TheKevinRFoley/status/1218478697147183104","1218478697147183104")</f>
        <v>1218478697147183104</v>
      </c>
      <c r="F1994" s="13"/>
      <c r="G1994" s="13"/>
      <c r="H1994" s="13"/>
      <c r="I1994" s="14">
        <v>0.0</v>
      </c>
      <c r="J1994" s="14">
        <v>0.0</v>
      </c>
      <c r="K1994" s="9" t="str">
        <f t="shared" si="248"/>
        <v>Twitter for iPhone</v>
      </c>
      <c r="L1994" s="15">
        <v>289.0</v>
      </c>
      <c r="M1994" s="15">
        <v>263.0</v>
      </c>
      <c r="N1994" s="15">
        <v>17.0</v>
      </c>
      <c r="O1994" s="16"/>
      <c r="P1994" s="17">
        <v>41076.38056712963</v>
      </c>
      <c r="Q1994" s="10" t="s">
        <v>3116</v>
      </c>
      <c r="R1994" s="10" t="s">
        <v>8570</v>
      </c>
      <c r="S1994" s="11" t="s">
        <v>8571</v>
      </c>
      <c r="T1994" s="13"/>
      <c r="U1994" s="18" t="str">
        <f>HYPERLINK("https://pbs.twimg.com/profile_images/911198189897863169/TtM9UCGp.jpg","View")</f>
        <v>View</v>
      </c>
      <c r="V1994" s="13"/>
      <c r="W1994" s="13"/>
      <c r="X1994" s="13"/>
      <c r="Y1994" s="13"/>
      <c r="Z1994" s="13"/>
    </row>
    <row r="1995">
      <c r="A1995" s="8">
        <v>43848.22369212963</v>
      </c>
      <c r="B1995" s="9" t="str">
        <f>HYPERLINK("https://twitter.com/TheCubKit","@TheCubKit")</f>
        <v>@TheCubKit</v>
      </c>
      <c r="C1995" s="10" t="s">
        <v>8572</v>
      </c>
      <c r="D1995" s="10" t="s">
        <v>8573</v>
      </c>
      <c r="E1995" s="9" t="str">
        <f>HYPERLINK("https://twitter.com/TheCubKit/status/1218478667506077696","1218478667506077696")</f>
        <v>1218478667506077696</v>
      </c>
      <c r="F1995" s="11" t="s">
        <v>8574</v>
      </c>
      <c r="G1995" s="13"/>
      <c r="H1995" s="13"/>
      <c r="I1995" s="14">
        <v>0.0</v>
      </c>
      <c r="J1995" s="14">
        <v>0.0</v>
      </c>
      <c r="K1995" s="9" t="str">
        <f>HYPERLINK("https://www.socialoomph.com","SocialOomph")</f>
        <v>SocialOomph</v>
      </c>
      <c r="L1995" s="15">
        <v>1418.0</v>
      </c>
      <c r="M1995" s="15">
        <v>2391.0</v>
      </c>
      <c r="N1995" s="15">
        <v>35.0</v>
      </c>
      <c r="O1995" s="16"/>
      <c r="P1995" s="17">
        <v>42978.29587962963</v>
      </c>
      <c r="Q1995" s="10" t="s">
        <v>6527</v>
      </c>
      <c r="R1995" s="10" t="s">
        <v>8575</v>
      </c>
      <c r="S1995" s="11" t="s">
        <v>8576</v>
      </c>
      <c r="T1995" s="13"/>
      <c r="U1995" s="18" t="str">
        <f>HYPERLINK("https://pbs.twimg.com/profile_images/973587901895397376/OGkcX8qq.jpg","View")</f>
        <v>View</v>
      </c>
      <c r="V1995" s="13"/>
      <c r="W1995" s="13"/>
      <c r="X1995" s="13"/>
      <c r="Y1995" s="13"/>
      <c r="Z1995" s="13"/>
    </row>
    <row r="1996">
      <c r="A1996" s="8">
        <v>43848.22336805555</v>
      </c>
      <c r="B1996" s="9" t="str">
        <f>HYPERLINK("https://twitter.com/donnab213","@donnab213")</f>
        <v>@donnab213</v>
      </c>
      <c r="C1996" s="10" t="s">
        <v>8577</v>
      </c>
      <c r="D1996" s="10" t="s">
        <v>8578</v>
      </c>
      <c r="E1996" s="9" t="str">
        <f>HYPERLINK("https://twitter.com/donnab213/status/1218478551273480192","1218478551273480192")</f>
        <v>1218478551273480192</v>
      </c>
      <c r="F1996" s="13"/>
      <c r="G1996" s="11" t="s">
        <v>8579</v>
      </c>
      <c r="H1996" s="13"/>
      <c r="I1996" s="14">
        <v>0.0</v>
      </c>
      <c r="J1996" s="14">
        <v>2.0</v>
      </c>
      <c r="K1996" s="9" t="str">
        <f t="shared" ref="K1996:K1997" si="249">HYPERLINK("http://twitter.com/download/iphone","Twitter for iPhone")</f>
        <v>Twitter for iPhone</v>
      </c>
      <c r="L1996" s="15">
        <v>274.0</v>
      </c>
      <c r="M1996" s="15">
        <v>392.0</v>
      </c>
      <c r="N1996" s="15">
        <v>5.0</v>
      </c>
      <c r="O1996" s="16"/>
      <c r="P1996" s="17">
        <v>41925.58642361111</v>
      </c>
      <c r="Q1996" s="13"/>
      <c r="R1996" s="10" t="s">
        <v>8580</v>
      </c>
      <c r="S1996" s="11" t="s">
        <v>8581</v>
      </c>
      <c r="T1996" s="13"/>
      <c r="U1996" s="18" t="str">
        <f>HYPERLINK("https://pbs.twimg.com/profile_images/916279490871025664/2RQ-LUz0.jpg","View")</f>
        <v>View</v>
      </c>
      <c r="V1996" s="13"/>
      <c r="W1996" s="13"/>
      <c r="X1996" s="13"/>
      <c r="Y1996" s="13"/>
      <c r="Z1996" s="13"/>
    </row>
    <row r="1997">
      <c r="A1997" s="8">
        <v>43848.22325231481</v>
      </c>
      <c r="B1997" s="9" t="str">
        <f>HYPERLINK("https://twitter.com/thfcOskar","@thfcOskar")</f>
        <v>@thfcOskar</v>
      </c>
      <c r="C1997" s="10" t="s">
        <v>8582</v>
      </c>
      <c r="D1997" s="10" t="s">
        <v>238</v>
      </c>
      <c r="E1997" s="9" t="str">
        <f>HYPERLINK("https://twitter.com/thfcOskar/status/1218478508487385090","1218478508487385090")</f>
        <v>1218478508487385090</v>
      </c>
      <c r="F1997" s="13"/>
      <c r="G1997" s="13"/>
      <c r="H1997" s="13"/>
      <c r="I1997" s="14">
        <v>0.0</v>
      </c>
      <c r="J1997" s="14">
        <v>0.0</v>
      </c>
      <c r="K1997" s="9" t="str">
        <f t="shared" si="249"/>
        <v>Twitter for iPhone</v>
      </c>
      <c r="L1997" s="15">
        <v>40.0</v>
      </c>
      <c r="M1997" s="15">
        <v>128.0</v>
      </c>
      <c r="N1997" s="15">
        <v>0.0</v>
      </c>
      <c r="O1997" s="16"/>
      <c r="P1997" s="17">
        <v>42763.3378125</v>
      </c>
      <c r="Q1997" s="10" t="s">
        <v>8583</v>
      </c>
      <c r="R1997" s="10" t="s">
        <v>8584</v>
      </c>
      <c r="S1997" s="13"/>
      <c r="T1997" s="13"/>
      <c r="U1997" s="18" t="str">
        <f>HYPERLINK("https://pbs.twimg.com/profile_images/1216428869491875840/jRggJ-4b.jpg","View")</f>
        <v>View</v>
      </c>
      <c r="V1997" s="13"/>
      <c r="W1997" s="13"/>
      <c r="X1997" s="13"/>
      <c r="Y1997" s="13"/>
      <c r="Z1997" s="13"/>
    </row>
    <row r="1998">
      <c r="A1998" s="8">
        <v>43848.2225</v>
      </c>
      <c r="B1998" s="9" t="str">
        <f>HYPERLINK("https://twitter.com/lgibson12397","@lgibson12397")</f>
        <v>@lgibson12397</v>
      </c>
      <c r="C1998" s="10" t="s">
        <v>3010</v>
      </c>
      <c r="D1998" s="10" t="s">
        <v>8585</v>
      </c>
      <c r="E1998" s="9" t="str">
        <f>HYPERLINK("https://twitter.com/lgibson12397/status/1218478236952342528","1218478236952342528")</f>
        <v>1218478236952342528</v>
      </c>
      <c r="F1998" s="13"/>
      <c r="G1998" s="11" t="s">
        <v>8586</v>
      </c>
      <c r="H1998" s="13"/>
      <c r="I1998" s="14">
        <v>21.0</v>
      </c>
      <c r="J1998" s="14">
        <v>129.0</v>
      </c>
      <c r="K1998" s="9" t="str">
        <f>HYPERLINK("http://twitter.com/download/android","Twitter for Android")</f>
        <v>Twitter for Android</v>
      </c>
      <c r="L1998" s="15">
        <v>8912.0</v>
      </c>
      <c r="M1998" s="15">
        <v>9794.0</v>
      </c>
      <c r="N1998" s="15">
        <v>15.0</v>
      </c>
      <c r="O1998" s="16"/>
      <c r="P1998" s="17">
        <v>42002.58578703704</v>
      </c>
      <c r="Q1998" s="13"/>
      <c r="R1998" s="10" t="s">
        <v>3012</v>
      </c>
      <c r="S1998" s="13"/>
      <c r="T1998" s="13"/>
      <c r="U1998" s="18" t="str">
        <f>HYPERLINK("https://pbs.twimg.com/profile_images/1022914492227760128/zjmy0zqU.jpg","View")</f>
        <v>View</v>
      </c>
      <c r="V1998" s="13"/>
      <c r="W1998" s="13"/>
      <c r="X1998" s="13"/>
      <c r="Y1998" s="13"/>
      <c r="Z1998" s="13"/>
    </row>
    <row r="1999">
      <c r="A1999" s="8">
        <v>43848.22173611111</v>
      </c>
      <c r="B1999" s="9" t="str">
        <f>HYPERLINK("https://twitter.com/DrAndyMayers","@DrAndyMayers")</f>
        <v>@DrAndyMayers</v>
      </c>
      <c r="C1999" s="10" t="s">
        <v>8587</v>
      </c>
      <c r="D1999" s="10" t="s">
        <v>8588</v>
      </c>
      <c r="E1999" s="9" t="str">
        <f>HYPERLINK("https://twitter.com/DrAndyMayers/status/1218477960862359552","1218477960862359552")</f>
        <v>1218477960862359552</v>
      </c>
      <c r="F1999" s="13"/>
      <c r="G1999" s="11" t="s">
        <v>8589</v>
      </c>
      <c r="H1999" s="13"/>
      <c r="I1999" s="14">
        <v>20.0</v>
      </c>
      <c r="J1999" s="14">
        <v>34.0</v>
      </c>
      <c r="K1999" s="9" t="str">
        <f t="shared" ref="K1999:K2000" si="250">HYPERLINK("https://mobile.twitter.com","Twitter Web App")</f>
        <v>Twitter Web App</v>
      </c>
      <c r="L1999" s="15">
        <v>12611.0</v>
      </c>
      <c r="M1999" s="15">
        <v>4375.0</v>
      </c>
      <c r="N1999" s="15">
        <v>275.0</v>
      </c>
      <c r="O1999" s="16"/>
      <c r="P1999" s="17">
        <v>40099.65699074074</v>
      </c>
      <c r="Q1999" s="10" t="s">
        <v>8590</v>
      </c>
      <c r="R1999" s="10" t="s">
        <v>8591</v>
      </c>
      <c r="S1999" s="11" t="s">
        <v>8592</v>
      </c>
      <c r="T1999" s="13"/>
      <c r="U1999" s="18" t="str">
        <f>HYPERLINK("https://pbs.twimg.com/profile_images/657963031696158720/JLUiFTPk.jpg","View")</f>
        <v>View</v>
      </c>
      <c r="V1999" s="13"/>
      <c r="W1999" s="13"/>
      <c r="X1999" s="13"/>
      <c r="Y1999" s="13"/>
      <c r="Z1999" s="13"/>
    </row>
    <row r="2000">
      <c r="A2000" s="8">
        <v>43848.221087962964</v>
      </c>
      <c r="B2000" s="9" t="str">
        <f>HYPERLINK("https://twitter.com/alexjstinson","@alexjstinson")</f>
        <v>@alexjstinson</v>
      </c>
      <c r="C2000" s="10" t="s">
        <v>8593</v>
      </c>
      <c r="D2000" s="10" t="s">
        <v>8594</v>
      </c>
      <c r="E2000" s="9" t="str">
        <f>HYPERLINK("https://twitter.com/alexjstinson/status/1218477723053625344","1218477723053625344")</f>
        <v>1218477723053625344</v>
      </c>
      <c r="F2000" s="13"/>
      <c r="G2000" s="13"/>
      <c r="H2000" s="13"/>
      <c r="I2000" s="14">
        <v>0.0</v>
      </c>
      <c r="J2000" s="14">
        <v>0.0</v>
      </c>
      <c r="K2000" s="9" t="str">
        <f t="shared" si="250"/>
        <v>Twitter Web App</v>
      </c>
      <c r="L2000" s="15">
        <v>113.0</v>
      </c>
      <c r="M2000" s="15">
        <v>376.0</v>
      </c>
      <c r="N2000" s="15">
        <v>4.0</v>
      </c>
      <c r="O2000" s="16"/>
      <c r="P2000" s="17">
        <v>40907.22591435185</v>
      </c>
      <c r="Q2000" s="10" t="s">
        <v>8595</v>
      </c>
      <c r="R2000" s="10" t="s">
        <v>8596</v>
      </c>
      <c r="S2000" s="13"/>
      <c r="T2000" s="13"/>
      <c r="U2000" s="18" t="str">
        <f>HYPERLINK("https://pbs.twimg.com/profile_images/1205772435070636032/Nuo2TbXJ.jpg","View")</f>
        <v>View</v>
      </c>
      <c r="V2000" s="13"/>
      <c r="W2000" s="13"/>
      <c r="X2000" s="13"/>
      <c r="Y2000" s="13"/>
      <c r="Z2000" s="13"/>
    </row>
    <row r="2001">
      <c r="A2001" s="8">
        <v>43848.2203125</v>
      </c>
      <c r="B2001" s="9" t="str">
        <f>HYPERLINK("https://twitter.com/ALThomasMT","@ALThomasMT")</f>
        <v>@ALThomasMT</v>
      </c>
      <c r="C2001" s="10" t="s">
        <v>8597</v>
      </c>
      <c r="D2001" s="10" t="s">
        <v>8598</v>
      </c>
      <c r="E2001" s="9" t="str">
        <f>HYPERLINK("https://twitter.com/ALThomasMT/status/1218477445889896448","1218477445889896448")</f>
        <v>1218477445889896448</v>
      </c>
      <c r="F2001" s="11" t="s">
        <v>8599</v>
      </c>
      <c r="G2001" s="11" t="s">
        <v>8600</v>
      </c>
      <c r="H2001" s="13"/>
      <c r="I2001" s="14">
        <v>0.0</v>
      </c>
      <c r="J2001" s="14">
        <v>3.0</v>
      </c>
      <c r="K2001" s="9" t="str">
        <f>HYPERLINK("http://twitter.com/download/iphone","Twitter for iPhone")</f>
        <v>Twitter for iPhone</v>
      </c>
      <c r="L2001" s="15">
        <v>1346.0</v>
      </c>
      <c r="M2001" s="15">
        <v>305.0</v>
      </c>
      <c r="N2001" s="15">
        <v>20.0</v>
      </c>
      <c r="O2001" s="16"/>
      <c r="P2001" s="17">
        <v>41931.55167824074</v>
      </c>
      <c r="Q2001" s="10" t="s">
        <v>2102</v>
      </c>
      <c r="R2001" s="10" t="s">
        <v>8601</v>
      </c>
      <c r="S2001" s="11" t="s">
        <v>8602</v>
      </c>
      <c r="T2001" s="13"/>
      <c r="U2001" s="18" t="str">
        <f>HYPERLINK("https://pbs.twimg.com/profile_images/523885551317819393/-uprvgA-.jpeg","View")</f>
        <v>View</v>
      </c>
      <c r="V2001" s="13"/>
      <c r="W2001" s="13"/>
      <c r="X2001" s="13"/>
      <c r="Y2001" s="13"/>
      <c r="Z2001" s="13"/>
    </row>
    <row r="2002">
      <c r="A2002" s="8">
        <v>43848.22023148148</v>
      </c>
      <c r="B2002" s="9" t="str">
        <f>HYPERLINK("https://twitter.com/grouptherapy33","@grouptherapy33")</f>
        <v>@grouptherapy33</v>
      </c>
      <c r="C2002" s="10" t="s">
        <v>831</v>
      </c>
      <c r="D2002" s="10" t="s">
        <v>8603</v>
      </c>
      <c r="E2002" s="9" t="str">
        <f>HYPERLINK("https://twitter.com/grouptherapy33/status/1218477414931714048","1218477414931714048")</f>
        <v>1218477414931714048</v>
      </c>
      <c r="F2002" s="13"/>
      <c r="G2002" s="13"/>
      <c r="H2002" s="13"/>
      <c r="I2002" s="14">
        <v>0.0</v>
      </c>
      <c r="J2002" s="14">
        <v>0.0</v>
      </c>
      <c r="K2002" s="9" t="str">
        <f>HYPERLINK("http://www.DynamicTweets.com","Dynamic Tweets")</f>
        <v>Dynamic Tweets</v>
      </c>
      <c r="L2002" s="15">
        <v>4053.0</v>
      </c>
      <c r="M2002" s="15">
        <v>3517.0</v>
      </c>
      <c r="N2002" s="15">
        <v>74.0</v>
      </c>
      <c r="O2002" s="16"/>
      <c r="P2002" s="17">
        <v>42375.45542824074</v>
      </c>
      <c r="Q2002" s="13"/>
      <c r="R2002" s="13"/>
      <c r="S2002" s="11" t="s">
        <v>833</v>
      </c>
      <c r="T2002" s="13"/>
      <c r="U2002" s="18" t="str">
        <f>HYPERLINK("https://pbs.twimg.com/profile_images/773354507157671941/wE10yy8j.jpg","View")</f>
        <v>View</v>
      </c>
      <c r="V2002" s="13"/>
      <c r="W2002" s="13"/>
      <c r="X2002" s="13"/>
      <c r="Y2002" s="13"/>
      <c r="Z2002" s="13"/>
    </row>
    <row r="2003">
      <c r="A2003" s="8">
        <v>43848.219988425924</v>
      </c>
      <c r="B2003" s="9" t="str">
        <f>HYPERLINK("https://twitter.com/Somewhataldente","@Somewhataldente")</f>
        <v>@Somewhataldente</v>
      </c>
      <c r="C2003" s="10" t="s">
        <v>8604</v>
      </c>
      <c r="D2003" s="10" t="s">
        <v>8605</v>
      </c>
      <c r="E2003" s="9" t="str">
        <f>HYPERLINK("https://twitter.com/Somewhataldente/status/1218477325001613312","1218477325001613312")</f>
        <v>1218477325001613312</v>
      </c>
      <c r="F2003" s="13"/>
      <c r="G2003" s="13"/>
      <c r="H2003" s="13"/>
      <c r="I2003" s="14">
        <v>0.0</v>
      </c>
      <c r="J2003" s="14">
        <v>0.0</v>
      </c>
      <c r="K2003" s="9" t="str">
        <f>HYPERLINK("http://twitter.com/download/android","Twitter for Android")</f>
        <v>Twitter for Android</v>
      </c>
      <c r="L2003" s="15">
        <v>580.0</v>
      </c>
      <c r="M2003" s="15">
        <v>651.0</v>
      </c>
      <c r="N2003" s="15">
        <v>47.0</v>
      </c>
      <c r="O2003" s="16"/>
      <c r="P2003" s="17">
        <v>41679.51027777778</v>
      </c>
      <c r="Q2003" s="10" t="s">
        <v>8606</v>
      </c>
      <c r="R2003" s="10" t="s">
        <v>8607</v>
      </c>
      <c r="S2003" s="11" t="s">
        <v>8608</v>
      </c>
      <c r="T2003" s="13"/>
      <c r="U2003" s="18" t="str">
        <f>HYPERLINK("https://pbs.twimg.com/profile_images/904308814748549121/9y9rdwuY.jpg","View")</f>
        <v>View</v>
      </c>
      <c r="V2003" s="13"/>
      <c r="W2003" s="13"/>
      <c r="X2003" s="13"/>
      <c r="Y2003" s="13"/>
      <c r="Z2003" s="13"/>
    </row>
    <row r="2004">
      <c r="A2004" s="8">
        <v>43848.21877314815</v>
      </c>
      <c r="B2004" s="9" t="str">
        <f>HYPERLINK("https://twitter.com/PlanAearth","@PlanAearth")</f>
        <v>@PlanAearth</v>
      </c>
      <c r="C2004" s="10" t="s">
        <v>8609</v>
      </c>
      <c r="D2004" s="10" t="s">
        <v>8610</v>
      </c>
      <c r="E2004" s="9" t="str">
        <f>HYPERLINK("https://twitter.com/PlanAearth/status/1218476885035843586","1218476885035843586")</f>
        <v>1218476885035843586</v>
      </c>
      <c r="F2004" s="11" t="s">
        <v>8611</v>
      </c>
      <c r="G2004" s="13"/>
      <c r="H2004" s="13"/>
      <c r="I2004" s="14">
        <v>1.0</v>
      </c>
      <c r="J2004" s="14">
        <v>0.0</v>
      </c>
      <c r="K2004" s="9" t="str">
        <f>HYPERLINK("http://twuffer.com","Twuffer")</f>
        <v>Twuffer</v>
      </c>
      <c r="L2004" s="15">
        <v>485.0</v>
      </c>
      <c r="M2004" s="15">
        <v>489.0</v>
      </c>
      <c r="N2004" s="15">
        <v>11.0</v>
      </c>
      <c r="O2004" s="16"/>
      <c r="P2004" s="17">
        <v>42709.557499999995</v>
      </c>
      <c r="Q2004" s="10" t="s">
        <v>486</v>
      </c>
      <c r="R2004" s="10" t="s">
        <v>8612</v>
      </c>
      <c r="S2004" s="11" t="s">
        <v>8613</v>
      </c>
      <c r="T2004" s="13"/>
      <c r="U2004" s="18" t="str">
        <f>HYPERLINK("https://pbs.twimg.com/profile_images/1176779878236139520/UE60NvOW.jpg","View")</f>
        <v>View</v>
      </c>
      <c r="V2004" s="13"/>
      <c r="W2004" s="13"/>
      <c r="X2004" s="13"/>
      <c r="Y2004" s="13"/>
      <c r="Z2004" s="13"/>
    </row>
    <row r="2005">
      <c r="A2005" s="8">
        <v>43848.21851851852</v>
      </c>
      <c r="B2005" s="9" t="str">
        <f>HYPERLINK("https://twitter.com/JaneCTherapy","@JaneCTherapy")</f>
        <v>@JaneCTherapy</v>
      </c>
      <c r="C2005" s="10" t="s">
        <v>8614</v>
      </c>
      <c r="D2005" s="10" t="s">
        <v>8615</v>
      </c>
      <c r="E2005" s="9" t="str">
        <f>HYPERLINK("https://twitter.com/JaneCTherapy/status/1218476794078064640","1218476794078064640")</f>
        <v>1218476794078064640</v>
      </c>
      <c r="F2005" s="11" t="s">
        <v>8616</v>
      </c>
      <c r="G2005" s="13"/>
      <c r="H2005" s="13"/>
      <c r="I2005" s="14">
        <v>1.0</v>
      </c>
      <c r="J2005" s="14">
        <v>1.0</v>
      </c>
      <c r="K2005" s="9" t="str">
        <f>HYPERLINK("http://twitter.com/download/iphone","Twitter for iPhone")</f>
        <v>Twitter for iPhone</v>
      </c>
      <c r="L2005" s="15">
        <v>93.0</v>
      </c>
      <c r="M2005" s="15">
        <v>216.0</v>
      </c>
      <c r="N2005" s="15">
        <v>0.0</v>
      </c>
      <c r="O2005" s="16"/>
      <c r="P2005" s="17">
        <v>43389.27148148148</v>
      </c>
      <c r="Q2005" s="10" t="s">
        <v>95</v>
      </c>
      <c r="R2005" s="10" t="s">
        <v>8617</v>
      </c>
      <c r="S2005" s="11" t="s">
        <v>8618</v>
      </c>
      <c r="T2005" s="13"/>
      <c r="U2005" s="18" t="str">
        <f>HYPERLINK("https://pbs.twimg.com/profile_images/1064801230197858304/36dD7J0Q.jpg","View")</f>
        <v>View</v>
      </c>
      <c r="V2005" s="13"/>
      <c r="W2005" s="13"/>
      <c r="X2005" s="13"/>
      <c r="Y2005" s="13"/>
      <c r="Z2005" s="13"/>
    </row>
    <row r="2006">
      <c r="A2006" s="8">
        <v>43848.21837962963</v>
      </c>
      <c r="B2006" s="9" t="str">
        <f>HYPERLINK("https://twitter.com/UnitedGMH","@UnitedGMH")</f>
        <v>@UnitedGMH</v>
      </c>
      <c r="C2006" s="10" t="s">
        <v>8619</v>
      </c>
      <c r="D2006" s="10" t="s">
        <v>8620</v>
      </c>
      <c r="E2006" s="9" t="str">
        <f>HYPERLINK("https://twitter.com/UnitedGMH/status/1218476743234813955","1218476743234813955")</f>
        <v>1218476743234813955</v>
      </c>
      <c r="F2006" s="11" t="s">
        <v>8621</v>
      </c>
      <c r="G2006" s="11" t="s">
        <v>8378</v>
      </c>
      <c r="H2006" s="13"/>
      <c r="I2006" s="14">
        <v>7.0</v>
      </c>
      <c r="J2006" s="14">
        <v>12.0</v>
      </c>
      <c r="K2006" s="9" t="str">
        <f t="shared" ref="K2006:K2007" si="251">HYPERLINK("https://mobile.twitter.com","Twitter Web App")</f>
        <v>Twitter Web App</v>
      </c>
      <c r="L2006" s="15">
        <v>3852.0</v>
      </c>
      <c r="M2006" s="15">
        <v>524.0</v>
      </c>
      <c r="N2006" s="15">
        <v>31.0</v>
      </c>
      <c r="O2006" s="16"/>
      <c r="P2006" s="17">
        <v>43277.49761574074</v>
      </c>
      <c r="Q2006" s="10" t="s">
        <v>2050</v>
      </c>
      <c r="R2006" s="10" t="s">
        <v>8622</v>
      </c>
      <c r="S2006" s="11" t="s">
        <v>8623</v>
      </c>
      <c r="T2006" s="13"/>
      <c r="U2006" s="18" t="str">
        <f>HYPERLINK("https://pbs.twimg.com/profile_images/1041650205760872448/BYTt-vvO.jpg","View")</f>
        <v>View</v>
      </c>
      <c r="V2006" s="13"/>
      <c r="W2006" s="13"/>
      <c r="X2006" s="13"/>
      <c r="Y2006" s="13"/>
      <c r="Z2006" s="13"/>
    </row>
    <row r="2007">
      <c r="A2007" s="8">
        <v>43848.217951388884</v>
      </c>
      <c r="B2007" s="9" t="str">
        <f>HYPERLINK("https://twitter.com/pcwords","@pcwords")</f>
        <v>@pcwords</v>
      </c>
      <c r="C2007" s="10" t="s">
        <v>8624</v>
      </c>
      <c r="D2007" s="10" t="s">
        <v>8625</v>
      </c>
      <c r="E2007" s="9" t="str">
        <f>HYPERLINK("https://twitter.com/pcwords/status/1218476588645396481","1218476588645396481")</f>
        <v>1218476588645396481</v>
      </c>
      <c r="F2007" s="13"/>
      <c r="G2007" s="13"/>
      <c r="H2007" s="13"/>
      <c r="I2007" s="14">
        <v>1.0</v>
      </c>
      <c r="J2007" s="14">
        <v>4.0</v>
      </c>
      <c r="K2007" s="9" t="str">
        <f t="shared" si="251"/>
        <v>Twitter Web App</v>
      </c>
      <c r="L2007" s="15">
        <v>255.0</v>
      </c>
      <c r="M2007" s="15">
        <v>485.0</v>
      </c>
      <c r="N2007" s="15">
        <v>1.0</v>
      </c>
      <c r="O2007" s="16"/>
      <c r="P2007" s="17">
        <v>41088.69168981482</v>
      </c>
      <c r="Q2007" s="10" t="s">
        <v>2102</v>
      </c>
      <c r="R2007" s="10" t="s">
        <v>8626</v>
      </c>
      <c r="S2007" s="11" t="s">
        <v>8627</v>
      </c>
      <c r="T2007" s="13"/>
      <c r="U2007" s="18" t="str">
        <f>HYPERLINK("https://pbs.twimg.com/profile_images/1123205458519572481/mQoqOa6t.png","View")</f>
        <v>View</v>
      </c>
      <c r="V2007" s="13"/>
      <c r="W2007" s="13"/>
      <c r="X2007" s="13"/>
      <c r="Y2007" s="13"/>
      <c r="Z2007" s="13"/>
    </row>
    <row r="2008">
      <c r="A2008" s="8">
        <v>43848.21728009259</v>
      </c>
      <c r="B2008" s="9" t="str">
        <f>HYPERLINK("https://twitter.com/1Clearhead","@1Clearhead")</f>
        <v>@1Clearhead</v>
      </c>
      <c r="C2008" s="10" t="s">
        <v>8628</v>
      </c>
      <c r="D2008" s="10" t="s">
        <v>8629</v>
      </c>
      <c r="E2008" s="9" t="str">
        <f>HYPERLINK("https://twitter.com/1Clearhead/status/1218476346508226560","1218476346508226560")</f>
        <v>1218476346508226560</v>
      </c>
      <c r="F2008" s="13"/>
      <c r="G2008" s="11" t="s">
        <v>8630</v>
      </c>
      <c r="H2008" s="13"/>
      <c r="I2008" s="14">
        <v>5.0</v>
      </c>
      <c r="J2008" s="14">
        <v>9.0</v>
      </c>
      <c r="K2008" s="9" t="str">
        <f>HYPERLINK("http://twitter.com/download/android","Twitter for Android")</f>
        <v>Twitter for Android</v>
      </c>
      <c r="L2008" s="15">
        <v>1170.0</v>
      </c>
      <c r="M2008" s="15">
        <v>1201.0</v>
      </c>
      <c r="N2008" s="15">
        <v>22.0</v>
      </c>
      <c r="O2008" s="16"/>
      <c r="P2008" s="17">
        <v>42763.63820601851</v>
      </c>
      <c r="Q2008" s="10" t="s">
        <v>8631</v>
      </c>
      <c r="R2008" s="10" t="s">
        <v>8632</v>
      </c>
      <c r="S2008" s="13"/>
      <c r="T2008" s="13"/>
      <c r="U2008" s="18" t="str">
        <f>HYPERLINK("https://pbs.twimg.com/profile_images/825444633362759680/o2LBibAP.jpg","View")</f>
        <v>View</v>
      </c>
      <c r="V2008" s="13"/>
      <c r="W2008" s="13"/>
      <c r="X2008" s="13"/>
      <c r="Y2008" s="13"/>
      <c r="Z2008" s="13"/>
    </row>
    <row r="2009">
      <c r="A2009" s="8">
        <v>43848.215833333335</v>
      </c>
      <c r="B2009" s="9" t="str">
        <f>HYPERLINK("https://twitter.com/CarersDorset","@CarersDorset")</f>
        <v>@CarersDorset</v>
      </c>
      <c r="C2009" s="10" t="s">
        <v>8633</v>
      </c>
      <c r="D2009" s="10" t="s">
        <v>8634</v>
      </c>
      <c r="E2009" s="9" t="str">
        <f>HYPERLINK("https://twitter.com/CarersDorset/status/1218475821498871808","1218475821498871808")</f>
        <v>1218475821498871808</v>
      </c>
      <c r="F2009" s="11" t="s">
        <v>8635</v>
      </c>
      <c r="G2009" s="11" t="s">
        <v>8636</v>
      </c>
      <c r="H2009" s="13"/>
      <c r="I2009" s="14">
        <v>0.0</v>
      </c>
      <c r="J2009" s="14">
        <v>1.0</v>
      </c>
      <c r="K2009" s="9" t="str">
        <f>HYPERLINK("https://lightful.com","Lightful")</f>
        <v>Lightful</v>
      </c>
      <c r="L2009" s="15">
        <v>240.0</v>
      </c>
      <c r="M2009" s="15">
        <v>1057.0</v>
      </c>
      <c r="N2009" s="15">
        <v>1.0</v>
      </c>
      <c r="O2009" s="16"/>
      <c r="P2009" s="17">
        <v>43742.33990740741</v>
      </c>
      <c r="Q2009" s="10" t="s">
        <v>8637</v>
      </c>
      <c r="R2009" s="10" t="s">
        <v>8638</v>
      </c>
      <c r="S2009" s="11" t="s">
        <v>8639</v>
      </c>
      <c r="T2009" s="13"/>
      <c r="U2009" s="18" t="str">
        <f>HYPERLINK("https://pbs.twimg.com/profile_images/1180098554318249985/ZHDTqM74.jpg","View")</f>
        <v>View</v>
      </c>
      <c r="V2009" s="13"/>
      <c r="W2009" s="13"/>
      <c r="X2009" s="13"/>
      <c r="Y2009" s="13"/>
      <c r="Z2009" s="13"/>
    </row>
    <row r="2010">
      <c r="A2010" s="8">
        <v>43848.215</v>
      </c>
      <c r="B2010" s="9" t="str">
        <f>HYPERLINK("https://twitter.com/JillianBullock","@JillianBullock")</f>
        <v>@JillianBullock</v>
      </c>
      <c r="C2010" s="10" t="s">
        <v>8640</v>
      </c>
      <c r="D2010" s="10" t="s">
        <v>8641</v>
      </c>
      <c r="E2010" s="9" t="str">
        <f>HYPERLINK("https://twitter.com/JillianBullock/status/1218475519102148609","1218475519102148609")</f>
        <v>1218475519102148609</v>
      </c>
      <c r="F2010" s="13"/>
      <c r="G2010" s="11" t="s">
        <v>8642</v>
      </c>
      <c r="H2010" s="13"/>
      <c r="I2010" s="14">
        <v>1.0</v>
      </c>
      <c r="J2010" s="14">
        <v>6.0</v>
      </c>
      <c r="K2010" s="9" t="str">
        <f>HYPERLINK("https://mobile.twitter.com","Twitter Web App")</f>
        <v>Twitter Web App</v>
      </c>
      <c r="L2010" s="15">
        <v>966.0</v>
      </c>
      <c r="M2010" s="15">
        <v>969.0</v>
      </c>
      <c r="N2010" s="15">
        <v>53.0</v>
      </c>
      <c r="O2010" s="16"/>
      <c r="P2010" s="17">
        <v>40896.356261574074</v>
      </c>
      <c r="Q2010" s="10" t="s">
        <v>8643</v>
      </c>
      <c r="R2010" s="10" t="s">
        <v>8644</v>
      </c>
      <c r="S2010" s="11" t="s">
        <v>8645</v>
      </c>
      <c r="T2010" s="13"/>
      <c r="U2010" s="18" t="str">
        <f>HYPERLINK("https://pbs.twimg.com/profile_images/1148875644769583104/PFKrjdev.png","View")</f>
        <v>View</v>
      </c>
      <c r="V2010" s="13"/>
      <c r="W2010" s="13"/>
      <c r="X2010" s="13"/>
      <c r="Y2010" s="13"/>
      <c r="Z2010" s="13"/>
    </row>
    <row r="2011">
      <c r="A2011" s="8">
        <v>43848.21423611111</v>
      </c>
      <c r="B2011" s="9" t="str">
        <f>HYPERLINK("https://twitter.com/CityByrne","@CityByrne")</f>
        <v>@CityByrne</v>
      </c>
      <c r="C2011" s="10" t="s">
        <v>8646</v>
      </c>
      <c r="D2011" s="10" t="s">
        <v>8647</v>
      </c>
      <c r="E2011" s="9" t="str">
        <f>HYPERLINK("https://twitter.com/CityByrne/status/1218475240478539776","1218475240478539776")</f>
        <v>1218475240478539776</v>
      </c>
      <c r="F2011" s="11" t="s">
        <v>8648</v>
      </c>
      <c r="G2011" s="13"/>
      <c r="H2011" s="13"/>
      <c r="I2011" s="14">
        <v>0.0</v>
      </c>
      <c r="J2011" s="14">
        <v>0.0</v>
      </c>
      <c r="K2011" s="9" t="str">
        <f>HYPERLINK("http://twitter.com/#!/download/ipad","Twitter for iPad")</f>
        <v>Twitter for iPad</v>
      </c>
      <c r="L2011" s="15">
        <v>1523.0</v>
      </c>
      <c r="M2011" s="15">
        <v>637.0</v>
      </c>
      <c r="N2011" s="15">
        <v>220.0</v>
      </c>
      <c r="O2011" s="16"/>
      <c r="P2011" s="17">
        <v>42419.28384259259</v>
      </c>
      <c r="Q2011" s="10" t="s">
        <v>8649</v>
      </c>
      <c r="R2011" s="10" t="s">
        <v>8650</v>
      </c>
      <c r="S2011" s="13"/>
      <c r="T2011" s="13"/>
      <c r="U2011" s="18" t="str">
        <f>HYPERLINK("https://pbs.twimg.com/profile_images/866542855157710848/Nq7yB6Ti.jpg","View")</f>
        <v>View</v>
      </c>
      <c r="V2011" s="13"/>
      <c r="W2011" s="13"/>
      <c r="X2011" s="13"/>
      <c r="Y2011" s="13"/>
      <c r="Z2011" s="13"/>
    </row>
    <row r="2012">
      <c r="A2012" s="8">
        <v>43848.21417824074</v>
      </c>
      <c r="B2012" s="9" t="str">
        <f>HYPERLINK("https://twitter.com/blackwell_dgf","@blackwell_dgf")</f>
        <v>@blackwell_dgf</v>
      </c>
      <c r="C2012" s="10" t="s">
        <v>3895</v>
      </c>
      <c r="D2012" s="10" t="s">
        <v>8651</v>
      </c>
      <c r="E2012" s="9" t="str">
        <f>HYPERLINK("https://twitter.com/blackwell_dgf/status/1218475219821694977","1218475219821694977")</f>
        <v>1218475219821694977</v>
      </c>
      <c r="F2012" s="11" t="s">
        <v>8652</v>
      </c>
      <c r="G2012" s="11" t="s">
        <v>8653</v>
      </c>
      <c r="H2012" s="13"/>
      <c r="I2012" s="14">
        <v>6.0</v>
      </c>
      <c r="J2012" s="14">
        <v>5.0</v>
      </c>
      <c r="K2012" s="9" t="str">
        <f>HYPERLINK("https://mobile.twitter.com","Twitter Web App")</f>
        <v>Twitter Web App</v>
      </c>
      <c r="L2012" s="15">
        <v>5796.0</v>
      </c>
      <c r="M2012" s="15">
        <v>6341.0</v>
      </c>
      <c r="N2012" s="15">
        <v>60.0</v>
      </c>
      <c r="O2012" s="16"/>
      <c r="P2012" s="17">
        <v>43741.03864583334</v>
      </c>
      <c r="Q2012" s="10" t="s">
        <v>3897</v>
      </c>
      <c r="R2012" s="10" t="s">
        <v>3898</v>
      </c>
      <c r="S2012" s="11" t="s">
        <v>3899</v>
      </c>
      <c r="T2012" s="13"/>
      <c r="U2012" s="18" t="str">
        <f>HYPERLINK("https://pbs.twimg.com/profile_images/1199035863876931584/5VETDtz8.jpg","View")</f>
        <v>View</v>
      </c>
      <c r="V2012" s="13"/>
      <c r="W2012" s="13"/>
      <c r="X2012" s="13"/>
      <c r="Y2012" s="13"/>
      <c r="Z2012" s="13"/>
    </row>
    <row r="2013">
      <c r="A2013" s="8">
        <v>43848.21416666667</v>
      </c>
      <c r="B2013" s="9" t="str">
        <f>HYPERLINK("https://twitter.com/StevieBrads","@StevieBrads")</f>
        <v>@StevieBrads</v>
      </c>
      <c r="C2013" s="10" t="s">
        <v>8654</v>
      </c>
      <c r="D2013" s="10" t="s">
        <v>8655</v>
      </c>
      <c r="E2013" s="9" t="str">
        <f>HYPERLINK("https://twitter.com/StevieBrads/status/1218475216160075776","1218475216160075776")</f>
        <v>1218475216160075776</v>
      </c>
      <c r="F2013" s="11" t="s">
        <v>8656</v>
      </c>
      <c r="G2013" s="13"/>
      <c r="H2013" s="13"/>
      <c r="I2013" s="14">
        <v>1.0</v>
      </c>
      <c r="J2013" s="14">
        <v>2.0</v>
      </c>
      <c r="K2013" s="9" t="str">
        <f>HYPERLINK("http://instagram.com","Instagram")</f>
        <v>Instagram</v>
      </c>
      <c r="L2013" s="15">
        <v>397.0</v>
      </c>
      <c r="M2013" s="15">
        <v>560.0</v>
      </c>
      <c r="N2013" s="15">
        <v>10.0</v>
      </c>
      <c r="O2013" s="16"/>
      <c r="P2013" s="17">
        <v>40239.399872685186</v>
      </c>
      <c r="Q2013" s="10" t="s">
        <v>7068</v>
      </c>
      <c r="R2013" s="10" t="s">
        <v>8657</v>
      </c>
      <c r="S2013" s="11" t="s">
        <v>8658</v>
      </c>
      <c r="T2013" s="13"/>
      <c r="U2013" s="18" t="str">
        <f>HYPERLINK("https://pbs.twimg.com/profile_images/1173977396715970560/UGs2dEDY.jpg","View")</f>
        <v>View</v>
      </c>
      <c r="V2013" s="13"/>
      <c r="W2013" s="13"/>
      <c r="X2013" s="13"/>
      <c r="Y2013" s="13"/>
      <c r="Z2013" s="13"/>
    </row>
    <row r="2014">
      <c r="A2014" s="8">
        <v>43848.21414351852</v>
      </c>
      <c r="B2014" s="9" t="str">
        <f>HYPERLINK("https://twitter.com/CaraBBelle","@CaraBBelle")</f>
        <v>@CaraBBelle</v>
      </c>
      <c r="C2014" s="10" t="s">
        <v>8659</v>
      </c>
      <c r="D2014" s="10" t="s">
        <v>8660</v>
      </c>
      <c r="E2014" s="9" t="str">
        <f>HYPERLINK("https://twitter.com/CaraBBelle/status/1218475209210126336","1218475209210126336")</f>
        <v>1218475209210126336</v>
      </c>
      <c r="F2014" s="13"/>
      <c r="G2014" s="11" t="s">
        <v>8661</v>
      </c>
      <c r="H2014" s="13"/>
      <c r="I2014" s="14">
        <v>1.0</v>
      </c>
      <c r="J2014" s="14">
        <v>3.0</v>
      </c>
      <c r="K2014" s="9" t="str">
        <f>HYPERLINK("http://twitter.com/download/android","Twitter for Android")</f>
        <v>Twitter for Android</v>
      </c>
      <c r="L2014" s="15">
        <v>5160.0</v>
      </c>
      <c r="M2014" s="15">
        <v>5110.0</v>
      </c>
      <c r="N2014" s="15">
        <v>33.0</v>
      </c>
      <c r="O2014" s="16"/>
      <c r="P2014" s="17">
        <v>41838.86649305555</v>
      </c>
      <c r="Q2014" s="10" t="s">
        <v>8662</v>
      </c>
      <c r="R2014" s="10" t="s">
        <v>8663</v>
      </c>
      <c r="S2014" s="13"/>
      <c r="T2014" s="13"/>
      <c r="U2014" s="18" t="str">
        <f>HYPERLINK("https://pbs.twimg.com/profile_images/1060274738071777280/mUS6fqao.jpg","View")</f>
        <v>View</v>
      </c>
      <c r="V2014" s="13"/>
      <c r="W2014" s="13"/>
      <c r="X2014" s="13"/>
      <c r="Y2014" s="13"/>
      <c r="Z2014" s="13"/>
    </row>
    <row r="2015">
      <c r="A2015" s="8">
        <v>43848.21340277778</v>
      </c>
      <c r="B2015" s="9" t="str">
        <f>HYPERLINK("https://twitter.com/FundraisingYES","@FundraisingYES")</f>
        <v>@FundraisingYES</v>
      </c>
      <c r="C2015" s="10" t="s">
        <v>8664</v>
      </c>
      <c r="D2015" s="10" t="s">
        <v>8665</v>
      </c>
      <c r="E2015" s="9" t="str">
        <f>HYPERLINK("https://twitter.com/FundraisingYES/status/1218474940342636545","1218474940342636545")</f>
        <v>1218474940342636545</v>
      </c>
      <c r="F2015" s="10" t="s">
        <v>8666</v>
      </c>
      <c r="G2015" s="13"/>
      <c r="H2015" s="13"/>
      <c r="I2015" s="14">
        <v>0.0</v>
      </c>
      <c r="J2015" s="14">
        <v>0.0</v>
      </c>
      <c r="K2015" s="9" t="str">
        <f>HYPERLINK("http://twitter.com/download/iphone","Twitter for iPhone")</f>
        <v>Twitter for iPhone</v>
      </c>
      <c r="L2015" s="15">
        <v>264.0</v>
      </c>
      <c r="M2015" s="15">
        <v>595.0</v>
      </c>
      <c r="N2015" s="15">
        <v>2.0</v>
      </c>
      <c r="O2015" s="16"/>
      <c r="P2015" s="17">
        <v>42673.32649305556</v>
      </c>
      <c r="Q2015" s="13"/>
      <c r="R2015" s="13"/>
      <c r="S2015" s="13"/>
      <c r="T2015" s="13"/>
      <c r="U2015" s="18" t="str">
        <f>HYPERLINK("https://pbs.twimg.com/profile_images/792697345322418176/PZDigv3N.jpg","View")</f>
        <v>View</v>
      </c>
      <c r="V2015" s="13"/>
      <c r="W2015" s="13"/>
      <c r="X2015" s="13"/>
      <c r="Y2015" s="13"/>
      <c r="Z2015" s="13"/>
    </row>
    <row r="2016">
      <c r="A2016" s="8">
        <v>43848.21328703704</v>
      </c>
      <c r="B2016" s="9" t="str">
        <f>HYPERLINK("https://twitter.com/GaianTherapy","@GaianTherapy")</f>
        <v>@GaianTherapy</v>
      </c>
      <c r="C2016" s="10" t="s">
        <v>6829</v>
      </c>
      <c r="D2016" s="10" t="s">
        <v>8667</v>
      </c>
      <c r="E2016" s="9" t="str">
        <f>HYPERLINK("https://twitter.com/GaianTherapy/status/1218474896272936961","1218474896272936961")</f>
        <v>1218474896272936961</v>
      </c>
      <c r="F2016" s="13"/>
      <c r="G2016" s="11" t="s">
        <v>8668</v>
      </c>
      <c r="H2016" s="13"/>
      <c r="I2016" s="14">
        <v>1.0</v>
      </c>
      <c r="J2016" s="14">
        <v>2.0</v>
      </c>
      <c r="K2016" s="9" t="str">
        <f>HYPERLINK("http://postplanner.com","Post Planner Inc.")</f>
        <v>Post Planner Inc.</v>
      </c>
      <c r="L2016" s="15">
        <v>337.0</v>
      </c>
      <c r="M2016" s="15">
        <v>824.0</v>
      </c>
      <c r="N2016" s="15">
        <v>0.0</v>
      </c>
      <c r="O2016" s="16"/>
      <c r="P2016" s="17">
        <v>43371.03839120371</v>
      </c>
      <c r="Q2016" s="10" t="s">
        <v>6832</v>
      </c>
      <c r="R2016" s="10" t="s">
        <v>6833</v>
      </c>
      <c r="S2016" s="11" t="s">
        <v>6834</v>
      </c>
      <c r="T2016" s="13"/>
      <c r="U2016" s="18" t="str">
        <f>HYPERLINK("https://pbs.twimg.com/profile_images/1174195108738191360/Y67-MMgH.jpg","View")</f>
        <v>View</v>
      </c>
      <c r="V2016" s="13"/>
      <c r="W2016" s="13"/>
      <c r="X2016" s="13"/>
      <c r="Y2016" s="13"/>
      <c r="Z2016" s="13"/>
    </row>
    <row r="2017">
      <c r="A2017" s="8">
        <v>43848.21297453703</v>
      </c>
      <c r="B2017" s="9" t="str">
        <f>HYPERLINK("https://twitter.com/jonathanmace81","@jonathanmace81")</f>
        <v>@jonathanmace81</v>
      </c>
      <c r="C2017" s="10" t="s">
        <v>8669</v>
      </c>
      <c r="D2017" s="10" t="s">
        <v>8670</v>
      </c>
      <c r="E2017" s="9" t="str">
        <f>HYPERLINK("https://twitter.com/jonathanmace81/status/1218474786805964800","1218474786805964800")</f>
        <v>1218474786805964800</v>
      </c>
      <c r="F2017" s="13"/>
      <c r="G2017" s="11" t="s">
        <v>8671</v>
      </c>
      <c r="H2017" s="13"/>
      <c r="I2017" s="14">
        <v>4.0</v>
      </c>
      <c r="J2017" s="14">
        <v>16.0</v>
      </c>
      <c r="K2017" s="9" t="str">
        <f t="shared" ref="K2017:K2020" si="252">HYPERLINK("http://twitter.com/download/iphone","Twitter for iPhone")</f>
        <v>Twitter for iPhone</v>
      </c>
      <c r="L2017" s="15">
        <v>271.0</v>
      </c>
      <c r="M2017" s="15">
        <v>896.0</v>
      </c>
      <c r="N2017" s="15">
        <v>3.0</v>
      </c>
      <c r="O2017" s="16"/>
      <c r="P2017" s="17">
        <v>41636.66637731482</v>
      </c>
      <c r="Q2017" s="10" t="s">
        <v>8672</v>
      </c>
      <c r="R2017" s="10" t="s">
        <v>8673</v>
      </c>
      <c r="S2017" s="13"/>
      <c r="T2017" s="13"/>
      <c r="U2017" s="18" t="str">
        <f>HYPERLINK("https://pbs.twimg.com/profile_images/890114409556738048/Py5olp6z.jpg","View")</f>
        <v>View</v>
      </c>
      <c r="V2017" s="13"/>
      <c r="W2017" s="13"/>
      <c r="X2017" s="13"/>
      <c r="Y2017" s="13"/>
      <c r="Z2017" s="13"/>
    </row>
    <row r="2018">
      <c r="A2018" s="8">
        <v>43848.21256944444</v>
      </c>
      <c r="B2018" s="9" t="str">
        <f>HYPERLINK("https://twitter.com/mandafa1ry","@mandafa1ry")</f>
        <v>@mandafa1ry</v>
      </c>
      <c r="C2018" s="10" t="s">
        <v>8674</v>
      </c>
      <c r="D2018" s="10" t="s">
        <v>8675</v>
      </c>
      <c r="E2018" s="9" t="str">
        <f>HYPERLINK("https://twitter.com/mandafa1ry/status/1218474639611060224","1218474639611060224")</f>
        <v>1218474639611060224</v>
      </c>
      <c r="F2018" s="13"/>
      <c r="G2018" s="11" t="s">
        <v>8676</v>
      </c>
      <c r="H2018" s="13"/>
      <c r="I2018" s="14">
        <v>0.0</v>
      </c>
      <c r="J2018" s="14">
        <v>0.0</v>
      </c>
      <c r="K2018" s="9" t="str">
        <f t="shared" si="252"/>
        <v>Twitter for iPhone</v>
      </c>
      <c r="L2018" s="15">
        <v>258.0</v>
      </c>
      <c r="M2018" s="15">
        <v>885.0</v>
      </c>
      <c r="N2018" s="15">
        <v>13.0</v>
      </c>
      <c r="O2018" s="16"/>
      <c r="P2018" s="17">
        <v>40075.49523148148</v>
      </c>
      <c r="Q2018" s="10" t="s">
        <v>3408</v>
      </c>
      <c r="R2018" s="10" t="s">
        <v>8677</v>
      </c>
      <c r="S2018" s="13"/>
      <c r="T2018" s="13"/>
      <c r="U2018" s="18" t="str">
        <f>HYPERLINK("https://pbs.twimg.com/profile_images/1071088557589217281/Xfg7oV20.jpg","View")</f>
        <v>View</v>
      </c>
      <c r="V2018" s="13"/>
      <c r="W2018" s="13"/>
      <c r="X2018" s="13"/>
      <c r="Y2018" s="13"/>
      <c r="Z2018" s="13"/>
    </row>
    <row r="2019">
      <c r="A2019" s="8">
        <v>43848.21256944444</v>
      </c>
      <c r="B2019" s="9" t="str">
        <f>HYPERLINK("https://twitter.com/FPLTIPZ","@FPLTIPZ")</f>
        <v>@FPLTIPZ</v>
      </c>
      <c r="C2019" s="10" t="s">
        <v>8678</v>
      </c>
      <c r="D2019" s="10" t="s">
        <v>8679</v>
      </c>
      <c r="E2019" s="9" t="str">
        <f>HYPERLINK("https://twitter.com/FPLTIPZ/status/1218474638289797120","1218474638289797120")</f>
        <v>1218474638289797120</v>
      </c>
      <c r="F2019" s="13"/>
      <c r="G2019" s="13"/>
      <c r="H2019" s="13"/>
      <c r="I2019" s="14">
        <v>3.0</v>
      </c>
      <c r="J2019" s="14">
        <v>56.0</v>
      </c>
      <c r="K2019" s="9" t="str">
        <f t="shared" si="252"/>
        <v>Twitter for iPhone</v>
      </c>
      <c r="L2019" s="15">
        <v>7774.0</v>
      </c>
      <c r="M2019" s="15">
        <v>2017.0</v>
      </c>
      <c r="N2019" s="15">
        <v>90.0</v>
      </c>
      <c r="O2019" s="16"/>
      <c r="P2019" s="17">
        <v>42813.79042824074</v>
      </c>
      <c r="Q2019" s="10" t="s">
        <v>8534</v>
      </c>
      <c r="R2019" s="10" t="s">
        <v>8680</v>
      </c>
      <c r="S2019" s="11" t="s">
        <v>8681</v>
      </c>
      <c r="T2019" s="13"/>
      <c r="U2019" s="18" t="str">
        <f>HYPERLINK("https://pbs.twimg.com/profile_images/1169662793127288835/ut1eX6K_.jpg","View")</f>
        <v>View</v>
      </c>
      <c r="V2019" s="13"/>
      <c r="W2019" s="13"/>
      <c r="X2019" s="13"/>
      <c r="Y2019" s="13"/>
      <c r="Z2019" s="13"/>
    </row>
    <row r="2020">
      <c r="A2020" s="8">
        <v>43848.212233796294</v>
      </c>
      <c r="B2020" s="9" t="str">
        <f>HYPERLINK("https://twitter.com/jimallthetime","@jimallthetime")</f>
        <v>@jimallthetime</v>
      </c>
      <c r="C2020" s="10" t="s">
        <v>3690</v>
      </c>
      <c r="D2020" s="10" t="s">
        <v>8682</v>
      </c>
      <c r="E2020" s="9" t="str">
        <f>HYPERLINK("https://twitter.com/jimallthetime/status/1218474515749113856","1218474515749113856")</f>
        <v>1218474515749113856</v>
      </c>
      <c r="F2020" s="13"/>
      <c r="G2020" s="11" t="s">
        <v>8683</v>
      </c>
      <c r="H2020" s="13"/>
      <c r="I2020" s="14">
        <v>5.0</v>
      </c>
      <c r="J2020" s="14">
        <v>3.0</v>
      </c>
      <c r="K2020" s="9" t="str">
        <f t="shared" si="252"/>
        <v>Twitter for iPhone</v>
      </c>
      <c r="L2020" s="15">
        <v>22697.0</v>
      </c>
      <c r="M2020" s="15">
        <v>5770.0</v>
      </c>
      <c r="N2020" s="15">
        <v>658.0</v>
      </c>
      <c r="O2020" s="16"/>
      <c r="P2020" s="17">
        <v>39756.35388888889</v>
      </c>
      <c r="Q2020" s="10" t="s">
        <v>3693</v>
      </c>
      <c r="R2020" s="10" t="s">
        <v>3694</v>
      </c>
      <c r="S2020" s="11" t="s">
        <v>3695</v>
      </c>
      <c r="T2020" s="13"/>
      <c r="U2020" s="18" t="str">
        <f>HYPERLINK("https://pbs.twimg.com/profile_images/796744281797099520/poECZO92.jpg","View")</f>
        <v>View</v>
      </c>
      <c r="V2020" s="13"/>
      <c r="W2020" s="13"/>
      <c r="X2020" s="13"/>
      <c r="Y2020" s="13"/>
      <c r="Z2020" s="13"/>
    </row>
    <row r="2021">
      <c r="A2021" s="8">
        <v>43848.21215277778</v>
      </c>
      <c r="B2021" s="9" t="str">
        <f>HYPERLINK("https://twitter.com/dubscouse","@dubscouse")</f>
        <v>@dubscouse</v>
      </c>
      <c r="C2021" s="10" t="s">
        <v>8684</v>
      </c>
      <c r="D2021" s="10" t="s">
        <v>8685</v>
      </c>
      <c r="E2021" s="9" t="str">
        <f>HYPERLINK("https://twitter.com/dubscouse/status/1218474488330932224","1218474488330932224")</f>
        <v>1218474488330932224</v>
      </c>
      <c r="F2021" s="13"/>
      <c r="G2021" s="11" t="s">
        <v>8686</v>
      </c>
      <c r="H2021" s="13"/>
      <c r="I2021" s="14">
        <v>1.0</v>
      </c>
      <c r="J2021" s="14">
        <v>1.0</v>
      </c>
      <c r="K2021" s="9" t="str">
        <f>HYPERLINK("http://twitter.com/download/android","Twitter for Android")</f>
        <v>Twitter for Android</v>
      </c>
      <c r="L2021" s="15">
        <v>623.0</v>
      </c>
      <c r="M2021" s="15">
        <v>780.0</v>
      </c>
      <c r="N2021" s="15">
        <v>25.0</v>
      </c>
      <c r="O2021" s="16"/>
      <c r="P2021" s="17">
        <v>39869.60450231482</v>
      </c>
      <c r="Q2021" s="10" t="s">
        <v>8329</v>
      </c>
      <c r="R2021" s="10" t="s">
        <v>8687</v>
      </c>
      <c r="S2021" s="13"/>
      <c r="T2021" s="13"/>
      <c r="U2021" s="18" t="str">
        <f>HYPERLINK("https://pbs.twimg.com/profile_images/1029845904864378881/77R-ZqmS.jpg","View")</f>
        <v>View</v>
      </c>
      <c r="V2021" s="13"/>
      <c r="W2021" s="13"/>
      <c r="X2021" s="13"/>
      <c r="Y2021" s="13"/>
      <c r="Z2021" s="13"/>
    </row>
    <row r="2022">
      <c r="A2022" s="8">
        <v>43848.21091435185</v>
      </c>
      <c r="B2022" s="9" t="str">
        <f>HYPERLINK("https://twitter.com/gusmckechnie","@gusmckechnie")</f>
        <v>@gusmckechnie</v>
      </c>
      <c r="C2022" s="10" t="s">
        <v>8688</v>
      </c>
      <c r="D2022" s="10" t="s">
        <v>8689</v>
      </c>
      <c r="E2022" s="9" t="str">
        <f>HYPERLINK("https://twitter.com/gusmckechnie/status/1218474038361763843","1218474038361763843")</f>
        <v>1218474038361763843</v>
      </c>
      <c r="F2022" s="13"/>
      <c r="G2022" s="11" t="s">
        <v>8690</v>
      </c>
      <c r="H2022" s="13"/>
      <c r="I2022" s="14">
        <v>1.0</v>
      </c>
      <c r="J2022" s="14">
        <v>17.0</v>
      </c>
      <c r="K2022" s="9" t="str">
        <f>HYPERLINK("http://twitter.com/download/iphone","Twitter for iPhone")</f>
        <v>Twitter for iPhone</v>
      </c>
      <c r="L2022" s="15">
        <v>1618.0</v>
      </c>
      <c r="M2022" s="15">
        <v>3454.0</v>
      </c>
      <c r="N2022" s="15">
        <v>31.0</v>
      </c>
      <c r="O2022" s="16"/>
      <c r="P2022" s="17">
        <v>39900.20070601852</v>
      </c>
      <c r="Q2022" s="10" t="s">
        <v>8691</v>
      </c>
      <c r="R2022" s="10" t="s">
        <v>8692</v>
      </c>
      <c r="S2022" s="11" t="s">
        <v>8693</v>
      </c>
      <c r="T2022" s="13"/>
      <c r="U2022" s="18" t="str">
        <f>HYPERLINK("https://pbs.twimg.com/profile_images/948651639099084800/w70QH2jh.jpg","View")</f>
        <v>View</v>
      </c>
      <c r="V2022" s="13"/>
      <c r="W2022" s="13"/>
      <c r="X2022" s="13"/>
      <c r="Y2022" s="13"/>
      <c r="Z2022" s="13"/>
    </row>
    <row r="2023">
      <c r="A2023" s="8">
        <v>43848.21084490741</v>
      </c>
      <c r="B2023" s="9" t="str">
        <f>HYPERLINK("https://twitter.com/chrisoldcorn","@chrisoldcorn")</f>
        <v>@chrisoldcorn</v>
      </c>
      <c r="C2023" s="10" t="s">
        <v>1232</v>
      </c>
      <c r="D2023" s="10" t="s">
        <v>8694</v>
      </c>
      <c r="E2023" s="9" t="str">
        <f>HYPERLINK("https://twitter.com/chrisoldcorn/status/1218474014244528132","1218474014244528132")</f>
        <v>1218474014244528132</v>
      </c>
      <c r="F2023" s="11" t="s">
        <v>8695</v>
      </c>
      <c r="G2023" s="13"/>
      <c r="H2023" s="13"/>
      <c r="I2023" s="14">
        <v>0.0</v>
      </c>
      <c r="J2023" s="14">
        <v>0.0</v>
      </c>
      <c r="K2023" s="9" t="str">
        <f>HYPERLINK("https://www.smedian.com","Penname")</f>
        <v>Penname</v>
      </c>
      <c r="L2023" s="15">
        <v>3448.0</v>
      </c>
      <c r="M2023" s="15">
        <v>4798.0</v>
      </c>
      <c r="N2023" s="15">
        <v>200.0</v>
      </c>
      <c r="O2023" s="16"/>
      <c r="P2023" s="17">
        <v>39346.584872685184</v>
      </c>
      <c r="Q2023" s="13"/>
      <c r="R2023" s="10" t="s">
        <v>1235</v>
      </c>
      <c r="S2023" s="11" t="s">
        <v>1236</v>
      </c>
      <c r="T2023" s="13"/>
      <c r="U2023" s="18" t="str">
        <f>HYPERLINK("https://pbs.twimg.com/profile_images/1158043491806732288/9JY2UFqV.jpg","View")</f>
        <v>View</v>
      </c>
      <c r="V2023" s="13"/>
      <c r="W2023" s="13"/>
      <c r="X2023" s="13"/>
      <c r="Y2023" s="13"/>
      <c r="Z2023" s="13"/>
    </row>
    <row r="2024">
      <c r="A2024" s="8">
        <v>43848.21072916666</v>
      </c>
      <c r="B2024" s="9" t="str">
        <f>HYPERLINK("https://twitter.com/JukesJo","@JukesJo")</f>
        <v>@JukesJo</v>
      </c>
      <c r="C2024" s="10" t="s">
        <v>8445</v>
      </c>
      <c r="D2024" s="10" t="s">
        <v>8696</v>
      </c>
      <c r="E2024" s="9" t="str">
        <f>HYPERLINK("https://twitter.com/JukesJo/status/1218473972536414208","1218473972536414208")</f>
        <v>1218473972536414208</v>
      </c>
      <c r="F2024" s="13"/>
      <c r="G2024" s="11" t="s">
        <v>8697</v>
      </c>
      <c r="H2024" s="13"/>
      <c r="I2024" s="14">
        <v>10.0</v>
      </c>
      <c r="J2024" s="14">
        <v>47.0</v>
      </c>
      <c r="K2024" s="9" t="str">
        <f>HYPERLINK("https://mobile.twitter.com","Twitter Web App")</f>
        <v>Twitter Web App</v>
      </c>
      <c r="L2024" s="15">
        <v>1156.0</v>
      </c>
      <c r="M2024" s="15">
        <v>613.0</v>
      </c>
      <c r="N2024" s="15">
        <v>1.0</v>
      </c>
      <c r="O2024" s="16"/>
      <c r="P2024" s="17">
        <v>43396.29108796296</v>
      </c>
      <c r="Q2024" s="10" t="s">
        <v>446</v>
      </c>
      <c r="R2024" s="10" t="s">
        <v>8448</v>
      </c>
      <c r="S2024" s="13"/>
      <c r="T2024" s="13"/>
      <c r="U2024" s="18" t="str">
        <f>HYPERLINK("https://pbs.twimg.com/profile_images/1180936472519741441/_F6AUgbD.jpg","View")</f>
        <v>View</v>
      </c>
      <c r="V2024" s="13"/>
      <c r="W2024" s="13"/>
      <c r="X2024" s="13"/>
      <c r="Y2024" s="13"/>
      <c r="Z2024" s="13"/>
    </row>
    <row r="2025">
      <c r="A2025" s="8">
        <v>43848.210393518515</v>
      </c>
      <c r="B2025" s="9" t="str">
        <f>HYPERLINK("https://twitter.com/AllamSyndrome","@AllamSyndrome")</f>
        <v>@AllamSyndrome</v>
      </c>
      <c r="C2025" s="10" t="s">
        <v>8698</v>
      </c>
      <c r="D2025" s="10" t="s">
        <v>8699</v>
      </c>
      <c r="E2025" s="9" t="str">
        <f>HYPERLINK("https://twitter.com/AllamSyndrome/status/1218473850977095680","1218473850977095680")</f>
        <v>1218473850977095680</v>
      </c>
      <c r="F2025" s="13"/>
      <c r="G2025" s="11" t="s">
        <v>8700</v>
      </c>
      <c r="H2025" s="13"/>
      <c r="I2025" s="14">
        <v>1.0</v>
      </c>
      <c r="J2025" s="14">
        <v>1.0</v>
      </c>
      <c r="K2025" s="9" t="str">
        <f>HYPERLINK("http://twitter.com/download/android","Twitter for Android")</f>
        <v>Twitter for Android</v>
      </c>
      <c r="L2025" s="15">
        <v>87.0</v>
      </c>
      <c r="M2025" s="15">
        <v>191.0</v>
      </c>
      <c r="N2025" s="15">
        <v>1.0</v>
      </c>
      <c r="O2025" s="16"/>
      <c r="P2025" s="17">
        <v>43570.46420138889</v>
      </c>
      <c r="Q2025" s="10" t="s">
        <v>95</v>
      </c>
      <c r="R2025" s="10" t="s">
        <v>8701</v>
      </c>
      <c r="S2025" s="13"/>
      <c r="T2025" s="13"/>
      <c r="U2025" s="18" t="str">
        <f>HYPERLINK("https://pbs.twimg.com/profile_images/1177265462624817153/RG11a5ZF.jpg","View")</f>
        <v>View</v>
      </c>
      <c r="V2025" s="13"/>
      <c r="W2025" s="13"/>
      <c r="X2025" s="13"/>
      <c r="Y2025" s="13"/>
      <c r="Z2025" s="13"/>
    </row>
    <row r="2026">
      <c r="A2026" s="8">
        <v>43848.2093287037</v>
      </c>
      <c r="B2026" s="9" t="str">
        <f>HYPERLINK("https://twitter.com/peteqconsult","@peteqconsult")</f>
        <v>@peteqconsult</v>
      </c>
      <c r="C2026" s="10" t="s">
        <v>8702</v>
      </c>
      <c r="D2026" s="10" t="s">
        <v>8703</v>
      </c>
      <c r="E2026" s="9" t="str">
        <f>HYPERLINK("https://twitter.com/peteqconsult/status/1218473464841035776","1218473464841035776")</f>
        <v>1218473464841035776</v>
      </c>
      <c r="F2026" s="11" t="s">
        <v>8704</v>
      </c>
      <c r="G2026" s="13"/>
      <c r="H2026" s="13"/>
      <c r="I2026" s="14">
        <v>0.0</v>
      </c>
      <c r="J2026" s="14">
        <v>2.0</v>
      </c>
      <c r="K2026" s="9" t="str">
        <f>HYPERLINK("http://www.linkedin.com/","LinkedIn")</f>
        <v>LinkedIn</v>
      </c>
      <c r="L2026" s="15">
        <v>1379.0</v>
      </c>
      <c r="M2026" s="15">
        <v>823.0</v>
      </c>
      <c r="N2026" s="15">
        <v>48.0</v>
      </c>
      <c r="O2026" s="16"/>
      <c r="P2026" s="17">
        <v>42691.58769675926</v>
      </c>
      <c r="Q2026" s="10" t="s">
        <v>8705</v>
      </c>
      <c r="R2026" s="10" t="s">
        <v>8706</v>
      </c>
      <c r="S2026" s="11" t="s">
        <v>8707</v>
      </c>
      <c r="T2026" s="13"/>
      <c r="U2026" s="18" t="str">
        <f>HYPERLINK("https://pbs.twimg.com/profile_images/1049689789161713664/68yTUnMk.jpg","View")</f>
        <v>View</v>
      </c>
      <c r="V2026" s="13"/>
      <c r="W2026" s="13"/>
      <c r="X2026" s="13"/>
      <c r="Y2026" s="13"/>
      <c r="Z2026" s="13"/>
    </row>
    <row r="2027">
      <c r="A2027" s="8">
        <v>43848.209120370375</v>
      </c>
      <c r="B2027" s="9" t="str">
        <f>HYPERLINK("https://twitter.com/SalfordCCG","@SalfordCCG")</f>
        <v>@SalfordCCG</v>
      </c>
      <c r="C2027" s="10" t="s">
        <v>7707</v>
      </c>
      <c r="D2027" s="10" t="s">
        <v>8708</v>
      </c>
      <c r="E2027" s="9" t="str">
        <f>HYPERLINK("https://twitter.com/SalfordCCG/status/1218473386319413249","1218473386319413249")</f>
        <v>1218473386319413249</v>
      </c>
      <c r="F2027" s="11" t="s">
        <v>8709</v>
      </c>
      <c r="G2027" s="11" t="s">
        <v>8710</v>
      </c>
      <c r="H2027" s="13"/>
      <c r="I2027" s="14">
        <v>0.0</v>
      </c>
      <c r="J2027" s="14">
        <v>0.0</v>
      </c>
      <c r="K2027" s="9" t="str">
        <f>HYPERLINK("https://orlo.tech","Orlo")</f>
        <v>Orlo</v>
      </c>
      <c r="L2027" s="15">
        <v>15197.0</v>
      </c>
      <c r="M2027" s="15">
        <v>1317.0</v>
      </c>
      <c r="N2027" s="15">
        <v>342.0</v>
      </c>
      <c r="O2027" s="21" t="s">
        <v>522</v>
      </c>
      <c r="P2027" s="17">
        <v>39962.777233796296</v>
      </c>
      <c r="Q2027" s="10" t="s">
        <v>7711</v>
      </c>
      <c r="R2027" s="10" t="s">
        <v>7712</v>
      </c>
      <c r="S2027" s="11" t="s">
        <v>7713</v>
      </c>
      <c r="T2027" s="13"/>
      <c r="U2027" s="18" t="str">
        <f>HYPERLINK("https://pbs.twimg.com/profile_images/1167024940484366336/CyiW8hjP.jpg","View")</f>
        <v>View</v>
      </c>
      <c r="V2027" s="13"/>
      <c r="W2027" s="13"/>
      <c r="X2027" s="13"/>
      <c r="Y2027" s="13"/>
      <c r="Z2027" s="13"/>
    </row>
    <row r="2028">
      <c r="A2028" s="8">
        <v>43848.208865740744</v>
      </c>
      <c r="B2028" s="9" t="str">
        <f>HYPERLINK("https://twitter.com/LifeWorksComm","@LifeWorksComm")</f>
        <v>@LifeWorksComm</v>
      </c>
      <c r="C2028" s="10" t="s">
        <v>8711</v>
      </c>
      <c r="D2028" s="10" t="s">
        <v>8712</v>
      </c>
      <c r="E2028" s="9" t="str">
        <f>HYPERLINK("https://twitter.com/LifeWorksComm/status/1218473294485168128","1218473294485168128")</f>
        <v>1218473294485168128</v>
      </c>
      <c r="F2028" s="11" t="s">
        <v>8713</v>
      </c>
      <c r="G2028" s="11" t="s">
        <v>8714</v>
      </c>
      <c r="H2028" s="13"/>
      <c r="I2028" s="14">
        <v>0.0</v>
      </c>
      <c r="J2028" s="14">
        <v>0.0</v>
      </c>
      <c r="K2028" s="9" t="str">
        <f t="shared" ref="K2028:K2030" si="253">HYPERLINK("https://www.hootsuite.com","Hootsuite Inc.")</f>
        <v>Hootsuite Inc.</v>
      </c>
      <c r="L2028" s="15">
        <v>1153.0</v>
      </c>
      <c r="M2028" s="15">
        <v>1300.0</v>
      </c>
      <c r="N2028" s="15">
        <v>35.0</v>
      </c>
      <c r="O2028" s="16"/>
      <c r="P2028" s="17">
        <v>40490.20826388889</v>
      </c>
      <c r="Q2028" s="10" t="s">
        <v>1324</v>
      </c>
      <c r="R2028" s="10" t="s">
        <v>8715</v>
      </c>
      <c r="S2028" s="11" t="s">
        <v>8716</v>
      </c>
      <c r="T2028" s="13"/>
      <c r="U2028" s="18" t="str">
        <f>HYPERLINK("https://pbs.twimg.com/profile_images/1166351046798655488/HJg8_EPJ.jpg","View")</f>
        <v>View</v>
      </c>
      <c r="V2028" s="13"/>
      <c r="W2028" s="13"/>
      <c r="X2028" s="13"/>
      <c r="Y2028" s="13"/>
      <c r="Z2028" s="13"/>
    </row>
    <row r="2029">
      <c r="A2029" s="8">
        <v>43848.20871527778</v>
      </c>
      <c r="B2029" s="9" t="str">
        <f>HYPERLINK("https://twitter.com/MMKMind","@MMKMind")</f>
        <v>@MMKMind</v>
      </c>
      <c r="C2029" s="10" t="s">
        <v>6199</v>
      </c>
      <c r="D2029" s="10" t="s">
        <v>8717</v>
      </c>
      <c r="E2029" s="9" t="str">
        <f>HYPERLINK("https://twitter.com/MMKMind/status/1218473241506918402","1218473241506918402")</f>
        <v>1218473241506918402</v>
      </c>
      <c r="F2029" s="13"/>
      <c r="G2029" s="11" t="s">
        <v>8718</v>
      </c>
      <c r="H2029" s="13"/>
      <c r="I2029" s="14">
        <v>1.0</v>
      </c>
      <c r="J2029" s="14">
        <v>5.0</v>
      </c>
      <c r="K2029" s="9" t="str">
        <f t="shared" si="253"/>
        <v>Hootsuite Inc.</v>
      </c>
      <c r="L2029" s="15">
        <v>1803.0</v>
      </c>
      <c r="M2029" s="15">
        <v>1992.0</v>
      </c>
      <c r="N2029" s="15">
        <v>17.0</v>
      </c>
      <c r="O2029" s="16"/>
      <c r="P2029" s="17">
        <v>41890.33598379629</v>
      </c>
      <c r="Q2029" s="10" t="s">
        <v>6202</v>
      </c>
      <c r="R2029" s="10" t="s">
        <v>6203</v>
      </c>
      <c r="S2029" s="13"/>
      <c r="T2029" s="13"/>
      <c r="U2029" s="18" t="str">
        <f>HYPERLINK("https://pbs.twimg.com/profile_images/989802608197099520/uJFzp7e0.jpg","View")</f>
        <v>View</v>
      </c>
      <c r="V2029" s="13"/>
      <c r="W2029" s="13"/>
      <c r="X2029" s="13"/>
      <c r="Y2029" s="13"/>
      <c r="Z2029" s="13"/>
    </row>
    <row r="2030">
      <c r="A2030" s="8">
        <v>43848.20868055556</v>
      </c>
      <c r="B2030" s="9" t="str">
        <f>HYPERLINK("https://twitter.com/SportsideHQ","@SportsideHQ")</f>
        <v>@SportsideHQ</v>
      </c>
      <c r="C2030" s="10" t="s">
        <v>8719</v>
      </c>
      <c r="D2030" s="10" t="s">
        <v>8720</v>
      </c>
      <c r="E2030" s="9" t="str">
        <f>HYPERLINK("https://twitter.com/SportsideHQ/status/1218473227724427264","1218473227724427264")</f>
        <v>1218473227724427264</v>
      </c>
      <c r="F2030" s="11" t="s">
        <v>8721</v>
      </c>
      <c r="G2030" s="13"/>
      <c r="H2030" s="13"/>
      <c r="I2030" s="14">
        <v>2.0</v>
      </c>
      <c r="J2030" s="14">
        <v>3.0</v>
      </c>
      <c r="K2030" s="9" t="str">
        <f t="shared" si="253"/>
        <v>Hootsuite Inc.</v>
      </c>
      <c r="L2030" s="15">
        <v>102.0</v>
      </c>
      <c r="M2030" s="15">
        <v>417.0</v>
      </c>
      <c r="N2030" s="15">
        <v>0.0</v>
      </c>
      <c r="O2030" s="16"/>
      <c r="P2030" s="17">
        <v>42921.1828125</v>
      </c>
      <c r="Q2030" s="10" t="s">
        <v>3371</v>
      </c>
      <c r="R2030" s="10" t="s">
        <v>8722</v>
      </c>
      <c r="S2030" s="11" t="s">
        <v>8723</v>
      </c>
      <c r="T2030" s="13"/>
      <c r="U2030" s="18" t="str">
        <f>HYPERLINK("https://pbs.twimg.com/profile_images/957217412037926912/OcsupgRi.jpg","View")</f>
        <v>View</v>
      </c>
      <c r="V2030" s="13"/>
      <c r="W2030" s="13"/>
      <c r="X2030" s="13"/>
      <c r="Y2030" s="13"/>
      <c r="Z2030" s="13"/>
    </row>
    <row r="2031">
      <c r="A2031" s="8">
        <v>43848.20856481481</v>
      </c>
      <c r="B2031" s="9" t="str">
        <f>HYPERLINK("https://twitter.com/drjenkinsunts","@drjenkinsunts")</f>
        <v>@drjenkinsunts</v>
      </c>
      <c r="C2031" s="10" t="s">
        <v>8724</v>
      </c>
      <c r="D2031" s="10" t="s">
        <v>8725</v>
      </c>
      <c r="E2031" s="9" t="str">
        <f>HYPERLINK("https://twitter.com/drjenkinsunts/status/1218473188184797184","1218473188184797184")</f>
        <v>1218473188184797184</v>
      </c>
      <c r="F2031" s="13"/>
      <c r="G2031" s="11" t="s">
        <v>8726</v>
      </c>
      <c r="H2031" s="13"/>
      <c r="I2031" s="14">
        <v>0.0</v>
      </c>
      <c r="J2031" s="14">
        <v>4.0</v>
      </c>
      <c r="K2031" s="9" t="str">
        <f>HYPERLINK("https://mobile.twitter.com","Twitter Web App")</f>
        <v>Twitter Web App</v>
      </c>
      <c r="L2031" s="15">
        <v>40.0</v>
      </c>
      <c r="M2031" s="15">
        <v>192.0</v>
      </c>
      <c r="N2031" s="15">
        <v>1.0</v>
      </c>
      <c r="O2031" s="16"/>
      <c r="P2031" s="17">
        <v>41769.147268518514</v>
      </c>
      <c r="Q2031" s="13"/>
      <c r="R2031" s="10" t="s">
        <v>8727</v>
      </c>
      <c r="S2031" s="11" t="s">
        <v>8728</v>
      </c>
      <c r="T2031" s="13"/>
      <c r="U2031" s="18" t="str">
        <f>HYPERLINK("https://pbs.twimg.com/profile_images/1214201410310434816/IXG6drg-.jpg","View")</f>
        <v>View</v>
      </c>
      <c r="V2031" s="13"/>
      <c r="W2031" s="13"/>
      <c r="X2031" s="13"/>
      <c r="Y2031" s="13"/>
      <c r="Z2031" s="13"/>
    </row>
    <row r="2032">
      <c r="A2032" s="8">
        <v>43848.20851851851</v>
      </c>
      <c r="B2032" s="9" t="str">
        <f>HYPERLINK("https://twitter.com/Labmate_online","@Labmate_online")</f>
        <v>@Labmate_online</v>
      </c>
      <c r="C2032" s="10" t="s">
        <v>8729</v>
      </c>
      <c r="D2032" s="10" t="s">
        <v>8730</v>
      </c>
      <c r="E2032" s="9" t="str">
        <f>HYPERLINK("https://twitter.com/Labmate_online/status/1218473169247444995","1218473169247444995")</f>
        <v>1218473169247444995</v>
      </c>
      <c r="F2032" s="11" t="s">
        <v>8731</v>
      </c>
      <c r="G2032" s="11" t="s">
        <v>8732</v>
      </c>
      <c r="H2032" s="13"/>
      <c r="I2032" s="14">
        <v>1.0</v>
      </c>
      <c r="J2032" s="14">
        <v>2.0</v>
      </c>
      <c r="K2032" s="9" t="str">
        <f>HYPERLINK("http://app.sendblur.com","Social Media Publisher App ")</f>
        <v>Social Media Publisher App </v>
      </c>
      <c r="L2032" s="15">
        <v>10310.0</v>
      </c>
      <c r="M2032" s="15">
        <v>9259.0</v>
      </c>
      <c r="N2032" s="15">
        <v>186.0</v>
      </c>
      <c r="O2032" s="16"/>
      <c r="P2032" s="17">
        <v>39924.29466435185</v>
      </c>
      <c r="Q2032" s="10" t="s">
        <v>1324</v>
      </c>
      <c r="R2032" s="10" t="s">
        <v>8733</v>
      </c>
      <c r="S2032" s="11" t="s">
        <v>8734</v>
      </c>
      <c r="T2032" s="13"/>
      <c r="U2032" s="18" t="str">
        <f>HYPERLINK("https://pbs.twimg.com/profile_images/776051611206639617/B7lK49j4.jpg","View")</f>
        <v>View</v>
      </c>
      <c r="V2032" s="13"/>
      <c r="W2032" s="13"/>
      <c r="X2032" s="13"/>
      <c r="Y2032" s="13"/>
      <c r="Z2032" s="13"/>
    </row>
    <row r="2033">
      <c r="A2033" s="8">
        <v>43848.2084375</v>
      </c>
      <c r="B2033" s="9" t="str">
        <f>HYPERLINK("https://twitter.com/CharlieWtrust","@CharlieWtrust")</f>
        <v>@CharlieWtrust</v>
      </c>
      <c r="C2033" s="10" t="s">
        <v>8735</v>
      </c>
      <c r="D2033" s="10" t="s">
        <v>8736</v>
      </c>
      <c r="E2033" s="9" t="str">
        <f>HYPERLINK("https://twitter.com/CharlieWtrust/status/1218473141124636678","1218473141124636678")</f>
        <v>1218473141124636678</v>
      </c>
      <c r="F2033" s="13"/>
      <c r="G2033" s="11" t="s">
        <v>5647</v>
      </c>
      <c r="H2033" s="13"/>
      <c r="I2033" s="14">
        <v>42.0</v>
      </c>
      <c r="J2033" s="14">
        <v>92.0</v>
      </c>
      <c r="K2033" s="9" t="str">
        <f>HYPERLINK("https://www.contentcal.io","ContentCal Studio")</f>
        <v>ContentCal Studio</v>
      </c>
      <c r="L2033" s="15">
        <v>4985.0</v>
      </c>
      <c r="M2033" s="15">
        <v>1221.0</v>
      </c>
      <c r="N2033" s="15">
        <v>53.0</v>
      </c>
      <c r="O2033" s="16"/>
      <c r="P2033" s="17">
        <v>42394.241944444446</v>
      </c>
      <c r="Q2033" s="10" t="s">
        <v>1324</v>
      </c>
      <c r="R2033" s="10" t="s">
        <v>8737</v>
      </c>
      <c r="S2033" s="11" t="s">
        <v>8738</v>
      </c>
      <c r="T2033" s="13"/>
      <c r="U2033" s="18" t="str">
        <f>HYPERLINK("https://pbs.twimg.com/profile_images/819498908535623680/GaIQgTSt.jpg","View")</f>
        <v>View</v>
      </c>
      <c r="V2033" s="13"/>
      <c r="W2033" s="13"/>
      <c r="X2033" s="13"/>
      <c r="Y2033" s="13"/>
      <c r="Z2033" s="13"/>
    </row>
    <row r="2034">
      <c r="A2034" s="8">
        <v>43848.20842592593</v>
      </c>
      <c r="B2034" s="9" t="str">
        <f>HYPERLINK("https://twitter.com/NHSBSolCCG","@NHSBSolCCG")</f>
        <v>@NHSBSolCCG</v>
      </c>
      <c r="C2034" s="10" t="s">
        <v>8739</v>
      </c>
      <c r="D2034" s="10" t="s">
        <v>8740</v>
      </c>
      <c r="E2034" s="9" t="str">
        <f>HYPERLINK("https://twitter.com/NHSBSolCCG/status/1218473134950690817","1218473134950690817")</f>
        <v>1218473134950690817</v>
      </c>
      <c r="F2034" s="11" t="s">
        <v>8741</v>
      </c>
      <c r="G2034" s="11" t="s">
        <v>8742</v>
      </c>
      <c r="H2034" s="13"/>
      <c r="I2034" s="14">
        <v>2.0</v>
      </c>
      <c r="J2034" s="14">
        <v>3.0</v>
      </c>
      <c r="K2034" s="9" t="str">
        <f>HYPERLINK("https://sproutsocial.com","Sprout Social")</f>
        <v>Sprout Social</v>
      </c>
      <c r="L2034" s="15">
        <v>11327.0</v>
      </c>
      <c r="M2034" s="15">
        <v>3117.0</v>
      </c>
      <c r="N2034" s="15">
        <v>331.0</v>
      </c>
      <c r="O2034" s="16"/>
      <c r="P2034" s="17">
        <v>39875.41184027778</v>
      </c>
      <c r="Q2034" s="10" t="s">
        <v>446</v>
      </c>
      <c r="R2034" s="10" t="s">
        <v>8743</v>
      </c>
      <c r="S2034" s="11" t="s">
        <v>8744</v>
      </c>
      <c r="T2034" s="13"/>
      <c r="U2034" s="18" t="str">
        <f>HYPERLINK("https://pbs.twimg.com/profile_images/1135477780509073408/91IukKhz.png","View")</f>
        <v>View</v>
      </c>
      <c r="V2034" s="13"/>
      <c r="W2034" s="13"/>
      <c r="X2034" s="13"/>
      <c r="Y2034" s="13"/>
      <c r="Z2034" s="13"/>
    </row>
    <row r="2035">
      <c r="A2035" s="8">
        <v>43848.20833333333</v>
      </c>
      <c r="B2035" s="9" t="str">
        <f>HYPERLINK("https://twitter.com/SilverCloudH","@SilverCloudH")</f>
        <v>@SilverCloudH</v>
      </c>
      <c r="C2035" s="10" t="s">
        <v>8745</v>
      </c>
      <c r="D2035" s="10" t="s">
        <v>8746</v>
      </c>
      <c r="E2035" s="9" t="str">
        <f>HYPERLINK("https://twitter.com/SilverCloudH/status/1218473101438091265","1218473101438091265")</f>
        <v>1218473101438091265</v>
      </c>
      <c r="F2035" s="11" t="s">
        <v>8747</v>
      </c>
      <c r="G2035" s="11" t="s">
        <v>8748</v>
      </c>
      <c r="H2035" s="13"/>
      <c r="I2035" s="14">
        <v>1.0</v>
      </c>
      <c r="J2035" s="14">
        <v>1.0</v>
      </c>
      <c r="K2035" s="9" t="str">
        <f>HYPERLINK("http://www.hubspot.com/","HubSpot")</f>
        <v>HubSpot</v>
      </c>
      <c r="L2035" s="15">
        <v>2944.0</v>
      </c>
      <c r="M2035" s="15">
        <v>2824.0</v>
      </c>
      <c r="N2035" s="15">
        <v>108.0</v>
      </c>
      <c r="O2035" s="16"/>
      <c r="P2035" s="17">
        <v>40953.29153935185</v>
      </c>
      <c r="Q2035" s="10" t="s">
        <v>8749</v>
      </c>
      <c r="R2035" s="10" t="s">
        <v>8750</v>
      </c>
      <c r="S2035" s="11" t="s">
        <v>8751</v>
      </c>
      <c r="T2035" s="13"/>
      <c r="U2035" s="18" t="str">
        <f>HYPERLINK("https://pbs.twimg.com/profile_images/902454981869146114/fKPf0lJj.jpg","View")</f>
        <v>View</v>
      </c>
      <c r="V2035" s="13"/>
      <c r="W2035" s="13"/>
      <c r="X2035" s="13"/>
      <c r="Y2035" s="13"/>
      <c r="Z2035" s="13"/>
    </row>
    <row r="2036">
      <c r="A2036" s="8">
        <v>43848.20795138889</v>
      </c>
      <c r="B2036" s="9" t="str">
        <f>HYPERLINK("https://twitter.com/squuad619","@squuad619")</f>
        <v>@squuad619</v>
      </c>
      <c r="C2036" s="10" t="s">
        <v>8752</v>
      </c>
      <c r="D2036" s="10" t="s">
        <v>8753</v>
      </c>
      <c r="E2036" s="9" t="str">
        <f>HYPERLINK("https://twitter.com/squuad619/status/1218472964066164737","1218472964066164737")</f>
        <v>1218472964066164737</v>
      </c>
      <c r="F2036" s="13"/>
      <c r="G2036" s="11" t="s">
        <v>8754</v>
      </c>
      <c r="H2036" s="13"/>
      <c r="I2036" s="14">
        <v>1.0</v>
      </c>
      <c r="J2036" s="14">
        <v>0.0</v>
      </c>
      <c r="K2036" s="9" t="str">
        <f t="shared" ref="K2036:K2039" si="254">HYPERLINK("http://twitter.com/download/android","Twitter for Android")</f>
        <v>Twitter for Android</v>
      </c>
      <c r="L2036" s="15">
        <v>5.0</v>
      </c>
      <c r="M2036" s="15">
        <v>54.0</v>
      </c>
      <c r="N2036" s="15">
        <v>0.0</v>
      </c>
      <c r="O2036" s="16"/>
      <c r="P2036" s="17">
        <v>43577.85150462963</v>
      </c>
      <c r="Q2036" s="13"/>
      <c r="R2036" s="10" t="s">
        <v>8755</v>
      </c>
      <c r="S2036" s="11" t="s">
        <v>8756</v>
      </c>
      <c r="T2036" s="13"/>
      <c r="U2036" s="18" t="str">
        <f>HYPERLINK("https://pbs.twimg.com/profile_images/1131386939729272832/UEc740-5.png","View")</f>
        <v>View</v>
      </c>
      <c r="V2036" s="13"/>
      <c r="W2036" s="13"/>
      <c r="X2036" s="13"/>
      <c r="Y2036" s="13"/>
      <c r="Z2036" s="13"/>
    </row>
    <row r="2037">
      <c r="A2037" s="8">
        <v>43848.20783564815</v>
      </c>
      <c r="B2037" s="9" t="str">
        <f>HYPERLINK("https://twitter.com/ODulainne","@ODulainne")</f>
        <v>@ODulainne</v>
      </c>
      <c r="C2037" s="10" t="s">
        <v>8757</v>
      </c>
      <c r="D2037" s="10" t="s">
        <v>8758</v>
      </c>
      <c r="E2037" s="9" t="str">
        <f>HYPERLINK("https://twitter.com/ODulainne/status/1218472920500051968","1218472920500051968")</f>
        <v>1218472920500051968</v>
      </c>
      <c r="F2037" s="13"/>
      <c r="G2037" s="11" t="s">
        <v>8759</v>
      </c>
      <c r="H2037" s="13"/>
      <c r="I2037" s="14">
        <v>0.0</v>
      </c>
      <c r="J2037" s="14">
        <v>1.0</v>
      </c>
      <c r="K2037" s="9" t="str">
        <f t="shared" si="254"/>
        <v>Twitter for Android</v>
      </c>
      <c r="L2037" s="15">
        <v>1359.0</v>
      </c>
      <c r="M2037" s="15">
        <v>29.0</v>
      </c>
      <c r="N2037" s="15">
        <v>228.0</v>
      </c>
      <c r="O2037" s="16"/>
      <c r="P2037" s="17">
        <v>40688.56512731481</v>
      </c>
      <c r="Q2037" s="10" t="s">
        <v>4132</v>
      </c>
      <c r="R2037" s="10" t="s">
        <v>8760</v>
      </c>
      <c r="S2037" s="13"/>
      <c r="T2037" s="13"/>
      <c r="U2037" s="18" t="str">
        <f>HYPERLINK("https://pbs.twimg.com/profile_images/1195732411654512640/Hnys97Gs.jpg","View")</f>
        <v>View</v>
      </c>
      <c r="V2037" s="13"/>
      <c r="W2037" s="13"/>
      <c r="X2037" s="13"/>
      <c r="Y2037" s="13"/>
      <c r="Z2037" s="13"/>
    </row>
    <row r="2038">
      <c r="A2038" s="8">
        <v>43848.207650462966</v>
      </c>
      <c r="B2038" s="9" t="str">
        <f>HYPERLINK("https://twitter.com/IanBurns251","@IanBurns251")</f>
        <v>@IanBurns251</v>
      </c>
      <c r="C2038" s="10" t="s">
        <v>8761</v>
      </c>
      <c r="D2038" s="10" t="s">
        <v>8762</v>
      </c>
      <c r="E2038" s="9" t="str">
        <f>HYPERLINK("https://twitter.com/IanBurns251/status/1218472854611791873","1218472854611791873")</f>
        <v>1218472854611791873</v>
      </c>
      <c r="F2038" s="13"/>
      <c r="G2038" s="13"/>
      <c r="H2038" s="13"/>
      <c r="I2038" s="14">
        <v>0.0</v>
      </c>
      <c r="J2038" s="14">
        <v>0.0</v>
      </c>
      <c r="K2038" s="9" t="str">
        <f t="shared" si="254"/>
        <v>Twitter for Android</v>
      </c>
      <c r="L2038" s="15">
        <v>20.0</v>
      </c>
      <c r="M2038" s="15">
        <v>61.0</v>
      </c>
      <c r="N2038" s="15">
        <v>1.0</v>
      </c>
      <c r="O2038" s="16"/>
      <c r="P2038" s="17">
        <v>40776.71439814815</v>
      </c>
      <c r="Q2038" s="13"/>
      <c r="R2038" s="13"/>
      <c r="S2038" s="13"/>
      <c r="T2038" s="13"/>
      <c r="U2038" s="18" t="str">
        <f>HYPERLINK("https://pbs.twimg.com/profile_images/547667604064595968/aqgNqHQM.jpeg","View")</f>
        <v>View</v>
      </c>
      <c r="V2038" s="13"/>
      <c r="W2038" s="13"/>
      <c r="X2038" s="13"/>
      <c r="Y2038" s="13"/>
      <c r="Z2038" s="13"/>
    </row>
    <row r="2039">
      <c r="A2039" s="8">
        <v>43848.20763888889</v>
      </c>
      <c r="B2039" s="9" t="str">
        <f>HYPERLINK("https://twitter.com/JamesDMusic1","@JamesDMusic1")</f>
        <v>@JamesDMusic1</v>
      </c>
      <c r="C2039" s="10" t="s">
        <v>8173</v>
      </c>
      <c r="D2039" s="10" t="s">
        <v>8763</v>
      </c>
      <c r="E2039" s="9" t="str">
        <f>HYPERLINK("https://twitter.com/JamesDMusic1/status/1218472851881320448","1218472851881320448")</f>
        <v>1218472851881320448</v>
      </c>
      <c r="F2039" s="13"/>
      <c r="G2039" s="11" t="s">
        <v>8764</v>
      </c>
      <c r="H2039" s="13"/>
      <c r="I2039" s="14">
        <v>0.0</v>
      </c>
      <c r="J2039" s="14">
        <v>0.0</v>
      </c>
      <c r="K2039" s="9" t="str">
        <f t="shared" si="254"/>
        <v>Twitter for Android</v>
      </c>
      <c r="L2039" s="15">
        <v>792.0</v>
      </c>
      <c r="M2039" s="15">
        <v>658.0</v>
      </c>
      <c r="N2039" s="15">
        <v>14.0</v>
      </c>
      <c r="O2039" s="16"/>
      <c r="P2039" s="17">
        <v>39968.469675925924</v>
      </c>
      <c r="Q2039" s="10" t="s">
        <v>161</v>
      </c>
      <c r="R2039" s="10" t="s">
        <v>8176</v>
      </c>
      <c r="S2039" s="11" t="s">
        <v>8177</v>
      </c>
      <c r="T2039" s="13"/>
      <c r="U2039" s="18" t="str">
        <f>HYPERLINK("https://pbs.twimg.com/profile_images/1218491699879710722/7ln0CKaa.jpg","View")</f>
        <v>View</v>
      </c>
      <c r="V2039" s="13"/>
      <c r="W2039" s="13"/>
      <c r="X2039" s="13"/>
      <c r="Y2039" s="13"/>
      <c r="Z2039" s="13"/>
    </row>
    <row r="2040">
      <c r="A2040" s="8">
        <v>43848.20549768519</v>
      </c>
      <c r="B2040" s="9" t="str">
        <f>HYPERLINK("https://twitter.com/i_benio","@i_benio")</f>
        <v>@i_benio</v>
      </c>
      <c r="C2040" s="10" t="s">
        <v>8765</v>
      </c>
      <c r="D2040" s="10" t="s">
        <v>8766</v>
      </c>
      <c r="E2040" s="9" t="str">
        <f>HYPERLINK("https://twitter.com/i_benio/status/1218472075133964290","1218472075133964290")</f>
        <v>1218472075133964290</v>
      </c>
      <c r="F2040" s="13"/>
      <c r="G2040" s="11" t="s">
        <v>8767</v>
      </c>
      <c r="H2040" s="13"/>
      <c r="I2040" s="14">
        <v>0.0</v>
      </c>
      <c r="J2040" s="14">
        <v>0.0</v>
      </c>
      <c r="K2040" s="9" t="str">
        <f>HYPERLINK("http://twitter.com/download/iphone","Twitter for iPhone")</f>
        <v>Twitter for iPhone</v>
      </c>
      <c r="L2040" s="15">
        <v>68.0</v>
      </c>
      <c r="M2040" s="15">
        <v>50.0</v>
      </c>
      <c r="N2040" s="15">
        <v>0.0</v>
      </c>
      <c r="O2040" s="16"/>
      <c r="P2040" s="17">
        <v>42375.394733796296</v>
      </c>
      <c r="Q2040" s="10" t="s">
        <v>2557</v>
      </c>
      <c r="R2040" s="10" t="s">
        <v>8768</v>
      </c>
      <c r="S2040" s="13"/>
      <c r="T2040" s="13"/>
      <c r="U2040" s="18" t="str">
        <f>HYPERLINK("https://pbs.twimg.com/profile_images/1140589188443713537/CzoBhpQl.jpg","View")</f>
        <v>View</v>
      </c>
      <c r="V2040" s="13"/>
      <c r="W2040" s="13"/>
      <c r="X2040" s="13"/>
      <c r="Y2040" s="13"/>
      <c r="Z2040" s="13"/>
    </row>
    <row r="2041">
      <c r="A2041" s="8">
        <v>43848.205405092594</v>
      </c>
      <c r="B2041" s="9" t="str">
        <f>HYPERLINK("https://twitter.com/Lavidayogauk","@Lavidayogauk")</f>
        <v>@Lavidayogauk</v>
      </c>
      <c r="C2041" s="10" t="s">
        <v>8769</v>
      </c>
      <c r="D2041" s="10" t="s">
        <v>8770</v>
      </c>
      <c r="E2041" s="9" t="str">
        <f>HYPERLINK("https://twitter.com/Lavidayogauk/status/1218472043240476673","1218472043240476673")</f>
        <v>1218472043240476673</v>
      </c>
      <c r="F2041" s="11" t="s">
        <v>8771</v>
      </c>
      <c r="G2041" s="11" t="s">
        <v>8772</v>
      </c>
      <c r="H2041" s="13"/>
      <c r="I2041" s="14">
        <v>1.0</v>
      </c>
      <c r="J2041" s="14">
        <v>0.0</v>
      </c>
      <c r="K2041" s="9" t="str">
        <f>HYPERLINK("https://www.later.com","LaterMedia")</f>
        <v>LaterMedia</v>
      </c>
      <c r="L2041" s="15">
        <v>6.0</v>
      </c>
      <c r="M2041" s="15">
        <v>0.0</v>
      </c>
      <c r="N2041" s="15">
        <v>0.0</v>
      </c>
      <c r="O2041" s="16"/>
      <c r="P2041" s="17">
        <v>43706.42202546296</v>
      </c>
      <c r="Q2041" s="13"/>
      <c r="R2041" s="10" t="s">
        <v>8773</v>
      </c>
      <c r="S2041" s="13"/>
      <c r="T2041" s="13"/>
      <c r="U2041" s="18" t="str">
        <f>HYPERLINK("https://pbs.twimg.com/profile_images/1167076423611424773/xz1Z3hvL.png","View")</f>
        <v>View</v>
      </c>
      <c r="V2041" s="13"/>
      <c r="W2041" s="13"/>
      <c r="X2041" s="13"/>
      <c r="Y2041" s="13"/>
      <c r="Z2041" s="13"/>
    </row>
    <row r="2042">
      <c r="A2042" s="8">
        <v>43848.204618055555</v>
      </c>
      <c r="B2042" s="9" t="str">
        <f>HYPERLINK("https://twitter.com/TalkAboutIt_SF","@TalkAboutIt_SF")</f>
        <v>@TalkAboutIt_SF</v>
      </c>
      <c r="C2042" s="10" t="s">
        <v>8774</v>
      </c>
      <c r="D2042" s="10" t="s">
        <v>8775</v>
      </c>
      <c r="E2042" s="9" t="str">
        <f>HYPERLINK("https://twitter.com/TalkAboutIt_SF/status/1218471757486706688","1218471757486706688")</f>
        <v>1218471757486706688</v>
      </c>
      <c r="F2042" s="11" t="s">
        <v>8776</v>
      </c>
      <c r="G2042" s="13"/>
      <c r="H2042" s="13"/>
      <c r="I2042" s="14">
        <v>0.0</v>
      </c>
      <c r="J2042" s="14">
        <v>0.0</v>
      </c>
      <c r="K2042" s="9" t="str">
        <f>HYPERLINK("http://www.facebook.com/twitter","Facebook")</f>
        <v>Facebook</v>
      </c>
      <c r="L2042" s="15">
        <v>293.0</v>
      </c>
      <c r="M2042" s="15">
        <v>505.0</v>
      </c>
      <c r="N2042" s="15">
        <v>9.0</v>
      </c>
      <c r="O2042" s="16"/>
      <c r="P2042" s="17">
        <v>40586.41619212963</v>
      </c>
      <c r="Q2042" s="10" t="s">
        <v>166</v>
      </c>
      <c r="R2042" s="10" t="s">
        <v>8777</v>
      </c>
      <c r="S2042" s="11" t="s">
        <v>8778</v>
      </c>
      <c r="T2042" s="13"/>
      <c r="U2042" s="18" t="str">
        <f>HYPERLINK("https://pbs.twimg.com/profile_images/1180495333979238401/5PyyEnXn.jpg","View")</f>
        <v>View</v>
      </c>
      <c r="V2042" s="13"/>
      <c r="W2042" s="13"/>
      <c r="X2042" s="13"/>
      <c r="Y2042" s="13"/>
      <c r="Z2042" s="13"/>
    </row>
    <row r="2043">
      <c r="A2043" s="8">
        <v>43848.20432870371</v>
      </c>
      <c r="B2043" s="9" t="str">
        <f>HYPERLINK("https://twitter.com/healingstrong","@healingstrong")</f>
        <v>@healingstrong</v>
      </c>
      <c r="C2043" s="10" t="s">
        <v>8779</v>
      </c>
      <c r="D2043" s="10" t="s">
        <v>8780</v>
      </c>
      <c r="E2043" s="9" t="str">
        <f>HYPERLINK("https://twitter.com/healingstrong/status/1218471649567264773","1218471649567264773")</f>
        <v>1218471649567264773</v>
      </c>
      <c r="F2043" s="13"/>
      <c r="G2043" s="13"/>
      <c r="H2043" s="13"/>
      <c r="I2043" s="14">
        <v>0.0</v>
      </c>
      <c r="J2043" s="14">
        <v>4.0</v>
      </c>
      <c r="K2043" s="9" t="str">
        <f>HYPERLINK("http://twitter.com/download/android","Twitter for Android")</f>
        <v>Twitter for Android</v>
      </c>
      <c r="L2043" s="15">
        <v>223.0</v>
      </c>
      <c r="M2043" s="15">
        <v>222.0</v>
      </c>
      <c r="N2043" s="15">
        <v>2.0</v>
      </c>
      <c r="O2043" s="16"/>
      <c r="P2043" s="17">
        <v>42945.0087962963</v>
      </c>
      <c r="Q2043" s="10" t="s">
        <v>8781</v>
      </c>
      <c r="R2043" s="10" t="s">
        <v>8782</v>
      </c>
      <c r="S2043" s="13"/>
      <c r="T2043" s="13"/>
      <c r="U2043" s="18" t="str">
        <f>HYPERLINK("https://pbs.twimg.com/profile_images/1198146021387390976/9Bqcyj5M.jpg","View")</f>
        <v>View</v>
      </c>
      <c r="V2043" s="13"/>
      <c r="W2043" s="13"/>
      <c r="X2043" s="13"/>
      <c r="Y2043" s="13"/>
      <c r="Z2043" s="13"/>
    </row>
    <row r="2044">
      <c r="A2044" s="8">
        <v>43848.204305555555</v>
      </c>
      <c r="B2044" s="9" t="str">
        <f>HYPERLINK("https://twitter.com/expertlewis","@expertlewis")</f>
        <v>@expertlewis</v>
      </c>
      <c r="C2044" s="10" t="s">
        <v>8783</v>
      </c>
      <c r="D2044" s="10" t="s">
        <v>8784</v>
      </c>
      <c r="E2044" s="9" t="str">
        <f>HYPERLINK("https://twitter.com/expertlewis/status/1218471643523231744","1218471643523231744")</f>
        <v>1218471643523231744</v>
      </c>
      <c r="F2044" s="13"/>
      <c r="G2044" s="11" t="s">
        <v>8785</v>
      </c>
      <c r="H2044" s="13"/>
      <c r="I2044" s="14">
        <v>0.0</v>
      </c>
      <c r="J2044" s="14">
        <v>9.0</v>
      </c>
      <c r="K2044" s="9" t="str">
        <f t="shared" ref="K2044:K2045" si="255">HYPERLINK("http://twitter.com/download/iphone","Twitter for iPhone")</f>
        <v>Twitter for iPhone</v>
      </c>
      <c r="L2044" s="15">
        <v>1376.0</v>
      </c>
      <c r="M2044" s="15">
        <v>1379.0</v>
      </c>
      <c r="N2044" s="15">
        <v>26.0</v>
      </c>
      <c r="O2044" s="16"/>
      <c r="P2044" s="17">
        <v>41828.201203703706</v>
      </c>
      <c r="Q2044" s="10" t="s">
        <v>8786</v>
      </c>
      <c r="R2044" s="10" t="s">
        <v>8787</v>
      </c>
      <c r="S2044" s="11" t="s">
        <v>8788</v>
      </c>
      <c r="T2044" s="13"/>
      <c r="U2044" s="18" t="str">
        <f>HYPERLINK("https://pbs.twimg.com/profile_images/1205475731490443264/AqoC7Nue.jpg","View")</f>
        <v>View</v>
      </c>
      <c r="V2044" s="13"/>
      <c r="W2044" s="13"/>
      <c r="X2044" s="13"/>
      <c r="Y2044" s="13"/>
      <c r="Z2044" s="13"/>
    </row>
    <row r="2045">
      <c r="A2045" s="8">
        <v>43848.20340277778</v>
      </c>
      <c r="B2045" s="9" t="str">
        <f>HYPERLINK("https://twitter.com/HWpodcasts","@HWpodcasts")</f>
        <v>@HWpodcasts</v>
      </c>
      <c r="C2045" s="10" t="s">
        <v>8789</v>
      </c>
      <c r="D2045" s="10" t="s">
        <v>8766</v>
      </c>
      <c r="E2045" s="9" t="str">
        <f>HYPERLINK("https://twitter.com/HWpodcasts/status/1218471316086493186","1218471316086493186")</f>
        <v>1218471316086493186</v>
      </c>
      <c r="F2045" s="13"/>
      <c r="G2045" s="11" t="s">
        <v>8790</v>
      </c>
      <c r="H2045" s="13"/>
      <c r="I2045" s="14">
        <v>0.0</v>
      </c>
      <c r="J2045" s="14">
        <v>0.0</v>
      </c>
      <c r="K2045" s="9" t="str">
        <f t="shared" si="255"/>
        <v>Twitter for iPhone</v>
      </c>
      <c r="L2045" s="15">
        <v>2.0</v>
      </c>
      <c r="M2045" s="15">
        <v>0.0</v>
      </c>
      <c r="N2045" s="15">
        <v>0.0</v>
      </c>
      <c r="O2045" s="16"/>
      <c r="P2045" s="17">
        <v>43843.86578703704</v>
      </c>
      <c r="Q2045" s="13"/>
      <c r="R2045" s="10" t="s">
        <v>8791</v>
      </c>
      <c r="S2045" s="13"/>
      <c r="T2045" s="13"/>
      <c r="U2045" s="18" t="str">
        <f>HYPERLINK("https://pbs.twimg.com/profile_images/1216899501891506182/A6X4cWj5.jpg","View")</f>
        <v>View</v>
      </c>
      <c r="V2045" s="13"/>
      <c r="W2045" s="13"/>
      <c r="X2045" s="13"/>
      <c r="Y2045" s="13"/>
      <c r="Z2045" s="13"/>
    </row>
    <row r="2046">
      <c r="A2046" s="8">
        <v>43848.20243055555</v>
      </c>
      <c r="B2046" s="9" t="str">
        <f>HYPERLINK("https://twitter.com/Lovinglife7xx","@Lovinglife7xx")</f>
        <v>@Lovinglife7xx</v>
      </c>
      <c r="C2046" s="10" t="s">
        <v>8792</v>
      </c>
      <c r="D2046" s="10" t="s">
        <v>8793</v>
      </c>
      <c r="E2046" s="9" t="str">
        <f>HYPERLINK("https://twitter.com/Lovinglife7xx/status/1218470963668488192","1218470963668488192")</f>
        <v>1218470963668488192</v>
      </c>
      <c r="F2046" s="13"/>
      <c r="G2046" s="11" t="s">
        <v>8794</v>
      </c>
      <c r="H2046" s="13"/>
      <c r="I2046" s="14">
        <v>3.0</v>
      </c>
      <c r="J2046" s="14">
        <v>13.0</v>
      </c>
      <c r="K2046" s="9" t="str">
        <f>HYPERLINK("http://twitter.com/download/android","Twitter for Android")</f>
        <v>Twitter for Android</v>
      </c>
      <c r="L2046" s="15">
        <v>193.0</v>
      </c>
      <c r="M2046" s="15">
        <v>278.0</v>
      </c>
      <c r="N2046" s="15">
        <v>0.0</v>
      </c>
      <c r="O2046" s="16"/>
      <c r="P2046" s="17">
        <v>43725.7938425926</v>
      </c>
      <c r="Q2046" s="13"/>
      <c r="R2046" s="10" t="s">
        <v>8795</v>
      </c>
      <c r="S2046" s="13"/>
      <c r="T2046" s="13"/>
      <c r="U2046" s="18" t="str">
        <f>HYPERLINK("https://pbs.twimg.com/profile_images/1187128177052864512/9Hp4pHDR.jpg","View")</f>
        <v>View</v>
      </c>
      <c r="V2046" s="13"/>
      <c r="W2046" s="13"/>
      <c r="X2046" s="13"/>
      <c r="Y2046" s="13"/>
      <c r="Z2046" s="13"/>
    </row>
    <row r="2047">
      <c r="A2047" s="8">
        <v>43848.20054398148</v>
      </c>
      <c r="B2047" s="9" t="str">
        <f>HYPERLINK("https://twitter.com/BrainCollectiv1","@BrainCollectiv1")</f>
        <v>@BrainCollectiv1</v>
      </c>
      <c r="C2047" s="10" t="s">
        <v>8796</v>
      </c>
      <c r="D2047" s="10" t="s">
        <v>8797</v>
      </c>
      <c r="E2047" s="9" t="str">
        <f>HYPERLINK("https://twitter.com/BrainCollectiv1/status/1218470278608642048","1218470278608642048")</f>
        <v>1218470278608642048</v>
      </c>
      <c r="F2047" s="11" t="s">
        <v>8798</v>
      </c>
      <c r="G2047" s="13"/>
      <c r="H2047" s="13"/>
      <c r="I2047" s="14">
        <v>1.0</v>
      </c>
      <c r="J2047" s="14">
        <v>2.0</v>
      </c>
      <c r="K2047" s="9" t="str">
        <f>HYPERLINK("https://www.socialreport.com","SocialReport.com")</f>
        <v>SocialReport.com</v>
      </c>
      <c r="L2047" s="15">
        <v>210.0</v>
      </c>
      <c r="M2047" s="15">
        <v>340.0</v>
      </c>
      <c r="N2047" s="15">
        <v>1.0</v>
      </c>
      <c r="O2047" s="16"/>
      <c r="P2047" s="17">
        <v>43033.30827546296</v>
      </c>
      <c r="Q2047" s="10" t="s">
        <v>8799</v>
      </c>
      <c r="R2047" s="10" t="s">
        <v>8800</v>
      </c>
      <c r="S2047" s="11" t="s">
        <v>8801</v>
      </c>
      <c r="T2047" s="13"/>
      <c r="U2047" s="18" t="str">
        <f>HYPERLINK("https://pbs.twimg.com/profile_images/923152499946737664/liFNQKWG.jpg","View")</f>
        <v>View</v>
      </c>
      <c r="V2047" s="13"/>
      <c r="W2047" s="13"/>
      <c r="X2047" s="13"/>
      <c r="Y2047" s="13"/>
      <c r="Z2047" s="13"/>
    </row>
    <row r="2048">
      <c r="A2048" s="8">
        <v>43848.19949074074</v>
      </c>
      <c r="B2048" s="9" t="str">
        <f>HYPERLINK("https://twitter.com/grouptherapy33","@grouptherapy33")</f>
        <v>@grouptherapy33</v>
      </c>
      <c r="C2048" s="10" t="s">
        <v>831</v>
      </c>
      <c r="D2048" s="10" t="s">
        <v>8802</v>
      </c>
      <c r="E2048" s="9" t="str">
        <f>HYPERLINK("https://twitter.com/grouptherapy33/status/1218469897136676865","1218469897136676865")</f>
        <v>1218469897136676865</v>
      </c>
      <c r="F2048" s="13"/>
      <c r="G2048" s="13"/>
      <c r="H2048" s="13"/>
      <c r="I2048" s="14">
        <v>0.0</v>
      </c>
      <c r="J2048" s="14">
        <v>1.0</v>
      </c>
      <c r="K2048" s="9" t="str">
        <f>HYPERLINK("http://www.DynamicTweets.com","Dynamic Tweets")</f>
        <v>Dynamic Tweets</v>
      </c>
      <c r="L2048" s="15">
        <v>4053.0</v>
      </c>
      <c r="M2048" s="15">
        <v>3517.0</v>
      </c>
      <c r="N2048" s="15">
        <v>74.0</v>
      </c>
      <c r="O2048" s="16"/>
      <c r="P2048" s="17">
        <v>42375.45542824074</v>
      </c>
      <c r="Q2048" s="13"/>
      <c r="R2048" s="13"/>
      <c r="S2048" s="11" t="s">
        <v>833</v>
      </c>
      <c r="T2048" s="13"/>
      <c r="U2048" s="18" t="str">
        <f>HYPERLINK("https://pbs.twimg.com/profile_images/773354507157671941/wE10yy8j.jpg","View")</f>
        <v>View</v>
      </c>
      <c r="V2048" s="13"/>
      <c r="W2048" s="13"/>
      <c r="X2048" s="13"/>
      <c r="Y2048" s="13"/>
      <c r="Z2048" s="13"/>
    </row>
    <row r="2049">
      <c r="A2049" s="8">
        <v>43848.199375</v>
      </c>
      <c r="B2049" s="9" t="str">
        <f>HYPERLINK("https://twitter.com/quietplaceng","@quietplaceng")</f>
        <v>@quietplaceng</v>
      </c>
      <c r="C2049" s="10" t="s">
        <v>8803</v>
      </c>
      <c r="D2049" s="10" t="s">
        <v>8804</v>
      </c>
      <c r="E2049" s="9" t="str">
        <f>HYPERLINK("https://twitter.com/quietplaceng/status/1218469857651576832","1218469857651576832")</f>
        <v>1218469857651576832</v>
      </c>
      <c r="F2049" s="13"/>
      <c r="G2049" s="11" t="s">
        <v>8805</v>
      </c>
      <c r="H2049" s="13"/>
      <c r="I2049" s="14">
        <v>0.0</v>
      </c>
      <c r="J2049" s="14">
        <v>0.0</v>
      </c>
      <c r="K2049" s="9" t="str">
        <f>HYPERLINK("https://mobile.twitter.com","Twitter Web App")</f>
        <v>Twitter Web App</v>
      </c>
      <c r="L2049" s="15">
        <v>726.0</v>
      </c>
      <c r="M2049" s="15">
        <v>776.0</v>
      </c>
      <c r="N2049" s="15">
        <v>0.0</v>
      </c>
      <c r="O2049" s="16"/>
      <c r="P2049" s="17">
        <v>43717.5265162037</v>
      </c>
      <c r="Q2049" s="10" t="s">
        <v>3593</v>
      </c>
      <c r="R2049" s="10" t="s">
        <v>8806</v>
      </c>
      <c r="S2049" s="11" t="s">
        <v>8807</v>
      </c>
      <c r="T2049" s="13"/>
      <c r="U2049" s="18" t="str">
        <f>HYPERLINK("https://pbs.twimg.com/profile_images/1182250002711744512/qIymqd01.jpg","View")</f>
        <v>View</v>
      </c>
      <c r="V2049" s="13"/>
      <c r="W2049" s="13"/>
      <c r="X2049" s="13"/>
      <c r="Y2049" s="13"/>
      <c r="Z2049" s="13"/>
    </row>
    <row r="2050">
      <c r="A2050" s="8">
        <v>43848.19914351852</v>
      </c>
      <c r="B2050" s="9" t="str">
        <f>HYPERLINK("https://twitter.com/thetechsurgeon","@thetechsurgeon")</f>
        <v>@thetechsurgeon</v>
      </c>
      <c r="C2050" s="10" t="s">
        <v>3967</v>
      </c>
      <c r="D2050" s="10" t="s">
        <v>8808</v>
      </c>
      <c r="E2050" s="9" t="str">
        <f>HYPERLINK("https://twitter.com/thetechsurgeon/status/1218469770468700160","1218469770468700160")</f>
        <v>1218469770468700160</v>
      </c>
      <c r="F2050" s="13"/>
      <c r="G2050" s="11" t="s">
        <v>8809</v>
      </c>
      <c r="H2050" s="13"/>
      <c r="I2050" s="14">
        <v>1.0</v>
      </c>
      <c r="J2050" s="14">
        <v>4.0</v>
      </c>
      <c r="K2050" s="9" t="str">
        <f t="shared" ref="K2050:K2051" si="256">HYPERLINK("http://twitter.com/download/android","Twitter for Android")</f>
        <v>Twitter for Android</v>
      </c>
      <c r="L2050" s="15">
        <v>89.0</v>
      </c>
      <c r="M2050" s="15">
        <v>135.0</v>
      </c>
      <c r="N2050" s="15">
        <v>1.0</v>
      </c>
      <c r="O2050" s="16"/>
      <c r="P2050" s="17">
        <v>43576.29523148148</v>
      </c>
      <c r="Q2050" s="10" t="s">
        <v>3969</v>
      </c>
      <c r="R2050" s="10" t="s">
        <v>3970</v>
      </c>
      <c r="S2050" s="13"/>
      <c r="T2050" s="13"/>
      <c r="U2050" s="18" t="str">
        <f>HYPERLINK("https://pbs.twimg.com/profile_images/1170314833314680836/rIKSeVFX.jpg","View")</f>
        <v>View</v>
      </c>
      <c r="V2050" s="13"/>
      <c r="W2050" s="13"/>
      <c r="X2050" s="13"/>
      <c r="Y2050" s="13"/>
      <c r="Z2050" s="13"/>
    </row>
    <row r="2051">
      <c r="A2051" s="8">
        <v>43848.19809027778</v>
      </c>
      <c r="B2051" s="9" t="str">
        <f>HYPERLINK("https://twitter.com/keithkelly97","@keithkelly97")</f>
        <v>@keithkelly97</v>
      </c>
      <c r="C2051" s="10" t="s">
        <v>8810</v>
      </c>
      <c r="D2051" s="10" t="s">
        <v>8811</v>
      </c>
      <c r="E2051" s="9" t="str">
        <f>HYPERLINK("https://twitter.com/keithkelly97/status/1218469391098138626","1218469391098138626")</f>
        <v>1218469391098138626</v>
      </c>
      <c r="F2051" s="13"/>
      <c r="G2051" s="11" t="s">
        <v>8812</v>
      </c>
      <c r="H2051" s="13"/>
      <c r="I2051" s="14">
        <v>3.0</v>
      </c>
      <c r="J2051" s="14">
        <v>6.0</v>
      </c>
      <c r="K2051" s="9" t="str">
        <f t="shared" si="256"/>
        <v>Twitter for Android</v>
      </c>
      <c r="L2051" s="15">
        <v>796.0</v>
      </c>
      <c r="M2051" s="15">
        <v>725.0</v>
      </c>
      <c r="N2051" s="15">
        <v>0.0</v>
      </c>
      <c r="O2051" s="16"/>
      <c r="P2051" s="17">
        <v>42746.53230324074</v>
      </c>
      <c r="Q2051" s="10" t="s">
        <v>8813</v>
      </c>
      <c r="R2051" s="10" t="s">
        <v>8814</v>
      </c>
      <c r="S2051" s="11" t="s">
        <v>8815</v>
      </c>
      <c r="T2051" s="13"/>
      <c r="U2051" s="18" t="str">
        <f>HYPERLINK("https://pbs.twimg.com/profile_images/1148249380086063104/KCJ64ywQ.jpg","View")</f>
        <v>View</v>
      </c>
      <c r="V2051" s="13"/>
      <c r="W2051" s="13"/>
      <c r="X2051" s="13"/>
      <c r="Y2051" s="13"/>
      <c r="Z2051" s="13"/>
    </row>
    <row r="2052">
      <c r="A2052" s="8">
        <v>43848.197962962964</v>
      </c>
      <c r="B2052" s="9" t="str">
        <f>HYPERLINK("https://twitter.com/justmominit","@justmominit")</f>
        <v>@justmominit</v>
      </c>
      <c r="C2052" s="10" t="s">
        <v>8816</v>
      </c>
      <c r="D2052" s="10" t="s">
        <v>8817</v>
      </c>
      <c r="E2052" s="9" t="str">
        <f>HYPERLINK("https://twitter.com/justmominit/status/1218469343731814401","1218469343731814401")</f>
        <v>1218469343731814401</v>
      </c>
      <c r="F2052" s="11" t="s">
        <v>8818</v>
      </c>
      <c r="G2052" s="13"/>
      <c r="H2052" s="13"/>
      <c r="I2052" s="14">
        <v>0.0</v>
      </c>
      <c r="J2052" s="14">
        <v>1.0</v>
      </c>
      <c r="K2052" s="9" t="str">
        <f>HYPERLINK("https://www.hootsuite.com","Hootsuite Inc.")</f>
        <v>Hootsuite Inc.</v>
      </c>
      <c r="L2052" s="15">
        <v>7618.0</v>
      </c>
      <c r="M2052" s="15">
        <v>5102.0</v>
      </c>
      <c r="N2052" s="15">
        <v>50.0</v>
      </c>
      <c r="O2052" s="16"/>
      <c r="P2052" s="17">
        <v>43245.59444444445</v>
      </c>
      <c r="Q2052" s="10" t="s">
        <v>177</v>
      </c>
      <c r="R2052" s="10" t="s">
        <v>8819</v>
      </c>
      <c r="S2052" s="11" t="s">
        <v>8820</v>
      </c>
      <c r="T2052" s="13"/>
      <c r="U2052" s="18" t="str">
        <f>HYPERLINK("https://pbs.twimg.com/profile_images/1183531046106796033/fcLIJ5p3.jpg","View")</f>
        <v>View</v>
      </c>
      <c r="V2052" s="13"/>
      <c r="W2052" s="13"/>
      <c r="X2052" s="13"/>
      <c r="Y2052" s="13"/>
      <c r="Z2052" s="13"/>
    </row>
    <row r="2053">
      <c r="A2053" s="8">
        <v>43848.19791666667</v>
      </c>
      <c r="B2053" s="9" t="str">
        <f>HYPERLINK("https://twitter.com/DADSINMIND","@DADSINMIND")</f>
        <v>@DADSINMIND</v>
      </c>
      <c r="C2053" s="10" t="s">
        <v>8821</v>
      </c>
      <c r="D2053" s="10" t="s">
        <v>8822</v>
      </c>
      <c r="E2053" s="9" t="str">
        <f>HYPERLINK("https://twitter.com/DADSINMIND/status/1218469328808529920","1218469328808529920")</f>
        <v>1218469328808529920</v>
      </c>
      <c r="F2053" s="10" t="s">
        <v>8823</v>
      </c>
      <c r="G2053" s="13"/>
      <c r="H2053" s="13"/>
      <c r="I2053" s="14">
        <v>0.0</v>
      </c>
      <c r="J2053" s="14">
        <v>2.0</v>
      </c>
      <c r="K2053" s="9" t="str">
        <f>HYPERLINK("https://mobile.twitter.com","Twitter Web App")</f>
        <v>Twitter Web App</v>
      </c>
      <c r="L2053" s="15">
        <v>1825.0</v>
      </c>
      <c r="M2053" s="15">
        <v>1069.0</v>
      </c>
      <c r="N2053" s="15">
        <v>12.0</v>
      </c>
      <c r="O2053" s="16"/>
      <c r="P2053" s="17">
        <v>42766.362858796296</v>
      </c>
      <c r="Q2053" s="10" t="s">
        <v>8824</v>
      </c>
      <c r="R2053" s="10" t="s">
        <v>8825</v>
      </c>
      <c r="S2053" s="11" t="s">
        <v>8826</v>
      </c>
      <c r="T2053" s="13"/>
      <c r="U2053" s="18" t="str">
        <f>HYPERLINK("https://pbs.twimg.com/profile_images/829689066128076800/PH2Y5lkW.jpg","View")</f>
        <v>View</v>
      </c>
      <c r="V2053" s="13"/>
      <c r="W2053" s="13"/>
      <c r="X2053" s="13"/>
      <c r="Y2053" s="13"/>
      <c r="Z2053" s="13"/>
    </row>
    <row r="2054">
      <c r="A2054" s="8">
        <v>43848.197847222225</v>
      </c>
      <c r="B2054" s="9" t="str">
        <f>HYPERLINK("https://twitter.com/LindaBerman4","@LindaBerman4")</f>
        <v>@LindaBerman4</v>
      </c>
      <c r="C2054" s="10" t="s">
        <v>8827</v>
      </c>
      <c r="D2054" s="10" t="s">
        <v>8828</v>
      </c>
      <c r="E2054" s="9" t="str">
        <f>HYPERLINK("https://twitter.com/LindaBerman4/status/1218469304716398592","1218469304716398592")</f>
        <v>1218469304716398592</v>
      </c>
      <c r="F2054" s="13"/>
      <c r="G2054" s="11" t="s">
        <v>8829</v>
      </c>
      <c r="H2054" s="13"/>
      <c r="I2054" s="14">
        <v>2.0</v>
      </c>
      <c r="J2054" s="14">
        <v>6.0</v>
      </c>
      <c r="K2054" s="9" t="str">
        <f t="shared" ref="K2054:K2055" si="257">HYPERLINK("http://twitter.com/download/iphone","Twitter for iPhone")</f>
        <v>Twitter for iPhone</v>
      </c>
      <c r="L2054" s="15">
        <v>2642.0</v>
      </c>
      <c r="M2054" s="15">
        <v>2279.0</v>
      </c>
      <c r="N2054" s="15">
        <v>21.0</v>
      </c>
      <c r="O2054" s="16"/>
      <c r="P2054" s="17">
        <v>41529.16657407407</v>
      </c>
      <c r="Q2054" s="10" t="s">
        <v>8830</v>
      </c>
      <c r="R2054" s="10" t="s">
        <v>8831</v>
      </c>
      <c r="S2054" s="11" t="s">
        <v>8832</v>
      </c>
      <c r="T2054" s="13"/>
      <c r="U2054" s="18" t="str">
        <f>HYPERLINK("https://pbs.twimg.com/profile_images/1151838107395907585/L3SvLYxe.png","View")</f>
        <v>View</v>
      </c>
      <c r="V2054" s="13"/>
      <c r="W2054" s="13"/>
      <c r="X2054" s="13"/>
      <c r="Y2054" s="13"/>
      <c r="Z2054" s="13"/>
    </row>
    <row r="2055">
      <c r="A2055" s="8">
        <v>43848.19783564815</v>
      </c>
      <c r="B2055" s="9" t="str">
        <f>HYPERLINK("https://twitter.com/TheRobinPoetry","@TheRobinPoetry")</f>
        <v>@TheRobinPoetry</v>
      </c>
      <c r="C2055" s="10" t="s">
        <v>8833</v>
      </c>
      <c r="D2055" s="10" t="s">
        <v>8834</v>
      </c>
      <c r="E2055" s="9" t="str">
        <f>HYPERLINK("https://twitter.com/TheRobinPoetry/status/1218469299813322752","1218469299813322752")</f>
        <v>1218469299813322752</v>
      </c>
      <c r="F2055" s="13"/>
      <c r="G2055" s="13"/>
      <c r="H2055" s="13"/>
      <c r="I2055" s="14">
        <v>0.0</v>
      </c>
      <c r="J2055" s="14">
        <v>1.0</v>
      </c>
      <c r="K2055" s="9" t="str">
        <f t="shared" si="257"/>
        <v>Twitter for iPhone</v>
      </c>
      <c r="L2055" s="15">
        <v>5820.0</v>
      </c>
      <c r="M2055" s="15">
        <v>6336.0</v>
      </c>
      <c r="N2055" s="15">
        <v>296.0</v>
      </c>
      <c r="O2055" s="16"/>
      <c r="P2055" s="17">
        <v>41441.09909722222</v>
      </c>
      <c r="Q2055" s="10" t="s">
        <v>95</v>
      </c>
      <c r="R2055" s="10" t="s">
        <v>8835</v>
      </c>
      <c r="S2055" s="13"/>
      <c r="T2055" s="13"/>
      <c r="U2055" s="18" t="str">
        <f>HYPERLINK("https://pbs.twimg.com/profile_images/1216867827497492480/Wn-tyVz9.jpg","View")</f>
        <v>View</v>
      </c>
      <c r="V2055" s="13"/>
      <c r="W2055" s="13"/>
      <c r="X2055" s="13"/>
      <c r="Y2055" s="13"/>
      <c r="Z2055" s="13"/>
    </row>
    <row r="2056">
      <c r="A2056" s="8">
        <v>43848.19587962963</v>
      </c>
      <c r="B2056" s="9" t="str">
        <f>HYPERLINK("https://twitter.com/sarajazz_","@sarajazz_")</f>
        <v>@sarajazz_</v>
      </c>
      <c r="C2056" s="10" t="s">
        <v>8836</v>
      </c>
      <c r="D2056" s="10" t="s">
        <v>8837</v>
      </c>
      <c r="E2056" s="9" t="str">
        <f>HYPERLINK("https://twitter.com/sarajazz_/status/1218468590380376064","1218468590380376064")</f>
        <v>1218468590380376064</v>
      </c>
      <c r="F2056" s="11" t="s">
        <v>8838</v>
      </c>
      <c r="G2056" s="13"/>
      <c r="H2056" s="13"/>
      <c r="I2056" s="14">
        <v>1.0</v>
      </c>
      <c r="J2056" s="14">
        <v>7.0</v>
      </c>
      <c r="K2056" s="9" t="str">
        <f>HYPERLINK("https://mobile.twitter.com","Twitter Web App")</f>
        <v>Twitter Web App</v>
      </c>
      <c r="L2056" s="15">
        <v>686.0</v>
      </c>
      <c r="M2056" s="15">
        <v>240.0</v>
      </c>
      <c r="N2056" s="15">
        <v>24.0</v>
      </c>
      <c r="O2056" s="16"/>
      <c r="P2056" s="17">
        <v>42011.38993055555</v>
      </c>
      <c r="Q2056" s="10" t="s">
        <v>8839</v>
      </c>
      <c r="R2056" s="10" t="s">
        <v>8840</v>
      </c>
      <c r="S2056" s="11" t="s">
        <v>8841</v>
      </c>
      <c r="T2056" s="13"/>
      <c r="U2056" s="18" t="str">
        <f>HYPERLINK("https://pbs.twimg.com/profile_images/1201232947094966273/t8zobczr.jpg","View")</f>
        <v>View</v>
      </c>
      <c r="V2056" s="13"/>
      <c r="W2056" s="13"/>
      <c r="X2056" s="13"/>
      <c r="Y2056" s="13"/>
      <c r="Z2056" s="13"/>
    </row>
    <row r="2057">
      <c r="A2057" s="8">
        <v>43848.195763888885</v>
      </c>
      <c r="B2057" s="9" t="str">
        <f>HYPERLINK("https://twitter.com/sketchbookmd","@sketchbookmd")</f>
        <v>@sketchbookmd</v>
      </c>
      <c r="C2057" s="10" t="s">
        <v>8842</v>
      </c>
      <c r="D2057" s="10" t="s">
        <v>8843</v>
      </c>
      <c r="E2057" s="9" t="str">
        <f>HYPERLINK("https://twitter.com/sketchbookmd/status/1218468548147806208","1218468548147806208")</f>
        <v>1218468548147806208</v>
      </c>
      <c r="F2057" s="13"/>
      <c r="G2057" s="11" t="s">
        <v>8844</v>
      </c>
      <c r="H2057" s="13"/>
      <c r="I2057" s="14">
        <v>8.0</v>
      </c>
      <c r="J2057" s="14">
        <v>23.0</v>
      </c>
      <c r="K2057" s="9" t="str">
        <f>HYPERLINK("http://twitter.com/download/iphone","Twitter for iPhone")</f>
        <v>Twitter for iPhone</v>
      </c>
      <c r="L2057" s="15">
        <v>4249.0</v>
      </c>
      <c r="M2057" s="15">
        <v>1010.0</v>
      </c>
      <c r="N2057" s="15">
        <v>37.0</v>
      </c>
      <c r="O2057" s="16"/>
      <c r="P2057" s="17">
        <v>42178.66526620371</v>
      </c>
      <c r="Q2057" s="10" t="s">
        <v>8845</v>
      </c>
      <c r="R2057" s="10" t="s">
        <v>8846</v>
      </c>
      <c r="S2057" s="11" t="s">
        <v>8847</v>
      </c>
      <c r="T2057" s="13"/>
      <c r="U2057" s="18" t="str">
        <f>HYPERLINK("https://pbs.twimg.com/profile_images/1211255985521778688/Pc8HNxVW.jpg","View")</f>
        <v>View</v>
      </c>
      <c r="V2057" s="13"/>
      <c r="W2057" s="13"/>
      <c r="X2057" s="13"/>
      <c r="Y2057" s="13"/>
      <c r="Z2057" s="13"/>
    </row>
    <row r="2058">
      <c r="A2058" s="8">
        <v>43848.19563657408</v>
      </c>
      <c r="B2058" s="9" t="str">
        <f>HYPERLINK("https://twitter.com/HorseTimeorguk","@HorseTimeorguk")</f>
        <v>@HorseTimeorguk</v>
      </c>
      <c r="C2058" s="10" t="s">
        <v>8848</v>
      </c>
      <c r="D2058" s="10" t="s">
        <v>8849</v>
      </c>
      <c r="E2058" s="9" t="str">
        <f>HYPERLINK("https://twitter.com/HorseTimeorguk/status/1218468500676714497","1218468500676714497")</f>
        <v>1218468500676714497</v>
      </c>
      <c r="F2058" s="13"/>
      <c r="G2058" s="11" t="s">
        <v>8850</v>
      </c>
      <c r="H2058" s="13"/>
      <c r="I2058" s="14">
        <v>0.0</v>
      </c>
      <c r="J2058" s="14">
        <v>4.0</v>
      </c>
      <c r="K2058" s="9" t="str">
        <f>HYPERLINK("http://twitter.com/download/android","Twitter for Android")</f>
        <v>Twitter for Android</v>
      </c>
      <c r="L2058" s="15">
        <v>28.0</v>
      </c>
      <c r="M2058" s="15">
        <v>75.0</v>
      </c>
      <c r="N2058" s="15">
        <v>0.0</v>
      </c>
      <c r="O2058" s="16"/>
      <c r="P2058" s="17">
        <v>41837.26935185185</v>
      </c>
      <c r="Q2058" s="10" t="s">
        <v>8851</v>
      </c>
      <c r="R2058" s="10" t="s">
        <v>8852</v>
      </c>
      <c r="S2058" s="11" t="s">
        <v>8853</v>
      </c>
      <c r="T2058" s="13"/>
      <c r="U2058" s="18" t="str">
        <f>HYPERLINK("https://pbs.twimg.com/profile_images/1138804244721672193/qr8Lazqn.jpg","View")</f>
        <v>View</v>
      </c>
      <c r="V2058" s="13"/>
      <c r="W2058" s="13"/>
      <c r="X2058" s="13"/>
      <c r="Y2058" s="13"/>
      <c r="Z2058" s="13"/>
    </row>
    <row r="2059">
      <c r="A2059" s="8">
        <v>43848.19452546297</v>
      </c>
      <c r="B2059" s="9" t="str">
        <f>HYPERLINK("https://twitter.com/MarkLogieAuthor","@MarkLogieAuthor")</f>
        <v>@MarkLogieAuthor</v>
      </c>
      <c r="C2059" s="10" t="s">
        <v>8854</v>
      </c>
      <c r="D2059" s="10" t="s">
        <v>8855</v>
      </c>
      <c r="E2059" s="9" t="str">
        <f>HYPERLINK("https://twitter.com/MarkLogieAuthor/status/1218468100699574274","1218468100699574274")</f>
        <v>1218468100699574274</v>
      </c>
      <c r="F2059" s="11" t="s">
        <v>8856</v>
      </c>
      <c r="G2059" s="11" t="s">
        <v>8857</v>
      </c>
      <c r="H2059" s="13"/>
      <c r="I2059" s="14">
        <v>0.0</v>
      </c>
      <c r="J2059" s="14">
        <v>0.0</v>
      </c>
      <c r="K2059" s="9" t="str">
        <f>HYPERLINK("https://mobile.twitter.com","Twitter Web App")</f>
        <v>Twitter Web App</v>
      </c>
      <c r="L2059" s="15">
        <v>84.0</v>
      </c>
      <c r="M2059" s="15">
        <v>23.0</v>
      </c>
      <c r="N2059" s="15">
        <v>0.0</v>
      </c>
      <c r="O2059" s="16"/>
      <c r="P2059" s="17">
        <v>41742.3387037037</v>
      </c>
      <c r="Q2059" s="10" t="s">
        <v>8858</v>
      </c>
      <c r="R2059" s="10" t="s">
        <v>8859</v>
      </c>
      <c r="S2059" s="11" t="s">
        <v>8860</v>
      </c>
      <c r="T2059" s="13"/>
      <c r="U2059" s="18" t="str">
        <f>HYPERLINK("https://pbs.twimg.com/profile_images/458252319956537345/DEXhawfQ.jpeg","View")</f>
        <v>View</v>
      </c>
      <c r="V2059" s="13"/>
      <c r="W2059" s="13"/>
      <c r="X2059" s="13"/>
      <c r="Y2059" s="13"/>
      <c r="Z2059" s="13"/>
    </row>
    <row r="2060">
      <c r="A2060" s="8">
        <v>43848.194513888884</v>
      </c>
      <c r="B2060" s="9" t="str">
        <f>HYPERLINK("https://twitter.com/RyanShorthouse","@RyanShorthouse")</f>
        <v>@RyanShorthouse</v>
      </c>
      <c r="C2060" s="10" t="s">
        <v>8861</v>
      </c>
      <c r="D2060" s="10" t="s">
        <v>8862</v>
      </c>
      <c r="E2060" s="9" t="str">
        <f>HYPERLINK("https://twitter.com/RyanShorthouse/status/1218468093372043266","1218468093372043266")</f>
        <v>1218468093372043266</v>
      </c>
      <c r="F2060" s="11" t="s">
        <v>8863</v>
      </c>
      <c r="G2060" s="13"/>
      <c r="H2060" s="13"/>
      <c r="I2060" s="14">
        <v>1.0</v>
      </c>
      <c r="J2060" s="14">
        <v>0.0</v>
      </c>
      <c r="K2060" s="9" t="str">
        <f>HYPERLINK("http://twitter.com/download/iphone","Twitter for iPhone")</f>
        <v>Twitter for iPhone</v>
      </c>
      <c r="L2060" s="15">
        <v>5483.0</v>
      </c>
      <c r="M2060" s="15">
        <v>3560.0</v>
      </c>
      <c r="N2060" s="15">
        <v>132.0</v>
      </c>
      <c r="O2060" s="21" t="s">
        <v>522</v>
      </c>
      <c r="P2060" s="17">
        <v>40357.527592592596</v>
      </c>
      <c r="Q2060" s="10" t="s">
        <v>2102</v>
      </c>
      <c r="R2060" s="10" t="s">
        <v>8864</v>
      </c>
      <c r="S2060" s="11" t="s">
        <v>8865</v>
      </c>
      <c r="T2060" s="13"/>
      <c r="U2060" s="18" t="str">
        <f>HYPERLINK("https://pbs.twimg.com/profile_images/1212015818063712256/V_7VJeiu.jpg","View")</f>
        <v>View</v>
      </c>
      <c r="V2060" s="13"/>
      <c r="W2060" s="13"/>
      <c r="X2060" s="13"/>
      <c r="Y2060" s="13"/>
      <c r="Z2060" s="13"/>
    </row>
    <row r="2061">
      <c r="A2061" s="8">
        <v>43848.19446759259</v>
      </c>
      <c r="B2061" s="9" t="str">
        <f>HYPERLINK("https://twitter.com/ActiveNationUK","@ActiveNationUK")</f>
        <v>@ActiveNationUK</v>
      </c>
      <c r="C2061" s="10" t="s">
        <v>8866</v>
      </c>
      <c r="D2061" s="10" t="s">
        <v>8867</v>
      </c>
      <c r="E2061" s="9" t="str">
        <f>HYPERLINK("https://twitter.com/ActiveNationUK/status/1218468078390063104","1218468078390063104")</f>
        <v>1218468078390063104</v>
      </c>
      <c r="F2061" s="11" t="s">
        <v>8868</v>
      </c>
      <c r="G2061" s="11" t="s">
        <v>8869</v>
      </c>
      <c r="H2061" s="13"/>
      <c r="I2061" s="14">
        <v>0.0</v>
      </c>
      <c r="J2061" s="14">
        <v>0.0</v>
      </c>
      <c r="K2061" s="9" t="str">
        <f>HYPERLINK("https://sproutsocial.com","Sprout Social")</f>
        <v>Sprout Social</v>
      </c>
      <c r="L2061" s="15">
        <v>3861.0</v>
      </c>
      <c r="M2061" s="15">
        <v>4140.0</v>
      </c>
      <c r="N2061" s="15">
        <v>60.0</v>
      </c>
      <c r="O2061" s="16"/>
      <c r="P2061" s="17">
        <v>40148.25313657407</v>
      </c>
      <c r="Q2061" s="10" t="s">
        <v>2323</v>
      </c>
      <c r="R2061" s="10" t="s">
        <v>8870</v>
      </c>
      <c r="S2061" s="11" t="s">
        <v>8871</v>
      </c>
      <c r="T2061" s="13"/>
      <c r="U2061" s="18" t="str">
        <f>HYPERLINK("https://pbs.twimg.com/profile_images/898100976279801858/Xi1Vah17.jpg","View")</f>
        <v>View</v>
      </c>
      <c r="V2061" s="13"/>
      <c r="W2061" s="13"/>
      <c r="X2061" s="13"/>
      <c r="Y2061" s="13"/>
      <c r="Z2061" s="13"/>
    </row>
    <row r="2062">
      <c r="A2062" s="8">
        <v>43848.19362268518</v>
      </c>
      <c r="B2062" s="9" t="str">
        <f>HYPERLINK("https://twitter.com/SarahC_xx","@SarahC_xx")</f>
        <v>@SarahC_xx</v>
      </c>
      <c r="C2062" s="10" t="s">
        <v>8872</v>
      </c>
      <c r="D2062" s="10" t="s">
        <v>8873</v>
      </c>
      <c r="E2062" s="9" t="str">
        <f>HYPERLINK("https://twitter.com/SarahC_xx/status/1218467772742754305","1218467772742754305")</f>
        <v>1218467772742754305</v>
      </c>
      <c r="F2062" s="13"/>
      <c r="G2062" s="11" t="s">
        <v>8874</v>
      </c>
      <c r="H2062" s="13"/>
      <c r="I2062" s="14">
        <v>0.0</v>
      </c>
      <c r="J2062" s="14">
        <v>0.0</v>
      </c>
      <c r="K2062" s="9" t="str">
        <f t="shared" ref="K2062:K2063" si="258">HYPERLINK("http://twitter.com/download/iphone","Twitter for iPhone")</f>
        <v>Twitter for iPhone</v>
      </c>
      <c r="L2062" s="15">
        <v>177.0</v>
      </c>
      <c r="M2062" s="15">
        <v>275.0</v>
      </c>
      <c r="N2062" s="15">
        <v>4.0</v>
      </c>
      <c r="O2062" s="16"/>
      <c r="P2062" s="17">
        <v>40678.44829861111</v>
      </c>
      <c r="Q2062" s="10" t="s">
        <v>8875</v>
      </c>
      <c r="R2062" s="22" t="s">
        <v>8876</v>
      </c>
      <c r="S2062" s="13"/>
      <c r="T2062" s="13"/>
      <c r="U2062" s="18" t="str">
        <f>HYPERLINK("https://pbs.twimg.com/profile_images/1182762214731714560/drI3SxPq.jpg","View")</f>
        <v>View</v>
      </c>
      <c r="V2062" s="13"/>
      <c r="W2062" s="13"/>
      <c r="X2062" s="13"/>
      <c r="Y2062" s="13"/>
      <c r="Z2062" s="13"/>
    </row>
    <row r="2063">
      <c r="A2063" s="8">
        <v>43848.19335648148</v>
      </c>
      <c r="B2063" s="9" t="str">
        <f>HYPERLINK("https://twitter.com/HSBLACKPOOL","@HSBLACKPOOL")</f>
        <v>@HSBLACKPOOL</v>
      </c>
      <c r="C2063" s="10" t="s">
        <v>8877</v>
      </c>
      <c r="D2063" s="10" t="s">
        <v>8878</v>
      </c>
      <c r="E2063" s="9" t="str">
        <f>HYPERLINK("https://twitter.com/HSBLACKPOOL/status/1218467673534844928","1218467673534844928")</f>
        <v>1218467673534844928</v>
      </c>
      <c r="F2063" s="11" t="s">
        <v>8879</v>
      </c>
      <c r="G2063" s="11" t="s">
        <v>8880</v>
      </c>
      <c r="H2063" s="13"/>
      <c r="I2063" s="14">
        <v>1.0</v>
      </c>
      <c r="J2063" s="14">
        <v>2.0</v>
      </c>
      <c r="K2063" s="9" t="str">
        <f t="shared" si="258"/>
        <v>Twitter for iPhone</v>
      </c>
      <c r="L2063" s="15">
        <v>1695.0</v>
      </c>
      <c r="M2063" s="15">
        <v>519.0</v>
      </c>
      <c r="N2063" s="15">
        <v>13.0</v>
      </c>
      <c r="O2063" s="16"/>
      <c r="P2063" s="17">
        <v>41813.36864583333</v>
      </c>
      <c r="Q2063" s="10" t="s">
        <v>8881</v>
      </c>
      <c r="R2063" s="10" t="s">
        <v>8882</v>
      </c>
      <c r="S2063" s="11" t="s">
        <v>8883</v>
      </c>
      <c r="T2063" s="13"/>
      <c r="U2063" s="18" t="str">
        <f>HYPERLINK("https://pbs.twimg.com/profile_images/1143559683585843200/e-OsndRA.jpg","View")</f>
        <v>View</v>
      </c>
      <c r="V2063" s="13"/>
      <c r="W2063" s="13"/>
      <c r="X2063" s="13"/>
      <c r="Y2063" s="13"/>
      <c r="Z2063" s="13"/>
    </row>
    <row r="2064">
      <c r="A2064" s="8">
        <v>43848.19310185185</v>
      </c>
      <c r="B2064" s="9" t="str">
        <f>HYPERLINK("https://twitter.com/TheDevinaKaur","@TheDevinaKaur")</f>
        <v>@TheDevinaKaur</v>
      </c>
      <c r="C2064" s="10" t="s">
        <v>295</v>
      </c>
      <c r="D2064" s="10" t="s">
        <v>1483</v>
      </c>
      <c r="E2064" s="9" t="str">
        <f>HYPERLINK("https://twitter.com/TheDevinaKaur/status/1218467581981536256","1218467581981536256")</f>
        <v>1218467581981536256</v>
      </c>
      <c r="F2064" s="11" t="s">
        <v>1484</v>
      </c>
      <c r="G2064" s="11" t="s">
        <v>8884</v>
      </c>
      <c r="H2064" s="13"/>
      <c r="I2064" s="14">
        <v>2.0</v>
      </c>
      <c r="J2064" s="14">
        <v>0.0</v>
      </c>
      <c r="K2064" s="9" t="str">
        <f>HYPERLINK("https://postfity.com","Postfity.com")</f>
        <v>Postfity.com</v>
      </c>
      <c r="L2064" s="15">
        <v>7406.0</v>
      </c>
      <c r="M2064" s="15">
        <v>3869.0</v>
      </c>
      <c r="N2064" s="15">
        <v>36.0</v>
      </c>
      <c r="O2064" s="16"/>
      <c r="P2064" s="17">
        <v>42815.69490740741</v>
      </c>
      <c r="Q2064" s="10" t="s">
        <v>177</v>
      </c>
      <c r="R2064" s="10" t="s">
        <v>299</v>
      </c>
      <c r="S2064" s="11" t="s">
        <v>297</v>
      </c>
      <c r="T2064" s="13"/>
      <c r="U2064" s="18" t="str">
        <f>HYPERLINK("https://pbs.twimg.com/profile_images/1147663141389656064/dg9XFyFN.jpg","View")</f>
        <v>View</v>
      </c>
      <c r="V2064" s="13"/>
      <c r="W2064" s="13"/>
      <c r="X2064" s="13"/>
      <c r="Y2064" s="13"/>
      <c r="Z2064" s="13"/>
    </row>
    <row r="2065">
      <c r="A2065" s="8">
        <v>43848.19209490741</v>
      </c>
      <c r="B2065" s="9" t="str">
        <f>HYPERLINK("https://twitter.com/BluebellCare","@BluebellCare")</f>
        <v>@BluebellCare</v>
      </c>
      <c r="C2065" s="10" t="s">
        <v>8885</v>
      </c>
      <c r="D2065" s="10" t="s">
        <v>8886</v>
      </c>
      <c r="E2065" s="9" t="str">
        <f>HYPERLINK("https://twitter.com/BluebellCare/status/1218467217320353792","1218467217320353792")</f>
        <v>1218467217320353792</v>
      </c>
      <c r="F2065" s="11" t="s">
        <v>1919</v>
      </c>
      <c r="G2065" s="13"/>
      <c r="H2065" s="13"/>
      <c r="I2065" s="14">
        <v>12.0</v>
      </c>
      <c r="J2065" s="14">
        <v>13.0</v>
      </c>
      <c r="K2065" s="9" t="str">
        <f>HYPERLINK("http://twitter.com/download/iphone","Twitter for iPhone")</f>
        <v>Twitter for iPhone</v>
      </c>
      <c r="L2065" s="15">
        <v>4167.0</v>
      </c>
      <c r="M2065" s="15">
        <v>4224.0</v>
      </c>
      <c r="N2065" s="15">
        <v>95.0</v>
      </c>
      <c r="O2065" s="16"/>
      <c r="P2065" s="17">
        <v>40345.63172453704</v>
      </c>
      <c r="Q2065" s="10" t="s">
        <v>8887</v>
      </c>
      <c r="R2065" s="10" t="s">
        <v>8888</v>
      </c>
      <c r="S2065" s="11" t="s">
        <v>8889</v>
      </c>
      <c r="T2065" s="13"/>
      <c r="U2065" s="18" t="str">
        <f>HYPERLINK("https://pbs.twimg.com/profile_images/728238804021186561/yo1VUydF.jpg","View")</f>
        <v>View</v>
      </c>
      <c r="V2065" s="13"/>
      <c r="W2065" s="13"/>
      <c r="X2065" s="13"/>
      <c r="Y2065" s="13"/>
      <c r="Z2065" s="13"/>
    </row>
    <row r="2066">
      <c r="A2066" s="8">
        <v>43848.19172453704</v>
      </c>
      <c r="B2066" s="9" t="str">
        <f>HYPERLINK("https://twitter.com/Imheret45140132","@Imheret45140132")</f>
        <v>@Imheret45140132</v>
      </c>
      <c r="C2066" s="10" t="s">
        <v>828</v>
      </c>
      <c r="D2066" s="10" t="s">
        <v>8890</v>
      </c>
      <c r="E2066" s="9" t="str">
        <f>HYPERLINK("https://twitter.com/Imheret45140132/status/1218467085803835392","1218467085803835392")</f>
        <v>1218467085803835392</v>
      </c>
      <c r="F2066" s="13"/>
      <c r="G2066" s="13"/>
      <c r="H2066" s="13"/>
      <c r="I2066" s="14">
        <v>0.0</v>
      </c>
      <c r="J2066" s="14">
        <v>0.0</v>
      </c>
      <c r="K2066" s="9" t="str">
        <f>HYPERLINK("https://cheapbotsdonequick.com","Cheap Bots, Done Quick!")</f>
        <v>Cheap Bots, Done Quick!</v>
      </c>
      <c r="L2066" s="15">
        <v>14.0</v>
      </c>
      <c r="M2066" s="15">
        <v>0.0</v>
      </c>
      <c r="N2066" s="15">
        <v>0.0</v>
      </c>
      <c r="O2066" s="16"/>
      <c r="P2066" s="17">
        <v>43686.97521990741</v>
      </c>
      <c r="Q2066" s="13"/>
      <c r="R2066" s="10" t="s">
        <v>830</v>
      </c>
      <c r="S2066" s="13"/>
      <c r="T2066" s="13"/>
      <c r="U2066" s="18" t="str">
        <f>HYPERLINK("https://pbs.twimg.com/profile_images/1160030521675722753/4elwdbfT.jpg","View")</f>
        <v>View</v>
      </c>
      <c r="V2066" s="13"/>
      <c r="W2066" s="13"/>
      <c r="X2066" s="13"/>
      <c r="Y2066" s="13"/>
      <c r="Z2066" s="13"/>
    </row>
    <row r="2067">
      <c r="A2067" s="8">
        <v>43848.19163194444</v>
      </c>
      <c r="B2067" s="9" t="str">
        <f>HYPERLINK("https://twitter.com/fonye2k","@fonye2k")</f>
        <v>@fonye2k</v>
      </c>
      <c r="C2067" s="10" t="s">
        <v>8891</v>
      </c>
      <c r="D2067" s="10" t="s">
        <v>8892</v>
      </c>
      <c r="E2067" s="9" t="str">
        <f>HYPERLINK("https://twitter.com/fonye2k/status/1218467052404584449","1218467052404584449")</f>
        <v>1218467052404584449</v>
      </c>
      <c r="F2067" s="11" t="s">
        <v>8893</v>
      </c>
      <c r="G2067" s="13"/>
      <c r="H2067" s="13"/>
      <c r="I2067" s="14">
        <v>0.0</v>
      </c>
      <c r="J2067" s="14">
        <v>0.0</v>
      </c>
      <c r="K2067" s="9" t="str">
        <f>HYPERLINK("http://instagram.com","Instagram")</f>
        <v>Instagram</v>
      </c>
      <c r="L2067" s="15">
        <v>130.0</v>
      </c>
      <c r="M2067" s="15">
        <v>81.0</v>
      </c>
      <c r="N2067" s="15">
        <v>2.0</v>
      </c>
      <c r="O2067" s="16"/>
      <c r="P2067" s="17">
        <v>40368.60827546296</v>
      </c>
      <c r="Q2067" s="10" t="s">
        <v>2557</v>
      </c>
      <c r="R2067" s="10" t="s">
        <v>8894</v>
      </c>
      <c r="S2067" s="13"/>
      <c r="T2067" s="13"/>
      <c r="U2067" s="18" t="str">
        <f>HYPERLINK("https://pbs.twimg.com/profile_images/1096453371/DSC04269.JPG","View")</f>
        <v>View</v>
      </c>
      <c r="V2067" s="13"/>
      <c r="W2067" s="13"/>
      <c r="X2067" s="13"/>
      <c r="Y2067" s="13"/>
      <c r="Z2067" s="13"/>
    </row>
    <row r="2068">
      <c r="A2068" s="8">
        <v>43848.19153935185</v>
      </c>
      <c r="B2068" s="9" t="str">
        <f>HYPERLINK("https://twitter.com/MyHealthAfrica","@MyHealthAfrica")</f>
        <v>@MyHealthAfrica</v>
      </c>
      <c r="C2068" s="10" t="s">
        <v>8895</v>
      </c>
      <c r="D2068" s="10" t="s">
        <v>8896</v>
      </c>
      <c r="E2068" s="9" t="str">
        <f>HYPERLINK("https://twitter.com/MyHealthAfrica/status/1218467016069304322","1218467016069304322")</f>
        <v>1218467016069304322</v>
      </c>
      <c r="F2068" s="11" t="s">
        <v>8897</v>
      </c>
      <c r="G2068" s="11" t="s">
        <v>8898</v>
      </c>
      <c r="H2068" s="13"/>
      <c r="I2068" s="14">
        <v>1.0</v>
      </c>
      <c r="J2068" s="14">
        <v>3.0</v>
      </c>
      <c r="K2068" s="9" t="str">
        <f>HYPERLINK("https://mobile.twitter.com","Twitter Web App")</f>
        <v>Twitter Web App</v>
      </c>
      <c r="L2068" s="15">
        <v>42.0</v>
      </c>
      <c r="M2068" s="15">
        <v>11.0</v>
      </c>
      <c r="N2068" s="15">
        <v>0.0</v>
      </c>
      <c r="O2068" s="16"/>
      <c r="P2068" s="17">
        <v>43607.09471064815</v>
      </c>
      <c r="Q2068" s="10" t="s">
        <v>8190</v>
      </c>
      <c r="R2068" s="10" t="s">
        <v>8899</v>
      </c>
      <c r="S2068" s="11" t="s">
        <v>8897</v>
      </c>
      <c r="T2068" s="13"/>
      <c r="U2068" s="18" t="str">
        <f>HYPERLINK("https://pbs.twimg.com/profile_images/1131081462139281415/DTEQYL5m.jpg","View")</f>
        <v>View</v>
      </c>
      <c r="V2068" s="13"/>
      <c r="W2068" s="13"/>
      <c r="X2068" s="13"/>
      <c r="Y2068" s="13"/>
      <c r="Z2068" s="13"/>
    </row>
    <row r="2069">
      <c r="A2069" s="8">
        <v>43848.19116898148</v>
      </c>
      <c r="B2069" s="9" t="str">
        <f>HYPERLINK("https://twitter.com/JonHarvey64","@JonHarvey64")</f>
        <v>@JonHarvey64</v>
      </c>
      <c r="C2069" s="10" t="s">
        <v>115</v>
      </c>
      <c r="D2069" s="10" t="s">
        <v>8900</v>
      </c>
      <c r="E2069" s="9" t="str">
        <f>HYPERLINK("https://twitter.com/JonHarvey64/status/1218466880911966208","1218466880911966208")</f>
        <v>1218466880911966208</v>
      </c>
      <c r="F2069" s="13"/>
      <c r="G2069" s="11" t="s">
        <v>8901</v>
      </c>
      <c r="H2069" s="13"/>
      <c r="I2069" s="14">
        <v>4.0</v>
      </c>
      <c r="J2069" s="14">
        <v>19.0</v>
      </c>
      <c r="K2069" s="9" t="str">
        <f>HYPERLINK("http://twitter.com/download/android","Twitter for Android")</f>
        <v>Twitter for Android</v>
      </c>
      <c r="L2069" s="15">
        <v>3488.0</v>
      </c>
      <c r="M2069" s="15">
        <v>5002.0</v>
      </c>
      <c r="N2069" s="15">
        <v>28.0</v>
      </c>
      <c r="O2069" s="16"/>
      <c r="P2069" s="17">
        <v>41856.345358796294</v>
      </c>
      <c r="Q2069" s="10" t="s">
        <v>118</v>
      </c>
      <c r="R2069" s="10" t="s">
        <v>119</v>
      </c>
      <c r="S2069" s="13"/>
      <c r="T2069" s="13"/>
      <c r="U2069" s="18" t="str">
        <f>HYPERLINK("https://pbs.twimg.com/profile_images/1218409859223302144/AI9rxlhq.jpg","View")</f>
        <v>View</v>
      </c>
      <c r="V2069" s="13"/>
      <c r="W2069" s="13"/>
      <c r="X2069" s="13"/>
      <c r="Y2069" s="13"/>
      <c r="Z2069" s="13"/>
    </row>
    <row r="2070">
      <c r="A2070" s="8">
        <v>43848.18960648148</v>
      </c>
      <c r="B2070" s="9" t="str">
        <f>HYPERLINK("https://twitter.com/aftabnays","@aftabnays")</f>
        <v>@aftabnays</v>
      </c>
      <c r="C2070" s="10" t="s">
        <v>8902</v>
      </c>
      <c r="D2070" s="10" t="s">
        <v>8903</v>
      </c>
      <c r="E2070" s="9" t="str">
        <f>HYPERLINK("https://twitter.com/aftabnays/status/1218466316077731841","1218466316077731841")</f>
        <v>1218466316077731841</v>
      </c>
      <c r="F2070" s="13"/>
      <c r="G2070" s="13"/>
      <c r="H2070" s="13"/>
      <c r="I2070" s="14">
        <v>0.0</v>
      </c>
      <c r="J2070" s="14">
        <v>0.0</v>
      </c>
      <c r="K2070" s="9" t="str">
        <f t="shared" ref="K2070:K2071" si="259">HYPERLINK("https://mobile.twitter.com","Twitter Web App")</f>
        <v>Twitter Web App</v>
      </c>
      <c r="L2070" s="15">
        <v>909.0</v>
      </c>
      <c r="M2070" s="15">
        <v>1295.0</v>
      </c>
      <c r="N2070" s="15">
        <v>23.0</v>
      </c>
      <c r="O2070" s="16"/>
      <c r="P2070" s="17">
        <v>40273.443703703706</v>
      </c>
      <c r="Q2070" s="10" t="s">
        <v>8904</v>
      </c>
      <c r="R2070" s="10" t="s">
        <v>8905</v>
      </c>
      <c r="S2070" s="11" t="s">
        <v>8906</v>
      </c>
      <c r="T2070" s="13"/>
      <c r="U2070" s="18" t="str">
        <f>HYPERLINK("https://pbs.twimg.com/profile_images/1059398263164547072/oFjTA0CC.jpg","View")</f>
        <v>View</v>
      </c>
      <c r="V2070" s="13"/>
      <c r="W2070" s="13"/>
      <c r="X2070" s="13"/>
      <c r="Y2070" s="13"/>
      <c r="Z2070" s="13"/>
    </row>
    <row r="2071">
      <c r="A2071" s="8">
        <v>43848.18814814815</v>
      </c>
      <c r="B2071" s="9" t="str">
        <f>HYPERLINK("https://twitter.com/Pff_you_agaain","@Pff_you_agaain")</f>
        <v>@Pff_you_agaain</v>
      </c>
      <c r="C2071" s="10" t="s">
        <v>8907</v>
      </c>
      <c r="D2071" s="10" t="s">
        <v>238</v>
      </c>
      <c r="E2071" s="9" t="str">
        <f>HYPERLINK("https://twitter.com/Pff_you_agaain/status/1218465788203540485","1218465788203540485")</f>
        <v>1218465788203540485</v>
      </c>
      <c r="F2071" s="13"/>
      <c r="G2071" s="13"/>
      <c r="H2071" s="13"/>
      <c r="I2071" s="14">
        <v>0.0</v>
      </c>
      <c r="J2071" s="14">
        <v>0.0</v>
      </c>
      <c r="K2071" s="9" t="str">
        <f t="shared" si="259"/>
        <v>Twitter Web App</v>
      </c>
      <c r="L2071" s="15">
        <v>1904.0</v>
      </c>
      <c r="M2071" s="15">
        <v>1604.0</v>
      </c>
      <c r="N2071" s="15">
        <v>19.0</v>
      </c>
      <c r="O2071" s="16"/>
      <c r="P2071" s="17">
        <v>41464.26635416667</v>
      </c>
      <c r="Q2071" s="13"/>
      <c r="R2071" s="13"/>
      <c r="S2071" s="13"/>
      <c r="T2071" s="13"/>
      <c r="U2071" s="18" t="str">
        <f>HYPERLINK("https://pbs.twimg.com/profile_images/850112801964269568/UFammK27.jpg","View")</f>
        <v>View</v>
      </c>
      <c r="V2071" s="13"/>
      <c r="W2071" s="13"/>
      <c r="X2071" s="13"/>
      <c r="Y2071" s="13"/>
      <c r="Z2071" s="13"/>
    </row>
    <row r="2072">
      <c r="A2072" s="8">
        <v>43848.187685185185</v>
      </c>
      <c r="B2072" s="9" t="str">
        <f>HYPERLINK("https://twitter.com/ZimZam27228360","@ZimZam27228360")</f>
        <v>@ZimZam27228360</v>
      </c>
      <c r="C2072" s="10" t="s">
        <v>8908</v>
      </c>
      <c r="D2072" s="10" t="s">
        <v>8909</v>
      </c>
      <c r="E2072" s="9" t="str">
        <f>HYPERLINK("https://twitter.com/ZimZam27228360/status/1218465621446402050","1218465621446402050")</f>
        <v>1218465621446402050</v>
      </c>
      <c r="F2072" s="11" t="s">
        <v>8910</v>
      </c>
      <c r="G2072" s="11" t="s">
        <v>8911</v>
      </c>
      <c r="H2072" s="13"/>
      <c r="I2072" s="14">
        <v>0.0</v>
      </c>
      <c r="J2072" s="14">
        <v>0.0</v>
      </c>
      <c r="K2072" s="9" t="str">
        <f>HYPERLINK("https://www.hootsuite.com","Hootsuite Inc.")</f>
        <v>Hootsuite Inc.</v>
      </c>
      <c r="L2072" s="15">
        <v>1.0</v>
      </c>
      <c r="M2072" s="15">
        <v>1.0</v>
      </c>
      <c r="N2072" s="15">
        <v>0.0</v>
      </c>
      <c r="O2072" s="16"/>
      <c r="P2072" s="17">
        <v>43815.189733796295</v>
      </c>
      <c r="Q2072" s="13"/>
      <c r="R2072" s="13"/>
      <c r="S2072" s="13"/>
      <c r="T2072" s="13"/>
      <c r="U2072" s="18" t="str">
        <f>HYPERLINK("https://pbs.twimg.com/profile_images/1206507672104849408/CTAxIVRC.jpg","View")</f>
        <v>View</v>
      </c>
      <c r="V2072" s="13"/>
      <c r="W2072" s="13"/>
      <c r="X2072" s="13"/>
      <c r="Y2072" s="13"/>
      <c r="Z2072" s="13"/>
    </row>
    <row r="2073">
      <c r="A2073" s="8">
        <v>43848.18761574074</v>
      </c>
      <c r="B2073" s="9" t="str">
        <f>HYPERLINK("https://twitter.com/Diabetescouk","@Diabetescouk")</f>
        <v>@Diabetescouk</v>
      </c>
      <c r="C2073" s="10" t="s">
        <v>8912</v>
      </c>
      <c r="D2073" s="10" t="s">
        <v>8913</v>
      </c>
      <c r="E2073" s="9" t="str">
        <f>HYPERLINK("https://twitter.com/Diabetescouk/status/1218465594800050180","1218465594800050180")</f>
        <v>1218465594800050180</v>
      </c>
      <c r="F2073" s="11" t="s">
        <v>8914</v>
      </c>
      <c r="G2073" s="13"/>
      <c r="H2073" s="13"/>
      <c r="I2073" s="14">
        <v>5.0</v>
      </c>
      <c r="J2073" s="14">
        <v>12.0</v>
      </c>
      <c r="K2073" s="9" t="str">
        <f t="shared" ref="K2073:K2074" si="260">HYPERLINK("https://buffer.com","Buffer")</f>
        <v>Buffer</v>
      </c>
      <c r="L2073" s="15">
        <v>59458.0</v>
      </c>
      <c r="M2073" s="15">
        <v>3816.0</v>
      </c>
      <c r="N2073" s="15">
        <v>577.0</v>
      </c>
      <c r="O2073" s="21" t="s">
        <v>522</v>
      </c>
      <c r="P2073" s="17">
        <v>39884.19777777778</v>
      </c>
      <c r="Q2073" s="10" t="s">
        <v>8915</v>
      </c>
      <c r="R2073" s="10" t="s">
        <v>8916</v>
      </c>
      <c r="S2073" s="13"/>
      <c r="T2073" s="13"/>
      <c r="U2073" s="18" t="str">
        <f>HYPERLINK("https://pbs.twimg.com/profile_images/534655960430567424/PfbMsDMs.png","View")</f>
        <v>View</v>
      </c>
      <c r="V2073" s="13"/>
      <c r="W2073" s="13"/>
      <c r="X2073" s="13"/>
      <c r="Y2073" s="13"/>
      <c r="Z2073" s="13"/>
    </row>
    <row r="2074">
      <c r="A2074" s="8">
        <v>43848.18760416667</v>
      </c>
      <c r="B2074" s="9" t="str">
        <f>HYPERLINK("https://twitter.com/SeoulSteve","@SeoulSteve")</f>
        <v>@SeoulSteve</v>
      </c>
      <c r="C2074" s="10" t="s">
        <v>8917</v>
      </c>
      <c r="D2074" s="10" t="s">
        <v>8918</v>
      </c>
      <c r="E2074" s="9" t="str">
        <f>HYPERLINK("https://twitter.com/SeoulSteve/status/1218465590446346240","1218465590446346240")</f>
        <v>1218465590446346240</v>
      </c>
      <c r="F2074" s="11" t="s">
        <v>8919</v>
      </c>
      <c r="G2074" s="11" t="s">
        <v>8920</v>
      </c>
      <c r="H2074" s="13"/>
      <c r="I2074" s="14">
        <v>0.0</v>
      </c>
      <c r="J2074" s="14">
        <v>0.0</v>
      </c>
      <c r="K2074" s="9" t="str">
        <f t="shared" si="260"/>
        <v>Buffer</v>
      </c>
      <c r="L2074" s="15">
        <v>970.0</v>
      </c>
      <c r="M2074" s="15">
        <v>858.0</v>
      </c>
      <c r="N2074" s="15">
        <v>204.0</v>
      </c>
      <c r="O2074" s="16"/>
      <c r="P2074" s="17">
        <v>40021.06517361111</v>
      </c>
      <c r="Q2074" s="10" t="s">
        <v>8921</v>
      </c>
      <c r="R2074" s="10" t="s">
        <v>8922</v>
      </c>
      <c r="S2074" s="11" t="s">
        <v>8923</v>
      </c>
      <c r="T2074" s="13"/>
      <c r="U2074" s="18" t="str">
        <f>HYPERLINK("https://pbs.twimg.com/profile_images/735623883114434560/UD2rh7m8.jpg","View")</f>
        <v>View</v>
      </c>
      <c r="V2074" s="13"/>
      <c r="W2074" s="13"/>
      <c r="X2074" s="13"/>
      <c r="Y2074" s="13"/>
      <c r="Z2074" s="13"/>
    </row>
    <row r="2075">
      <c r="A2075" s="8">
        <v>43848.18618055555</v>
      </c>
      <c r="B2075" s="9" t="str">
        <f>HYPERLINK("https://twitter.com/Organecoltd","@Organecoltd")</f>
        <v>@Organecoltd</v>
      </c>
      <c r="C2075" s="10" t="s">
        <v>8924</v>
      </c>
      <c r="D2075" s="10" t="s">
        <v>8925</v>
      </c>
      <c r="E2075" s="9" t="str">
        <f>HYPERLINK("https://twitter.com/Organecoltd/status/1218465074651848704","1218465074651848704")</f>
        <v>1218465074651848704</v>
      </c>
      <c r="F2075" s="13"/>
      <c r="G2075" s="11" t="s">
        <v>8926</v>
      </c>
      <c r="H2075" s="13"/>
      <c r="I2075" s="14">
        <v>0.0</v>
      </c>
      <c r="J2075" s="14">
        <v>0.0</v>
      </c>
      <c r="K2075" s="9" t="str">
        <f>HYPERLINK("http://twitter.com/download/iphone","Twitter for iPhone")</f>
        <v>Twitter for iPhone</v>
      </c>
      <c r="L2075" s="15">
        <v>103.0</v>
      </c>
      <c r="M2075" s="15">
        <v>536.0</v>
      </c>
      <c r="N2075" s="15">
        <v>0.0</v>
      </c>
      <c r="O2075" s="16"/>
      <c r="P2075" s="17">
        <v>43733.66348379629</v>
      </c>
      <c r="Q2075" s="13"/>
      <c r="R2075" s="10" t="s">
        <v>8927</v>
      </c>
      <c r="S2075" s="11" t="s">
        <v>8928</v>
      </c>
      <c r="T2075" s="13"/>
      <c r="U2075" s="18" t="str">
        <f>HYPERLINK("https://pbs.twimg.com/profile_images/1176948440380649475/7sz_MqbO.jpg","View")</f>
        <v>View</v>
      </c>
      <c r="V2075" s="13"/>
      <c r="W2075" s="13"/>
      <c r="X2075" s="13"/>
      <c r="Y2075" s="13"/>
      <c r="Z2075" s="13"/>
    </row>
    <row r="2076">
      <c r="A2076" s="8">
        <v>43848.186064814814</v>
      </c>
      <c r="B2076" s="9" t="str">
        <f>HYPERLINK("https://twitter.com/sta_ce","@sta_ce")</f>
        <v>@sta_ce</v>
      </c>
      <c r="C2076" s="10" t="s">
        <v>8929</v>
      </c>
      <c r="D2076" s="10" t="s">
        <v>8930</v>
      </c>
      <c r="E2076" s="9" t="str">
        <f>HYPERLINK("https://twitter.com/sta_ce/status/1218465034872881152","1218465034872881152")</f>
        <v>1218465034872881152</v>
      </c>
      <c r="F2076" s="11" t="s">
        <v>8931</v>
      </c>
      <c r="G2076" s="13"/>
      <c r="H2076" s="9" t="str">
        <f>HYPERLINK("https://ctrlq.org/maps/address/#52.6333,-1.13333","Map")</f>
        <v>Map</v>
      </c>
      <c r="I2076" s="14">
        <v>0.0</v>
      </c>
      <c r="J2076" s="14">
        <v>0.0</v>
      </c>
      <c r="K2076" s="9" t="str">
        <f>HYPERLINK("http://instagram.com","Instagram")</f>
        <v>Instagram</v>
      </c>
      <c r="L2076" s="15">
        <v>61.0</v>
      </c>
      <c r="M2076" s="15">
        <v>126.0</v>
      </c>
      <c r="N2076" s="15">
        <v>1.0</v>
      </c>
      <c r="O2076" s="16"/>
      <c r="P2076" s="17">
        <v>39871.248402777775</v>
      </c>
      <c r="Q2076" s="10" t="s">
        <v>7312</v>
      </c>
      <c r="R2076" s="10" t="s">
        <v>8932</v>
      </c>
      <c r="S2076" s="13"/>
      <c r="T2076" s="13"/>
      <c r="U2076" s="18" t="str">
        <f>HYPERLINK("https://pbs.twimg.com/profile_images/1073549167383986176/AWGp28hV.jpg","View")</f>
        <v>View</v>
      </c>
      <c r="V2076" s="13"/>
      <c r="W2076" s="13"/>
      <c r="X2076" s="13"/>
      <c r="Y2076" s="13"/>
      <c r="Z2076" s="13"/>
    </row>
    <row r="2077">
      <c r="A2077" s="8">
        <v>43848.18541666667</v>
      </c>
      <c r="B2077" s="9" t="str">
        <f>HYPERLINK("https://twitter.com/UniMelbMDHS","@UniMelbMDHS")</f>
        <v>@UniMelbMDHS</v>
      </c>
      <c r="C2077" s="10" t="s">
        <v>8933</v>
      </c>
      <c r="D2077" s="10" t="s">
        <v>8934</v>
      </c>
      <c r="E2077" s="9" t="str">
        <f>HYPERLINK("https://twitter.com/UniMelbMDHS/status/1218464798507184128","1218464798507184128")</f>
        <v>1218464798507184128</v>
      </c>
      <c r="F2077" s="11" t="s">
        <v>8935</v>
      </c>
      <c r="G2077" s="13"/>
      <c r="H2077" s="13"/>
      <c r="I2077" s="14">
        <v>1.0</v>
      </c>
      <c r="J2077" s="14">
        <v>5.0</v>
      </c>
      <c r="K2077" s="9" t="str">
        <f>HYPERLINK("https://sproutsocial.com","Sprout Social")</f>
        <v>Sprout Social</v>
      </c>
      <c r="L2077" s="15">
        <v>6935.0</v>
      </c>
      <c r="M2077" s="15">
        <v>1271.0</v>
      </c>
      <c r="N2077" s="15">
        <v>92.0</v>
      </c>
      <c r="O2077" s="16"/>
      <c r="P2077" s="17">
        <v>41091.90212962963</v>
      </c>
      <c r="Q2077" s="10" t="s">
        <v>728</v>
      </c>
      <c r="R2077" s="10" t="s">
        <v>8936</v>
      </c>
      <c r="S2077" s="11" t="s">
        <v>8937</v>
      </c>
      <c r="T2077" s="13"/>
      <c r="U2077" s="18" t="str">
        <f>HYPERLINK("https://pbs.twimg.com/profile_images/884659675110580224/qvoJsnuq.jpg","View")</f>
        <v>View</v>
      </c>
      <c r="V2077" s="13"/>
      <c r="W2077" s="13"/>
      <c r="X2077" s="13"/>
      <c r="Y2077" s="13"/>
      <c r="Z2077" s="13"/>
    </row>
    <row r="2078">
      <c r="A2078" s="8">
        <v>43848.184953703705</v>
      </c>
      <c r="B2078" s="9" t="str">
        <f>HYPERLINK("https://twitter.com/SarahKay7","@SarahKay7")</f>
        <v>@SarahKay7</v>
      </c>
      <c r="C2078" s="10" t="s">
        <v>8938</v>
      </c>
      <c r="D2078" s="10" t="s">
        <v>8939</v>
      </c>
      <c r="E2078" s="9" t="str">
        <f>HYPERLINK("https://twitter.com/SarahKay7/status/1218464631703863302","1218464631703863302")</f>
        <v>1218464631703863302</v>
      </c>
      <c r="F2078" s="10" t="s">
        <v>8940</v>
      </c>
      <c r="G2078" s="13"/>
      <c r="H2078" s="13"/>
      <c r="I2078" s="14">
        <v>0.0</v>
      </c>
      <c r="J2078" s="14">
        <v>3.0</v>
      </c>
      <c r="K2078" s="9" t="str">
        <f>HYPERLINK("http://twitter.com/download/iphone","Twitter for iPhone")</f>
        <v>Twitter for iPhone</v>
      </c>
      <c r="L2078" s="15">
        <v>33.0</v>
      </c>
      <c r="M2078" s="15">
        <v>74.0</v>
      </c>
      <c r="N2078" s="15">
        <v>0.0</v>
      </c>
      <c r="O2078" s="16"/>
      <c r="P2078" s="17">
        <v>40478.31548611111</v>
      </c>
      <c r="Q2078" s="10" t="s">
        <v>2737</v>
      </c>
      <c r="R2078" s="10" t="s">
        <v>8941</v>
      </c>
      <c r="S2078" s="13"/>
      <c r="T2078" s="13"/>
      <c r="U2078" s="18" t="str">
        <f>HYPERLINK("https://pbs.twimg.com/profile_images/1182313011924668416/aEktzw7G.jpg","View")</f>
        <v>View</v>
      </c>
      <c r="V2078" s="13"/>
      <c r="W2078" s="13"/>
      <c r="X2078" s="13"/>
      <c r="Y2078" s="13"/>
      <c r="Z2078" s="13"/>
    </row>
    <row r="2079">
      <c r="A2079" s="8">
        <v>43848.18472222222</v>
      </c>
      <c r="B2079" s="9" t="str">
        <f>HYPERLINK("https://twitter.com/SUNnetworkCambs","@SUNnetworkCambs")</f>
        <v>@SUNnetworkCambs</v>
      </c>
      <c r="C2079" s="10" t="s">
        <v>8942</v>
      </c>
      <c r="D2079" s="10" t="s">
        <v>8943</v>
      </c>
      <c r="E2079" s="9" t="str">
        <f>HYPERLINK("https://twitter.com/SUNnetworkCambs/status/1218464548212002817","1218464548212002817")</f>
        <v>1218464548212002817</v>
      </c>
      <c r="F2079" s="13"/>
      <c r="G2079" s="11" t="s">
        <v>8944</v>
      </c>
      <c r="H2079" s="13"/>
      <c r="I2079" s="14">
        <v>0.0</v>
      </c>
      <c r="J2079" s="14">
        <v>1.0</v>
      </c>
      <c r="K2079" s="9" t="str">
        <f>HYPERLINK("https://social.zoho.com","Zoho Social")</f>
        <v>Zoho Social</v>
      </c>
      <c r="L2079" s="15">
        <v>1104.0</v>
      </c>
      <c r="M2079" s="15">
        <v>1482.0</v>
      </c>
      <c r="N2079" s="15">
        <v>17.0</v>
      </c>
      <c r="O2079" s="16"/>
      <c r="P2079" s="17">
        <v>41257.25612268518</v>
      </c>
      <c r="Q2079" s="10" t="s">
        <v>8945</v>
      </c>
      <c r="R2079" s="10" t="s">
        <v>8946</v>
      </c>
      <c r="S2079" s="11" t="s">
        <v>8947</v>
      </c>
      <c r="T2079" s="13"/>
      <c r="U2079" s="18" t="str">
        <f>HYPERLINK("https://pbs.twimg.com/profile_images/1049939866182651905/bsIxyVT5.jpg","View")</f>
        <v>View</v>
      </c>
      <c r="V2079" s="13"/>
      <c r="W2079" s="13"/>
      <c r="X2079" s="13"/>
      <c r="Y2079" s="13"/>
      <c r="Z2079" s="13"/>
    </row>
    <row r="2080">
      <c r="A2080" s="8">
        <v>43848.184710648144</v>
      </c>
      <c r="B2080" s="9" t="str">
        <f>HYPERLINK("https://twitter.com/NAHS_JohnCurrie","@NAHS_JohnCurrie")</f>
        <v>@NAHS_JohnCurrie</v>
      </c>
      <c r="C2080" s="10" t="s">
        <v>8948</v>
      </c>
      <c r="D2080" s="10" t="s">
        <v>8949</v>
      </c>
      <c r="E2080" s="9" t="str">
        <f>HYPERLINK("https://twitter.com/NAHS_JohnCurrie/status/1218464542403047426","1218464542403047426")</f>
        <v>1218464542403047426</v>
      </c>
      <c r="F2080" s="13"/>
      <c r="G2080" s="13"/>
      <c r="H2080" s="13"/>
      <c r="I2080" s="14">
        <v>2.0</v>
      </c>
      <c r="J2080" s="14">
        <v>5.0</v>
      </c>
      <c r="K2080" s="9" t="str">
        <f t="shared" ref="K2080:K2081" si="261">HYPERLINK("http://twitter.com/download/android","Twitter for Android")</f>
        <v>Twitter for Android</v>
      </c>
      <c r="L2080" s="15">
        <v>224.0</v>
      </c>
      <c r="M2080" s="15">
        <v>207.0</v>
      </c>
      <c r="N2080" s="15">
        <v>3.0</v>
      </c>
      <c r="O2080" s="16"/>
      <c r="P2080" s="17">
        <v>43182.4827662037</v>
      </c>
      <c r="Q2080" s="13"/>
      <c r="R2080" s="13"/>
      <c r="S2080" s="13"/>
      <c r="T2080" s="13"/>
      <c r="U2080" s="18" t="str">
        <f>HYPERLINK("https://pbs.twimg.com/profile_images/977717890156843010/jK_cA13C.jpg","View")</f>
        <v>View</v>
      </c>
      <c r="V2080" s="13"/>
      <c r="W2080" s="13"/>
      <c r="X2080" s="13"/>
      <c r="Y2080" s="13"/>
      <c r="Z2080" s="13"/>
    </row>
    <row r="2081">
      <c r="A2081" s="8">
        <v>43848.18452546296</v>
      </c>
      <c r="B2081" s="9" t="str">
        <f>HYPERLINK("https://twitter.com/DrJawahars","@DrJawahars")</f>
        <v>@DrJawahars</v>
      </c>
      <c r="C2081" s="10" t="s">
        <v>8950</v>
      </c>
      <c r="D2081" s="10" t="s">
        <v>8951</v>
      </c>
      <c r="E2081" s="9" t="str">
        <f>HYPERLINK("https://twitter.com/DrJawahars/status/1218464473406566405","1218464473406566405")</f>
        <v>1218464473406566405</v>
      </c>
      <c r="F2081" s="13"/>
      <c r="G2081" s="11" t="s">
        <v>8952</v>
      </c>
      <c r="H2081" s="13"/>
      <c r="I2081" s="14">
        <v>8.0</v>
      </c>
      <c r="J2081" s="14">
        <v>12.0</v>
      </c>
      <c r="K2081" s="9" t="str">
        <f t="shared" si="261"/>
        <v>Twitter for Android</v>
      </c>
      <c r="L2081" s="15">
        <v>786.0</v>
      </c>
      <c r="M2081" s="15">
        <v>192.0</v>
      </c>
      <c r="N2081" s="15">
        <v>2.0</v>
      </c>
      <c r="O2081" s="16"/>
      <c r="P2081" s="17">
        <v>43237.69292824074</v>
      </c>
      <c r="Q2081" s="10" t="s">
        <v>8953</v>
      </c>
      <c r="R2081" s="10" t="s">
        <v>8954</v>
      </c>
      <c r="S2081" s="11" t="s">
        <v>8955</v>
      </c>
      <c r="T2081" s="13"/>
      <c r="U2081" s="18" t="str">
        <f>HYPERLINK("https://pbs.twimg.com/profile_images/1218488175556841472/2lWW6-Si.jpg","View")</f>
        <v>View</v>
      </c>
      <c r="V2081" s="13"/>
      <c r="W2081" s="13"/>
      <c r="X2081" s="13"/>
      <c r="Y2081" s="13"/>
      <c r="Z2081" s="13"/>
    </row>
    <row r="2082">
      <c r="A2082" s="8">
        <v>43848.18436342593</v>
      </c>
      <c r="B2082" s="9" t="str">
        <f>HYPERLINK("https://twitter.com/profsiobhanon","@profsiobhanon")</f>
        <v>@profsiobhanon</v>
      </c>
      <c r="C2082" s="10" t="s">
        <v>8956</v>
      </c>
      <c r="D2082" s="10" t="s">
        <v>8957</v>
      </c>
      <c r="E2082" s="9" t="str">
        <f>HYPERLINK("https://twitter.com/profsiobhanon/status/1218464417580449792","1218464417580449792")</f>
        <v>1218464417580449792</v>
      </c>
      <c r="F2082" s="10" t="s">
        <v>8958</v>
      </c>
      <c r="G2082" s="13"/>
      <c r="H2082" s="13"/>
      <c r="I2082" s="14">
        <v>5.0</v>
      </c>
      <c r="J2082" s="14">
        <v>28.0</v>
      </c>
      <c r="K2082" s="9" t="str">
        <f t="shared" ref="K2082:K2084" si="262">HYPERLINK("http://twitter.com/download/iphone","Twitter for iPhone")</f>
        <v>Twitter for iPhone</v>
      </c>
      <c r="L2082" s="15">
        <v>8569.0</v>
      </c>
      <c r="M2082" s="15">
        <v>5820.0</v>
      </c>
      <c r="N2082" s="15">
        <v>103.0</v>
      </c>
      <c r="O2082" s="16"/>
      <c r="P2082" s="17">
        <v>40017.43984953704</v>
      </c>
      <c r="Q2082" s="10" t="s">
        <v>8959</v>
      </c>
      <c r="R2082" s="10" t="s">
        <v>8960</v>
      </c>
      <c r="S2082" s="11" t="s">
        <v>8961</v>
      </c>
      <c r="T2082" s="13"/>
      <c r="U2082" s="18" t="str">
        <f>HYPERLINK("https://pbs.twimg.com/profile_images/1204154823303737347/stz-L9BT.jpg","View")</f>
        <v>View</v>
      </c>
      <c r="V2082" s="13"/>
      <c r="W2082" s="13"/>
      <c r="X2082" s="13"/>
      <c r="Y2082" s="13"/>
      <c r="Z2082" s="13"/>
    </row>
    <row r="2083">
      <c r="A2083" s="8">
        <v>43848.18429398148</v>
      </c>
      <c r="B2083" s="9" t="str">
        <f>HYPERLINK("https://twitter.com/black_wife","@black_wife")</f>
        <v>@black_wife</v>
      </c>
      <c r="C2083" s="10" t="s">
        <v>8962</v>
      </c>
      <c r="D2083" s="10" t="s">
        <v>8963</v>
      </c>
      <c r="E2083" s="9" t="str">
        <f>HYPERLINK("https://twitter.com/black_wife/status/1218464390560829440","1218464390560829440")</f>
        <v>1218464390560829440</v>
      </c>
      <c r="F2083" s="13"/>
      <c r="G2083" s="13"/>
      <c r="H2083" s="13"/>
      <c r="I2083" s="14">
        <v>0.0</v>
      </c>
      <c r="J2083" s="14">
        <v>1.0</v>
      </c>
      <c r="K2083" s="9" t="str">
        <f t="shared" si="262"/>
        <v>Twitter for iPhone</v>
      </c>
      <c r="L2083" s="15">
        <v>4.0</v>
      </c>
      <c r="M2083" s="15">
        <v>11.0</v>
      </c>
      <c r="N2083" s="15">
        <v>0.0</v>
      </c>
      <c r="O2083" s="16"/>
      <c r="P2083" s="17">
        <v>43630.563368055555</v>
      </c>
      <c r="Q2083" s="13"/>
      <c r="R2083" s="10" t="s">
        <v>8964</v>
      </c>
      <c r="S2083" s="13"/>
      <c r="T2083" s="13"/>
      <c r="U2083" s="18" t="str">
        <f>HYPERLINK("https://pbs.twimg.com/profile_images/1139586904972812290/SQD1azKl.jpg","View")</f>
        <v>View</v>
      </c>
      <c r="V2083" s="13"/>
      <c r="W2083" s="13"/>
      <c r="X2083" s="13"/>
      <c r="Y2083" s="13"/>
      <c r="Z2083" s="13"/>
    </row>
    <row r="2084">
      <c r="A2084" s="8">
        <v>43848.18361111111</v>
      </c>
      <c r="B2084" s="9" t="str">
        <f>HYPERLINK("https://twitter.com/ali_j89","@ali_j89")</f>
        <v>@ali_j89</v>
      </c>
      <c r="C2084" s="10" t="s">
        <v>8965</v>
      </c>
      <c r="D2084" s="10" t="s">
        <v>238</v>
      </c>
      <c r="E2084" s="9" t="str">
        <f>HYPERLINK("https://twitter.com/ali_j89/status/1218464144892088320","1218464144892088320")</f>
        <v>1218464144892088320</v>
      </c>
      <c r="F2084" s="13"/>
      <c r="G2084" s="13"/>
      <c r="H2084" s="13"/>
      <c r="I2084" s="14">
        <v>0.0</v>
      </c>
      <c r="J2084" s="14">
        <v>0.0</v>
      </c>
      <c r="K2084" s="9" t="str">
        <f t="shared" si="262"/>
        <v>Twitter for iPhone</v>
      </c>
      <c r="L2084" s="15">
        <v>202.0</v>
      </c>
      <c r="M2084" s="15">
        <v>1587.0</v>
      </c>
      <c r="N2084" s="15">
        <v>4.0</v>
      </c>
      <c r="O2084" s="16"/>
      <c r="P2084" s="17">
        <v>42130.33641203704</v>
      </c>
      <c r="Q2084" s="10" t="s">
        <v>8966</v>
      </c>
      <c r="R2084" s="10" t="s">
        <v>8967</v>
      </c>
      <c r="S2084" s="11" t="s">
        <v>8968</v>
      </c>
      <c r="T2084" s="13"/>
      <c r="U2084" s="18" t="str">
        <f>HYPERLINK("https://pbs.twimg.com/profile_images/1218503002891354112/gLlEVUnn.jpg","View")</f>
        <v>View</v>
      </c>
      <c r="V2084" s="13"/>
      <c r="W2084" s="13"/>
      <c r="X2084" s="13"/>
      <c r="Y2084" s="13"/>
      <c r="Z2084" s="13"/>
    </row>
    <row r="2085">
      <c r="A2085" s="8">
        <v>43848.18342592593</v>
      </c>
      <c r="B2085" s="9" t="str">
        <f>HYPERLINK("https://twitter.com/BarnesGeorge7","@BarnesGeorge7")</f>
        <v>@BarnesGeorge7</v>
      </c>
      <c r="C2085" s="10" t="s">
        <v>4496</v>
      </c>
      <c r="D2085" s="10" t="s">
        <v>8969</v>
      </c>
      <c r="E2085" s="9" t="str">
        <f>HYPERLINK("https://twitter.com/BarnesGeorge7/status/1218464077867028480","1218464077867028480")</f>
        <v>1218464077867028480</v>
      </c>
      <c r="F2085" s="11" t="s">
        <v>8970</v>
      </c>
      <c r="G2085" s="11" t="s">
        <v>8971</v>
      </c>
      <c r="H2085" s="13"/>
      <c r="I2085" s="14">
        <v>0.0</v>
      </c>
      <c r="J2085" s="14">
        <v>1.0</v>
      </c>
      <c r="K2085" s="9" t="str">
        <f>HYPERLINK("https://mobile.twitter.com","Twitter Web App")</f>
        <v>Twitter Web App</v>
      </c>
      <c r="L2085" s="15">
        <v>5.0</v>
      </c>
      <c r="M2085" s="15">
        <v>6.0</v>
      </c>
      <c r="N2085" s="15">
        <v>0.0</v>
      </c>
      <c r="O2085" s="16"/>
      <c r="P2085" s="17">
        <v>43844.3974537037</v>
      </c>
      <c r="Q2085" s="10" t="s">
        <v>2323</v>
      </c>
      <c r="R2085" s="10" t="s">
        <v>4500</v>
      </c>
      <c r="S2085" s="11" t="s">
        <v>4501</v>
      </c>
      <c r="T2085" s="13"/>
      <c r="U2085" s="18" t="str">
        <f>HYPERLINK("https://pbs.twimg.com/profile_images/1217092596247465985/M4LUqFcc.jpg","View")</f>
        <v>View</v>
      </c>
      <c r="V2085" s="13"/>
      <c r="W2085" s="13"/>
      <c r="X2085" s="13"/>
      <c r="Y2085" s="13"/>
      <c r="Z2085" s="13"/>
    </row>
    <row r="2086">
      <c r="A2086" s="8">
        <v>43848.18332175926</v>
      </c>
      <c r="B2086" s="9" t="str">
        <f>HYPERLINK("https://twitter.com/Depress56444838","@Depress56444838")</f>
        <v>@Depress56444838</v>
      </c>
      <c r="C2086" s="10" t="s">
        <v>1893</v>
      </c>
      <c r="D2086" s="10" t="s">
        <v>8972</v>
      </c>
      <c r="E2086" s="9" t="str">
        <f>HYPERLINK("https://twitter.com/Depress56444838/status/1218464039849943040","1218464039849943040")</f>
        <v>1218464039849943040</v>
      </c>
      <c r="F2086" s="13"/>
      <c r="G2086" s="11" t="s">
        <v>8973</v>
      </c>
      <c r="H2086" s="13"/>
      <c r="I2086" s="14">
        <v>0.0</v>
      </c>
      <c r="J2086" s="14">
        <v>0.0</v>
      </c>
      <c r="K2086" s="9" t="str">
        <f>HYPERLINK("http://twitter.com/download/iphone","Twitter for iPhone")</f>
        <v>Twitter for iPhone</v>
      </c>
      <c r="L2086" s="15">
        <v>4.0</v>
      </c>
      <c r="M2086" s="15">
        <v>9.0</v>
      </c>
      <c r="N2086" s="15">
        <v>0.0</v>
      </c>
      <c r="O2086" s="16"/>
      <c r="P2086" s="17">
        <v>43847.57686342593</v>
      </c>
      <c r="Q2086" s="13"/>
      <c r="R2086" s="10" t="s">
        <v>1895</v>
      </c>
      <c r="S2086" s="13"/>
      <c r="T2086" s="13"/>
      <c r="U2086" s="21" t="s">
        <v>292</v>
      </c>
      <c r="V2086" s="13"/>
      <c r="W2086" s="13"/>
      <c r="X2086" s="13"/>
      <c r="Y2086" s="13"/>
      <c r="Z2086" s="13"/>
    </row>
    <row r="2087">
      <c r="A2087" s="8">
        <v>43848.18319444444</v>
      </c>
      <c r="B2087" s="9" t="str">
        <f>HYPERLINK("https://twitter.com/AnnaWrestler","@AnnaWrestler")</f>
        <v>@AnnaWrestler</v>
      </c>
      <c r="C2087" s="10" t="s">
        <v>2516</v>
      </c>
      <c r="D2087" s="10" t="s">
        <v>8974</v>
      </c>
      <c r="E2087" s="9" t="str">
        <f>HYPERLINK("https://twitter.com/AnnaWrestler/status/1218463992018018304","1218463992018018304")</f>
        <v>1218463992018018304</v>
      </c>
      <c r="F2087" s="11" t="s">
        <v>8975</v>
      </c>
      <c r="G2087" s="13"/>
      <c r="H2087" s="13"/>
      <c r="I2087" s="14">
        <v>0.0</v>
      </c>
      <c r="J2087" s="14">
        <v>1.0</v>
      </c>
      <c r="K2087" s="9" t="str">
        <f>HYPERLINK("https://mobile.twitter.com","Twitter Web App")</f>
        <v>Twitter Web App</v>
      </c>
      <c r="L2087" s="15">
        <v>6970.0</v>
      </c>
      <c r="M2087" s="15">
        <v>118.0</v>
      </c>
      <c r="N2087" s="15">
        <v>2.0</v>
      </c>
      <c r="O2087" s="16"/>
      <c r="P2087" s="17">
        <v>43371.192152777774</v>
      </c>
      <c r="Q2087" s="10" t="s">
        <v>2519</v>
      </c>
      <c r="R2087" s="10" t="s">
        <v>2520</v>
      </c>
      <c r="S2087" s="13"/>
      <c r="T2087" s="13"/>
      <c r="U2087" s="18" t="str">
        <f>HYPERLINK("https://pbs.twimg.com/profile_images/1109165661127876609/ep5yy2Wa.png","View")</f>
        <v>View</v>
      </c>
      <c r="V2087" s="13"/>
      <c r="W2087" s="13"/>
      <c r="X2087" s="13"/>
      <c r="Y2087" s="13"/>
      <c r="Z2087" s="13"/>
    </row>
    <row r="2088">
      <c r="A2088" s="8">
        <v>43848.18216435185</v>
      </c>
      <c r="B2088" s="9" t="str">
        <f>HYPERLINK("https://twitter.com/RossAdam10","@RossAdam10")</f>
        <v>@RossAdam10</v>
      </c>
      <c r="C2088" s="10" t="s">
        <v>8976</v>
      </c>
      <c r="D2088" s="10" t="s">
        <v>8977</v>
      </c>
      <c r="E2088" s="9" t="str">
        <f>HYPERLINK("https://twitter.com/RossAdam10/status/1218463617399562241","1218463617399562241")</f>
        <v>1218463617399562241</v>
      </c>
      <c r="F2088" s="13"/>
      <c r="G2088" s="11" t="s">
        <v>8978</v>
      </c>
      <c r="H2088" s="13"/>
      <c r="I2088" s="14">
        <v>0.0</v>
      </c>
      <c r="J2088" s="14">
        <v>0.0</v>
      </c>
      <c r="K2088" s="9" t="str">
        <f t="shared" ref="K2088:K2089" si="263">HYPERLINK("http://twitter.com/download/iphone","Twitter for iPhone")</f>
        <v>Twitter for iPhone</v>
      </c>
      <c r="L2088" s="15">
        <v>0.0</v>
      </c>
      <c r="M2088" s="15">
        <v>4.0</v>
      </c>
      <c r="N2088" s="15">
        <v>0.0</v>
      </c>
      <c r="O2088" s="16"/>
      <c r="P2088" s="17">
        <v>42946.59270833334</v>
      </c>
      <c r="Q2088" s="10" t="s">
        <v>8979</v>
      </c>
      <c r="R2088" s="10" t="s">
        <v>8980</v>
      </c>
      <c r="S2088" s="13"/>
      <c r="T2088" s="13"/>
      <c r="U2088" s="18" t="str">
        <f>HYPERLINK("https://pbs.twimg.com/profile_images/1218641958060453888/7WtXIkzm.jpg","View")</f>
        <v>View</v>
      </c>
      <c r="V2088" s="13"/>
      <c r="W2088" s="13"/>
      <c r="X2088" s="13"/>
      <c r="Y2088" s="13"/>
      <c r="Z2088" s="13"/>
    </row>
    <row r="2089">
      <c r="A2089" s="8">
        <v>43848.182129629626</v>
      </c>
      <c r="B2089" s="9" t="str">
        <f>HYPERLINK("https://twitter.com/MentalHealthBB","@MentalHealthBB")</f>
        <v>@MentalHealthBB</v>
      </c>
      <c r="C2089" s="10" t="s">
        <v>8981</v>
      </c>
      <c r="D2089" s="10" t="s">
        <v>8982</v>
      </c>
      <c r="E2089" s="9" t="str">
        <f>HYPERLINK("https://twitter.com/MentalHealthBB/status/1218463607748538368","1218463607748538368")</f>
        <v>1218463607748538368</v>
      </c>
      <c r="F2089" s="11" t="s">
        <v>8983</v>
      </c>
      <c r="G2089" s="11" t="s">
        <v>8984</v>
      </c>
      <c r="H2089" s="13"/>
      <c r="I2089" s="14">
        <v>2.0</v>
      </c>
      <c r="J2089" s="14">
        <v>1.0</v>
      </c>
      <c r="K2089" s="9" t="str">
        <f t="shared" si="263"/>
        <v>Twitter for iPhone</v>
      </c>
      <c r="L2089" s="15">
        <v>304.0</v>
      </c>
      <c r="M2089" s="15">
        <v>1137.0</v>
      </c>
      <c r="N2089" s="15">
        <v>2.0</v>
      </c>
      <c r="O2089" s="16"/>
      <c r="P2089" s="17">
        <v>43097.56284722222</v>
      </c>
      <c r="Q2089" s="10" t="s">
        <v>446</v>
      </c>
      <c r="R2089" s="10" t="s">
        <v>8985</v>
      </c>
      <c r="S2089" s="11" t="s">
        <v>8986</v>
      </c>
      <c r="T2089" s="13"/>
      <c r="U2089" s="18" t="str">
        <f>HYPERLINK("https://pbs.twimg.com/profile_images/954728251875905539/gzSYroIe.jpg","View")</f>
        <v>View</v>
      </c>
      <c r="V2089" s="13"/>
      <c r="W2089" s="13"/>
      <c r="X2089" s="13"/>
      <c r="Y2089" s="13"/>
      <c r="Z2089" s="13"/>
    </row>
    <row r="2090">
      <c r="A2090" s="8">
        <v>43848.18078703704</v>
      </c>
      <c r="B2090" s="9" t="str">
        <f>HYPERLINK("https://twitter.com/SheilaTnowC","@SheilaTnowC")</f>
        <v>@SheilaTnowC</v>
      </c>
      <c r="C2090" s="10" t="s">
        <v>8987</v>
      </c>
      <c r="D2090" s="10" t="s">
        <v>8988</v>
      </c>
      <c r="E2090" s="9" t="str">
        <f>HYPERLINK("https://twitter.com/SheilaTnowC/status/1218463121020309504","1218463121020309504")</f>
        <v>1218463121020309504</v>
      </c>
      <c r="F2090" s="11" t="s">
        <v>8989</v>
      </c>
      <c r="G2090" s="13"/>
      <c r="H2090" s="9" t="str">
        <f>HYPERLINK("https://ctrlq.org/maps/address/#52.3585813,-1.2938247","Map")</f>
        <v>Map</v>
      </c>
      <c r="I2090" s="14">
        <v>0.0</v>
      </c>
      <c r="J2090" s="14">
        <v>0.0</v>
      </c>
      <c r="K2090" s="9" t="str">
        <f>HYPERLINK("http://instagram.com","Instagram")</f>
        <v>Instagram</v>
      </c>
      <c r="L2090" s="15">
        <v>180.0</v>
      </c>
      <c r="M2090" s="15">
        <v>1055.0</v>
      </c>
      <c r="N2090" s="15">
        <v>3.0</v>
      </c>
      <c r="O2090" s="16"/>
      <c r="P2090" s="17">
        <v>40126.42668981481</v>
      </c>
      <c r="Q2090" s="13"/>
      <c r="R2090" s="10" t="s">
        <v>8990</v>
      </c>
      <c r="S2090" s="13"/>
      <c r="T2090" s="13"/>
      <c r="U2090" s="18" t="str">
        <f>HYPERLINK("https://pbs.twimg.com/profile_images/877591734213062656/u4OKlrFP.jpg","View")</f>
        <v>View</v>
      </c>
      <c r="V2090" s="13"/>
      <c r="W2090" s="13"/>
      <c r="X2090" s="13"/>
      <c r="Y2090" s="13"/>
      <c r="Z2090" s="13"/>
    </row>
    <row r="2091">
      <c r="A2091" s="8">
        <v>43848.18059027778</v>
      </c>
      <c r="B2091" s="9" t="str">
        <f>HYPERLINK("https://twitter.com/UKConstructionm","@UKConstructionm")</f>
        <v>@UKConstructionm</v>
      </c>
      <c r="C2091" s="10" t="s">
        <v>8991</v>
      </c>
      <c r="D2091" s="10" t="s">
        <v>8992</v>
      </c>
      <c r="E2091" s="9" t="str">
        <f>HYPERLINK("https://twitter.com/UKConstructionm/status/1218463049302126592","1218463049302126592")</f>
        <v>1218463049302126592</v>
      </c>
      <c r="F2091" s="11" t="s">
        <v>8993</v>
      </c>
      <c r="G2091" s="11" t="s">
        <v>8994</v>
      </c>
      <c r="H2091" s="13"/>
      <c r="I2091" s="14">
        <v>0.0</v>
      </c>
      <c r="J2091" s="14">
        <v>0.0</v>
      </c>
      <c r="K2091" s="9" t="str">
        <f>HYPERLINK("https://www.hootsuite.com","Hootsuite Inc.")</f>
        <v>Hootsuite Inc.</v>
      </c>
      <c r="L2091" s="15">
        <v>15613.0</v>
      </c>
      <c r="M2091" s="15">
        <v>952.0</v>
      </c>
      <c r="N2091" s="15">
        <v>376.0</v>
      </c>
      <c r="O2091" s="16"/>
      <c r="P2091" s="17">
        <v>40841.44461805555</v>
      </c>
      <c r="Q2091" s="10" t="s">
        <v>2323</v>
      </c>
      <c r="R2091" s="10" t="s">
        <v>8995</v>
      </c>
      <c r="S2091" s="11" t="s">
        <v>8996</v>
      </c>
      <c r="T2091" s="13"/>
      <c r="U2091" s="18" t="str">
        <f>HYPERLINK("https://pbs.twimg.com/profile_images/733579963429855233/re85HsAk.jpg","View")</f>
        <v>View</v>
      </c>
      <c r="V2091" s="13"/>
      <c r="W2091" s="13"/>
      <c r="X2091" s="13"/>
      <c r="Y2091" s="13"/>
      <c r="Z2091" s="13"/>
    </row>
    <row r="2092">
      <c r="A2092" s="8">
        <v>43848.180555555555</v>
      </c>
      <c r="B2092" s="9" t="str">
        <f>HYPERLINK("https://twitter.com/mmhpi","@mmhpi")</f>
        <v>@mmhpi</v>
      </c>
      <c r="C2092" s="10" t="s">
        <v>8997</v>
      </c>
      <c r="D2092" s="10" t="s">
        <v>8998</v>
      </c>
      <c r="E2092" s="9" t="str">
        <f>HYPERLINK("https://twitter.com/mmhpi/status/1218463035196694528","1218463035196694528")</f>
        <v>1218463035196694528</v>
      </c>
      <c r="F2092" s="11" t="s">
        <v>8999</v>
      </c>
      <c r="G2092" s="11" t="s">
        <v>9000</v>
      </c>
      <c r="H2092" s="13"/>
      <c r="I2092" s="14">
        <v>8.0</v>
      </c>
      <c r="J2092" s="14">
        <v>9.0</v>
      </c>
      <c r="K2092" s="9" t="str">
        <f>HYPERLINK("https://about.twitter.com/products/tweetdeck","TweetDeck")</f>
        <v>TweetDeck</v>
      </c>
      <c r="L2092" s="15">
        <v>13795.0</v>
      </c>
      <c r="M2092" s="15">
        <v>7068.0</v>
      </c>
      <c r="N2092" s="15">
        <v>252.0</v>
      </c>
      <c r="O2092" s="16"/>
      <c r="P2092" s="17">
        <v>42391.40083333333</v>
      </c>
      <c r="Q2092" s="10" t="s">
        <v>1324</v>
      </c>
      <c r="R2092" s="10" t="s">
        <v>9001</v>
      </c>
      <c r="S2092" s="11" t="s">
        <v>9002</v>
      </c>
      <c r="T2092" s="13"/>
      <c r="U2092" s="18" t="str">
        <f>HYPERLINK("https://pbs.twimg.com/profile_images/827418481838714880/72yVdF38.jpg","View")</f>
        <v>View</v>
      </c>
      <c r="V2092" s="13"/>
      <c r="W2092" s="13"/>
      <c r="X2092" s="13"/>
      <c r="Y2092" s="13"/>
      <c r="Z2092" s="13"/>
    </row>
    <row r="2093">
      <c r="A2093" s="8">
        <v>43848.18026620371</v>
      </c>
      <c r="B2093" s="9" t="str">
        <f>HYPERLINK("https://twitter.com/JohnElsey11","@JohnElsey11")</f>
        <v>@JohnElsey11</v>
      </c>
      <c r="C2093" s="10" t="s">
        <v>9003</v>
      </c>
      <c r="D2093" s="10" t="s">
        <v>9004</v>
      </c>
      <c r="E2093" s="9" t="str">
        <f>HYPERLINK("https://twitter.com/JohnElsey11/status/1218462931408642048","1218462931408642048")</f>
        <v>1218462931408642048</v>
      </c>
      <c r="F2093" s="13"/>
      <c r="G2093" s="13"/>
      <c r="H2093" s="13"/>
      <c r="I2093" s="14">
        <v>5.0</v>
      </c>
      <c r="J2093" s="14">
        <v>18.0</v>
      </c>
      <c r="K2093" s="9" t="str">
        <f t="shared" ref="K2093:K2094" si="264">HYPERLINK("https://mobile.twitter.com","Twitter Web App")</f>
        <v>Twitter Web App</v>
      </c>
      <c r="L2093" s="15">
        <v>496.0</v>
      </c>
      <c r="M2093" s="15">
        <v>588.0</v>
      </c>
      <c r="N2093" s="15">
        <v>0.0</v>
      </c>
      <c r="O2093" s="16"/>
      <c r="P2093" s="17">
        <v>42944.47048611111</v>
      </c>
      <c r="Q2093" s="10" t="s">
        <v>9005</v>
      </c>
      <c r="R2093" s="10" t="s">
        <v>9006</v>
      </c>
      <c r="S2093" s="13"/>
      <c r="T2093" s="13"/>
      <c r="U2093" s="18" t="str">
        <f>HYPERLINK("https://pbs.twimg.com/profile_images/1139899900399968256/1zKFEwNu.jpg","View")</f>
        <v>View</v>
      </c>
      <c r="V2093" s="13"/>
      <c r="W2093" s="13"/>
      <c r="X2093" s="13"/>
      <c r="Y2093" s="13"/>
      <c r="Z2093" s="13"/>
    </row>
    <row r="2094">
      <c r="A2094" s="8">
        <v>43848.18006944444</v>
      </c>
      <c r="B2094" s="9" t="str">
        <f>HYPERLINK("https://twitter.com/eqfinity","@eqfinity")</f>
        <v>@eqfinity</v>
      </c>
      <c r="C2094" s="10" t="s">
        <v>9007</v>
      </c>
      <c r="D2094" s="10" t="s">
        <v>9008</v>
      </c>
      <c r="E2094" s="9" t="str">
        <f>HYPERLINK("https://twitter.com/eqfinity/status/1218462861657137152","1218462861657137152")</f>
        <v>1218462861657137152</v>
      </c>
      <c r="F2094" s="11" t="s">
        <v>9009</v>
      </c>
      <c r="G2094" s="11" t="s">
        <v>9010</v>
      </c>
      <c r="H2094" s="13"/>
      <c r="I2094" s="14">
        <v>1.0</v>
      </c>
      <c r="J2094" s="14">
        <v>2.0</v>
      </c>
      <c r="K2094" s="9" t="str">
        <f t="shared" si="264"/>
        <v>Twitter Web App</v>
      </c>
      <c r="L2094" s="15">
        <v>6.0</v>
      </c>
      <c r="M2094" s="15">
        <v>17.0</v>
      </c>
      <c r="N2094" s="15">
        <v>1.0</v>
      </c>
      <c r="O2094" s="16"/>
      <c r="P2094" s="17">
        <v>43708.18135416666</v>
      </c>
      <c r="Q2094" s="13"/>
      <c r="R2094" s="10" t="s">
        <v>9011</v>
      </c>
      <c r="S2094" s="11" t="s">
        <v>9012</v>
      </c>
      <c r="T2094" s="13"/>
      <c r="U2094" s="18" t="str">
        <f>HYPERLINK("https://pbs.twimg.com/profile_images/1167758563856408577/RUzsJoZ7.jpg","View")</f>
        <v>View</v>
      </c>
      <c r="V2094" s="13"/>
      <c r="W2094" s="13"/>
      <c r="X2094" s="13"/>
      <c r="Y2094" s="13"/>
      <c r="Z2094" s="13"/>
    </row>
    <row r="2095">
      <c r="A2095" s="8">
        <v>43848.18005787037</v>
      </c>
      <c r="B2095" s="9" t="str">
        <f>HYPERLINK("https://twitter.com/HC15OnTour","@HC15OnTour")</f>
        <v>@HC15OnTour</v>
      </c>
      <c r="C2095" s="10" t="s">
        <v>9013</v>
      </c>
      <c r="D2095" s="10" t="s">
        <v>9014</v>
      </c>
      <c r="E2095" s="9" t="str">
        <f>HYPERLINK("https://twitter.com/HC15OnTour/status/1218462856980697094","1218462856980697094")</f>
        <v>1218462856980697094</v>
      </c>
      <c r="F2095" s="13"/>
      <c r="G2095" s="13"/>
      <c r="H2095" s="13"/>
      <c r="I2095" s="14">
        <v>3.0</v>
      </c>
      <c r="J2095" s="14">
        <v>12.0</v>
      </c>
      <c r="K2095" s="9" t="str">
        <f>HYPERLINK("http://twitter.com/download/android","Twitter for Android")</f>
        <v>Twitter for Android</v>
      </c>
      <c r="L2095" s="15">
        <v>5449.0</v>
      </c>
      <c r="M2095" s="15">
        <v>5133.0</v>
      </c>
      <c r="N2095" s="15">
        <v>64.0</v>
      </c>
      <c r="O2095" s="16"/>
      <c r="P2095" s="17">
        <v>42107.69939814815</v>
      </c>
      <c r="Q2095" s="10" t="s">
        <v>9015</v>
      </c>
      <c r="R2095" s="10" t="s">
        <v>9016</v>
      </c>
      <c r="S2095" s="13"/>
      <c r="T2095" s="13"/>
      <c r="U2095" s="18" t="str">
        <f>HYPERLINK("https://pbs.twimg.com/profile_images/1093667055570702337/HLYbI4Ot.jpg","View")</f>
        <v>View</v>
      </c>
      <c r="V2095" s="13"/>
      <c r="W2095" s="13"/>
      <c r="X2095" s="13"/>
      <c r="Y2095" s="13"/>
      <c r="Z2095" s="13"/>
    </row>
    <row r="2096">
      <c r="A2096" s="8">
        <v>43848.1799537037</v>
      </c>
      <c r="B2096" s="9" t="str">
        <f>HYPERLINK("https://twitter.com/lamsalebanon","@lamsalebanon")</f>
        <v>@lamsalebanon</v>
      </c>
      <c r="C2096" s="10" t="s">
        <v>9017</v>
      </c>
      <c r="D2096" s="10" t="s">
        <v>9018</v>
      </c>
      <c r="E2096" s="9" t="str">
        <f>HYPERLINK("https://twitter.com/lamsalebanon/status/1218462816430174208","1218462816430174208")</f>
        <v>1218462816430174208</v>
      </c>
      <c r="F2096" s="13"/>
      <c r="G2096" s="11" t="s">
        <v>9019</v>
      </c>
      <c r="H2096" s="13"/>
      <c r="I2096" s="14">
        <v>0.0</v>
      </c>
      <c r="J2096" s="14">
        <v>4.0</v>
      </c>
      <c r="K2096" s="9" t="str">
        <f>HYPERLINK("http://twitter.com/#!/download/ipad","Twitter for iPad")</f>
        <v>Twitter for iPad</v>
      </c>
      <c r="L2096" s="15">
        <v>1412.0</v>
      </c>
      <c r="M2096" s="15">
        <v>2115.0</v>
      </c>
      <c r="N2096" s="15">
        <v>59.0</v>
      </c>
      <c r="O2096" s="16"/>
      <c r="P2096" s="17">
        <v>41788.6209375</v>
      </c>
      <c r="Q2096" s="10" t="s">
        <v>9020</v>
      </c>
      <c r="R2096" s="10" t="s">
        <v>9021</v>
      </c>
      <c r="S2096" s="11" t="s">
        <v>9022</v>
      </c>
      <c r="T2096" s="13"/>
      <c r="U2096" s="18" t="str">
        <f>HYPERLINK("https://pbs.twimg.com/profile_images/1143184365150756866/Tb0ElBGo.jpg","View")</f>
        <v>View</v>
      </c>
      <c r="V2096" s="13"/>
      <c r="W2096" s="13"/>
      <c r="X2096" s="13"/>
      <c r="Y2096" s="13"/>
      <c r="Z2096" s="13"/>
    </row>
    <row r="2097">
      <c r="A2097" s="8">
        <v>43848.17946759259</v>
      </c>
      <c r="B2097" s="9" t="str">
        <f>HYPERLINK("https://twitter.com/genet_screwed","@genet_screwed")</f>
        <v>@genet_screwed</v>
      </c>
      <c r="C2097" s="10" t="s">
        <v>1370</v>
      </c>
      <c r="D2097" s="10" t="s">
        <v>9023</v>
      </c>
      <c r="E2097" s="9" t="str">
        <f>HYPERLINK("https://twitter.com/genet_screwed/status/1218462642861416449","1218462642861416449")</f>
        <v>1218462642861416449</v>
      </c>
      <c r="F2097" s="13"/>
      <c r="G2097" s="13"/>
      <c r="H2097" s="13"/>
      <c r="I2097" s="14">
        <v>1.0</v>
      </c>
      <c r="J2097" s="14">
        <v>1.0</v>
      </c>
      <c r="K2097" s="9" t="str">
        <f>HYPERLINK("http://twitter.com/download/android","Twitter for Android")</f>
        <v>Twitter for Android</v>
      </c>
      <c r="L2097" s="15">
        <v>137.0</v>
      </c>
      <c r="M2097" s="15">
        <v>479.0</v>
      </c>
      <c r="N2097" s="15">
        <v>1.0</v>
      </c>
      <c r="O2097" s="16"/>
      <c r="P2097" s="17">
        <v>43124.348645833335</v>
      </c>
      <c r="Q2097" s="10" t="s">
        <v>1372</v>
      </c>
      <c r="R2097" s="10" t="s">
        <v>1373</v>
      </c>
      <c r="S2097" s="13"/>
      <c r="T2097" s="13"/>
      <c r="U2097" s="18" t="str">
        <f>HYPERLINK("https://pbs.twimg.com/profile_images/1218375619207143424/rKxa_S8O.jpg","View")</f>
        <v>View</v>
      </c>
      <c r="V2097" s="13"/>
      <c r="W2097" s="13"/>
      <c r="X2097" s="13"/>
      <c r="Y2097" s="13"/>
      <c r="Z2097" s="13"/>
    </row>
    <row r="2098">
      <c r="A2098" s="8">
        <v>43848.17864583334</v>
      </c>
      <c r="B2098" s="9" t="str">
        <f>HYPERLINK("https://twitter.com/SeeChangeHypno","@SeeChangeHypno")</f>
        <v>@SeeChangeHypno</v>
      </c>
      <c r="C2098" s="10" t="s">
        <v>9024</v>
      </c>
      <c r="D2098" s="10" t="s">
        <v>9025</v>
      </c>
      <c r="E2098" s="9" t="str">
        <f>HYPERLINK("https://twitter.com/SeeChangeHypno/status/1218462342872272898","1218462342872272898")</f>
        <v>1218462342872272898</v>
      </c>
      <c r="F2098" s="13"/>
      <c r="G2098" s="13"/>
      <c r="H2098" s="13"/>
      <c r="I2098" s="14">
        <v>0.0</v>
      </c>
      <c r="J2098" s="14">
        <v>1.0</v>
      </c>
      <c r="K2098" s="9" t="str">
        <f>HYPERLINK("http://twitter.com/download/iphone","Twitter for iPhone")</f>
        <v>Twitter for iPhone</v>
      </c>
      <c r="L2098" s="15">
        <v>295.0</v>
      </c>
      <c r="M2098" s="15">
        <v>714.0</v>
      </c>
      <c r="N2098" s="15">
        <v>4.0</v>
      </c>
      <c r="O2098" s="16"/>
      <c r="P2098" s="17">
        <v>42721.73023148148</v>
      </c>
      <c r="Q2098" s="10" t="s">
        <v>2548</v>
      </c>
      <c r="R2098" s="10" t="s">
        <v>9026</v>
      </c>
      <c r="S2098" s="11" t="s">
        <v>9027</v>
      </c>
      <c r="T2098" s="13"/>
      <c r="U2098" s="18" t="str">
        <f>HYPERLINK("https://pbs.twimg.com/profile_images/875468655429124098/uN9SSrPb.jpg","View")</f>
        <v>View</v>
      </c>
      <c r="V2098" s="13"/>
      <c r="W2098" s="13"/>
      <c r="X2098" s="13"/>
      <c r="Y2098" s="13"/>
      <c r="Z2098" s="13"/>
    </row>
    <row r="2099">
      <c r="A2099" s="8">
        <v>43848.17833333333</v>
      </c>
      <c r="B2099" s="9" t="str">
        <f>HYPERLINK("https://twitter.com/GhafariaKhan","@GhafariaKhan")</f>
        <v>@GhafariaKhan</v>
      </c>
      <c r="C2099" s="10" t="s">
        <v>9028</v>
      </c>
      <c r="D2099" s="10" t="s">
        <v>9029</v>
      </c>
      <c r="E2099" s="9" t="str">
        <f>HYPERLINK("https://twitter.com/GhafariaKhan/status/1218462231765094400","1218462231765094400")</f>
        <v>1218462231765094400</v>
      </c>
      <c r="F2099" s="11" t="s">
        <v>9030</v>
      </c>
      <c r="G2099" s="13"/>
      <c r="H2099" s="13"/>
      <c r="I2099" s="14">
        <v>0.0</v>
      </c>
      <c r="J2099" s="14">
        <v>0.0</v>
      </c>
      <c r="K2099" s="9" t="str">
        <f>HYPERLINK("http://instagram.com","Instagram")</f>
        <v>Instagram</v>
      </c>
      <c r="L2099" s="15">
        <v>121.0</v>
      </c>
      <c r="M2099" s="15">
        <v>436.0</v>
      </c>
      <c r="N2099" s="15">
        <v>2.0</v>
      </c>
      <c r="O2099" s="16"/>
      <c r="P2099" s="17">
        <v>43025.6715162037</v>
      </c>
      <c r="Q2099" s="10" t="s">
        <v>95</v>
      </c>
      <c r="R2099" s="10" t="s">
        <v>9031</v>
      </c>
      <c r="S2099" s="13"/>
      <c r="T2099" s="13"/>
      <c r="U2099" s="18" t="str">
        <f>HYPERLINK("https://pbs.twimg.com/profile_images/1179712917366870018/knUfAWnq.jpg","View")</f>
        <v>View</v>
      </c>
      <c r="V2099" s="13"/>
      <c r="W2099" s="13"/>
      <c r="X2099" s="13"/>
      <c r="Y2099" s="13"/>
      <c r="Z2099" s="13"/>
    </row>
    <row r="2100">
      <c r="A2100" s="8">
        <v>43848.177777777775</v>
      </c>
      <c r="B2100" s="9" t="str">
        <f>HYPERLINK("https://twitter.com/mhresources","@mhresources")</f>
        <v>@mhresources</v>
      </c>
      <c r="C2100" s="10" t="s">
        <v>9032</v>
      </c>
      <c r="D2100" s="10" t="s">
        <v>9033</v>
      </c>
      <c r="E2100" s="9" t="str">
        <f>HYPERLINK("https://twitter.com/mhresources/status/1218462031474569216","1218462031474569216")</f>
        <v>1218462031474569216</v>
      </c>
      <c r="F2100" s="10" t="s">
        <v>9034</v>
      </c>
      <c r="G2100" s="13"/>
      <c r="H2100" s="13"/>
      <c r="I2100" s="14">
        <v>1.0</v>
      </c>
      <c r="J2100" s="14">
        <v>0.0</v>
      </c>
      <c r="K2100" s="9" t="str">
        <f>HYPERLINK("http://twitter.com/download/android","Twitter for Android")</f>
        <v>Twitter for Android</v>
      </c>
      <c r="L2100" s="15">
        <v>553.0</v>
      </c>
      <c r="M2100" s="15">
        <v>1100.0</v>
      </c>
      <c r="N2100" s="15">
        <v>9.0</v>
      </c>
      <c r="O2100" s="16"/>
      <c r="P2100" s="17">
        <v>41879.36284722222</v>
      </c>
      <c r="Q2100" s="13"/>
      <c r="R2100" s="10" t="s">
        <v>9035</v>
      </c>
      <c r="S2100" s="11" t="s">
        <v>9036</v>
      </c>
      <c r="T2100" s="13"/>
      <c r="U2100" s="18" t="str">
        <f>HYPERLINK("https://pbs.twimg.com/profile_images/590078400666173440/V-dGu_BJ.png","View")</f>
        <v>View</v>
      </c>
      <c r="V2100" s="13"/>
      <c r="W2100" s="13"/>
      <c r="X2100" s="13"/>
      <c r="Y2100" s="13"/>
      <c r="Z2100" s="13"/>
    </row>
    <row r="2101">
      <c r="A2101" s="8">
        <v>43848.17729166667</v>
      </c>
      <c r="B2101" s="9" t="str">
        <f>HYPERLINK("https://twitter.com/MoreUnitedUK","@MoreUnitedUK")</f>
        <v>@MoreUnitedUK</v>
      </c>
      <c r="C2101" s="10" t="s">
        <v>9037</v>
      </c>
      <c r="D2101" s="10" t="s">
        <v>9038</v>
      </c>
      <c r="E2101" s="9" t="str">
        <f>HYPERLINK("https://twitter.com/MoreUnitedUK/status/1218461853984198657","1218461853984198657")</f>
        <v>1218461853984198657</v>
      </c>
      <c r="F2101" s="11" t="s">
        <v>9039</v>
      </c>
      <c r="G2101" s="11" t="s">
        <v>9040</v>
      </c>
      <c r="H2101" s="13"/>
      <c r="I2101" s="14">
        <v>4.0</v>
      </c>
      <c r="J2101" s="14">
        <v>0.0</v>
      </c>
      <c r="K2101" s="9" t="str">
        <f>HYPERLINK("https://buffer.com","Buffer")</f>
        <v>Buffer</v>
      </c>
      <c r="L2101" s="15">
        <v>15459.0</v>
      </c>
      <c r="M2101" s="15">
        <v>2613.0</v>
      </c>
      <c r="N2101" s="15">
        <v>173.0</v>
      </c>
      <c r="O2101" s="16"/>
      <c r="P2101" s="17">
        <v>42570.50991898148</v>
      </c>
      <c r="Q2101" s="10" t="s">
        <v>1324</v>
      </c>
      <c r="R2101" s="10" t="s">
        <v>9041</v>
      </c>
      <c r="S2101" s="11" t="s">
        <v>9042</v>
      </c>
      <c r="T2101" s="13"/>
      <c r="U2101" s="18" t="str">
        <f>HYPERLINK("https://pbs.twimg.com/profile_images/1145743411280044032/iKm5Z5ss.png","View")</f>
        <v>View</v>
      </c>
      <c r="V2101" s="13"/>
      <c r="W2101" s="13"/>
      <c r="X2101" s="13"/>
      <c r="Y2101" s="13"/>
      <c r="Z2101" s="13"/>
    </row>
    <row r="2102">
      <c r="A2102" s="8">
        <v>43848.17711805555</v>
      </c>
      <c r="B2102" s="9" t="str">
        <f>HYPERLINK("https://twitter.com/HealthySefton","@HealthySefton")</f>
        <v>@HealthySefton</v>
      </c>
      <c r="C2102" s="10" t="s">
        <v>9043</v>
      </c>
      <c r="D2102" s="10" t="s">
        <v>9044</v>
      </c>
      <c r="E2102" s="9" t="str">
        <f>HYPERLINK("https://twitter.com/HealthySefton/status/1218461789547106305","1218461789547106305")</f>
        <v>1218461789547106305</v>
      </c>
      <c r="F2102" s="11" t="s">
        <v>9045</v>
      </c>
      <c r="G2102" s="13"/>
      <c r="H2102" s="13"/>
      <c r="I2102" s="14">
        <v>3.0</v>
      </c>
      <c r="J2102" s="14">
        <v>0.0</v>
      </c>
      <c r="K2102" s="9" t="str">
        <f>HYPERLINK("https://www.hootsuite.com","Hootsuite Inc.")</f>
        <v>Hootsuite Inc.</v>
      </c>
      <c r="L2102" s="15">
        <v>1104.0</v>
      </c>
      <c r="M2102" s="15">
        <v>175.0</v>
      </c>
      <c r="N2102" s="15">
        <v>13.0</v>
      </c>
      <c r="O2102" s="16"/>
      <c r="P2102" s="17">
        <v>41949.222037037034</v>
      </c>
      <c r="Q2102" s="10" t="s">
        <v>9046</v>
      </c>
      <c r="R2102" s="10" t="s">
        <v>9047</v>
      </c>
      <c r="S2102" s="11" t="s">
        <v>9048</v>
      </c>
      <c r="T2102" s="13"/>
      <c r="U2102" s="18" t="str">
        <f>HYPERLINK("https://pbs.twimg.com/profile_images/932618105498603521/d3uiRGGk.jpg","View")</f>
        <v>View</v>
      </c>
      <c r="V2102" s="13"/>
      <c r="W2102" s="13"/>
      <c r="X2102" s="13"/>
      <c r="Y2102" s="13"/>
      <c r="Z2102" s="13"/>
    </row>
    <row r="2103">
      <c r="A2103" s="8">
        <v>43848.17569444445</v>
      </c>
      <c r="B2103" s="9" t="str">
        <f>HYPERLINK("https://twitter.com/madeleineparrar","@madeleineparrar")</f>
        <v>@madeleineparrar</v>
      </c>
      <c r="C2103" s="10" t="s">
        <v>9049</v>
      </c>
      <c r="D2103" s="10" t="s">
        <v>238</v>
      </c>
      <c r="E2103" s="9" t="str">
        <f>HYPERLINK("https://twitter.com/madeleineparrar/status/1218461276411760640","1218461276411760640")</f>
        <v>1218461276411760640</v>
      </c>
      <c r="F2103" s="13"/>
      <c r="G2103" s="13"/>
      <c r="H2103" s="13"/>
      <c r="I2103" s="14">
        <v>1.0</v>
      </c>
      <c r="J2103" s="14">
        <v>0.0</v>
      </c>
      <c r="K2103" s="9" t="str">
        <f>HYPERLINK("http://twitter.com/download/iphone","Twitter for iPhone")</f>
        <v>Twitter for iPhone</v>
      </c>
      <c r="L2103" s="15">
        <v>77.0</v>
      </c>
      <c r="M2103" s="15">
        <v>247.0</v>
      </c>
      <c r="N2103" s="15">
        <v>0.0</v>
      </c>
      <c r="O2103" s="16"/>
      <c r="P2103" s="17">
        <v>40322.569247685184</v>
      </c>
      <c r="Q2103" s="10" t="s">
        <v>9050</v>
      </c>
      <c r="R2103" s="13"/>
      <c r="S2103" s="13"/>
      <c r="T2103" s="13"/>
      <c r="U2103" s="18" t="str">
        <f>HYPERLINK("https://pbs.twimg.com/profile_images/1152202071074058241/SZSUt97P.jpg","View")</f>
        <v>View</v>
      </c>
      <c r="V2103" s="13"/>
      <c r="W2103" s="13"/>
      <c r="X2103" s="13"/>
      <c r="Y2103" s="13"/>
      <c r="Z2103" s="13"/>
    </row>
    <row r="2104">
      <c r="A2104" s="8">
        <v>43848.17547453704</v>
      </c>
      <c r="B2104" s="9" t="str">
        <f>HYPERLINK("https://twitter.com/slowreadersclas","@slowreadersclas")</f>
        <v>@slowreadersclas</v>
      </c>
      <c r="C2104" s="10" t="s">
        <v>9051</v>
      </c>
      <c r="D2104" s="10" t="s">
        <v>9052</v>
      </c>
      <c r="E2104" s="9" t="str">
        <f>HYPERLINK("https://twitter.com/slowreadersclas/status/1218461194249547777","1218461194249547777")</f>
        <v>1218461194249547777</v>
      </c>
      <c r="F2104" s="11" t="s">
        <v>9053</v>
      </c>
      <c r="G2104" s="11" t="s">
        <v>9054</v>
      </c>
      <c r="H2104" s="13"/>
      <c r="I2104" s="14">
        <v>1.0</v>
      </c>
      <c r="J2104" s="14">
        <v>1.0</v>
      </c>
      <c r="K2104" s="9" t="str">
        <f>HYPERLINK("https://mobile.twitter.com","Twitter Web App")</f>
        <v>Twitter Web App</v>
      </c>
      <c r="L2104" s="15">
        <v>369.0</v>
      </c>
      <c r="M2104" s="15">
        <v>501.0</v>
      </c>
      <c r="N2104" s="15">
        <v>28.0</v>
      </c>
      <c r="O2104" s="16"/>
      <c r="P2104" s="17">
        <v>39862.594618055555</v>
      </c>
      <c r="Q2104" s="13"/>
      <c r="R2104" s="10" t="s">
        <v>9055</v>
      </c>
      <c r="S2104" s="13"/>
      <c r="T2104" s="13"/>
      <c r="U2104" s="18" t="str">
        <f>HYPERLINK("https://pbs.twimg.com/profile_images/1192878522358018049/PZauYVkj.jpg","View")</f>
        <v>View</v>
      </c>
      <c r="V2104" s="13"/>
      <c r="W2104" s="13"/>
      <c r="X2104" s="13"/>
      <c r="Y2104" s="13"/>
      <c r="Z2104" s="13"/>
    </row>
    <row r="2105">
      <c r="A2105" s="8">
        <v>43848.175254629634</v>
      </c>
      <c r="B2105" s="9" t="str">
        <f>HYPERLINK("https://twitter.com/wesdosatoridojo","@wesdosatoridojo")</f>
        <v>@wesdosatoridojo</v>
      </c>
      <c r="C2105" s="10" t="s">
        <v>9056</v>
      </c>
      <c r="D2105" s="10" t="s">
        <v>9057</v>
      </c>
      <c r="E2105" s="9" t="str">
        <f>HYPERLINK("https://twitter.com/wesdosatoridojo/status/1218461113991323649","1218461113991323649")</f>
        <v>1218461113991323649</v>
      </c>
      <c r="F2105" s="11" t="s">
        <v>9058</v>
      </c>
      <c r="G2105" s="13"/>
      <c r="H2105" s="13"/>
      <c r="I2105" s="14">
        <v>1.0</v>
      </c>
      <c r="J2105" s="14">
        <v>1.0</v>
      </c>
      <c r="K2105" s="9" t="str">
        <f>HYPERLINK("http://instagram.com","Instagram")</f>
        <v>Instagram</v>
      </c>
      <c r="L2105" s="15">
        <v>130.0</v>
      </c>
      <c r="M2105" s="15">
        <v>0.0</v>
      </c>
      <c r="N2105" s="15">
        <v>6.0</v>
      </c>
      <c r="O2105" s="16"/>
      <c r="P2105" s="17">
        <v>39944.33833333333</v>
      </c>
      <c r="Q2105" s="10" t="s">
        <v>9059</v>
      </c>
      <c r="R2105" s="10" t="s">
        <v>9060</v>
      </c>
      <c r="S2105" s="11" t="s">
        <v>9061</v>
      </c>
      <c r="T2105" s="13"/>
      <c r="U2105" s="18" t="str">
        <f>HYPERLINK("https://pbs.twimg.com/profile_images/1194267537887891456/U1xqkOXd.jpg","View")</f>
        <v>View</v>
      </c>
      <c r="V2105" s="13"/>
      <c r="W2105" s="13"/>
      <c r="X2105" s="13"/>
      <c r="Y2105" s="13"/>
      <c r="Z2105" s="13"/>
    </row>
    <row r="2106">
      <c r="A2106" s="8">
        <v>43848.17445601852</v>
      </c>
      <c r="B2106" s="9" t="str">
        <f>HYPERLINK("https://twitter.com/space_holding","@space_holding")</f>
        <v>@space_holding</v>
      </c>
      <c r="C2106" s="10" t="s">
        <v>9062</v>
      </c>
      <c r="D2106" s="10" t="s">
        <v>9063</v>
      </c>
      <c r="E2106" s="9" t="str">
        <f>HYPERLINK("https://twitter.com/space_holding/status/1218460826396434432","1218460826396434432")</f>
        <v>1218460826396434432</v>
      </c>
      <c r="F2106" s="13"/>
      <c r="G2106" s="11" t="s">
        <v>9064</v>
      </c>
      <c r="H2106" s="13"/>
      <c r="I2106" s="14">
        <v>1.0</v>
      </c>
      <c r="J2106" s="14">
        <v>3.0</v>
      </c>
      <c r="K2106" s="9" t="str">
        <f>HYPERLINK("http://twitter.com/#!/download/ipad","Twitter for iPad")</f>
        <v>Twitter for iPad</v>
      </c>
      <c r="L2106" s="15">
        <v>142.0</v>
      </c>
      <c r="M2106" s="15">
        <v>337.0</v>
      </c>
      <c r="N2106" s="15">
        <v>1.0</v>
      </c>
      <c r="O2106" s="16"/>
      <c r="P2106" s="17">
        <v>43629.52810185185</v>
      </c>
      <c r="Q2106" s="10" t="s">
        <v>9065</v>
      </c>
      <c r="R2106" s="10" t="s">
        <v>9066</v>
      </c>
      <c r="S2106" s="11" t="s">
        <v>9067</v>
      </c>
      <c r="T2106" s="13"/>
      <c r="U2106" s="18" t="str">
        <f>HYPERLINK("https://pbs.twimg.com/profile_images/1139211068289556481/R53BONNz.jpg","View")</f>
        <v>View</v>
      </c>
      <c r="V2106" s="13"/>
      <c r="W2106" s="13"/>
      <c r="X2106" s="13"/>
      <c r="Y2106" s="13"/>
      <c r="Z2106" s="13"/>
    </row>
    <row r="2107">
      <c r="A2107" s="8">
        <v>43848.17318287037</v>
      </c>
      <c r="B2107" s="9" t="str">
        <f>HYPERLINK("https://twitter.com/JulieBurkeWatts","@JulieBurkeWatts")</f>
        <v>@JulieBurkeWatts</v>
      </c>
      <c r="C2107" s="10" t="s">
        <v>4178</v>
      </c>
      <c r="D2107" s="10" t="s">
        <v>9068</v>
      </c>
      <c r="E2107" s="9" t="str">
        <f>HYPERLINK("https://twitter.com/JulieBurkeWatts/status/1218460364662280193","1218460364662280193")</f>
        <v>1218460364662280193</v>
      </c>
      <c r="F2107" s="11" t="s">
        <v>9069</v>
      </c>
      <c r="G2107" s="11" t="s">
        <v>9054</v>
      </c>
      <c r="H2107" s="13"/>
      <c r="I2107" s="14">
        <v>0.0</v>
      </c>
      <c r="J2107" s="14">
        <v>2.0</v>
      </c>
      <c r="K2107" s="9" t="str">
        <f>HYPERLINK("https://mobile.twitter.com","Twitter Web App")</f>
        <v>Twitter Web App</v>
      </c>
      <c r="L2107" s="15">
        <v>1005.0</v>
      </c>
      <c r="M2107" s="15">
        <v>4408.0</v>
      </c>
      <c r="N2107" s="15">
        <v>23.0</v>
      </c>
      <c r="O2107" s="16"/>
      <c r="P2107" s="17">
        <v>41720.329039351855</v>
      </c>
      <c r="Q2107" s="10" t="s">
        <v>95</v>
      </c>
      <c r="R2107" s="10" t="s">
        <v>4181</v>
      </c>
      <c r="S2107" s="11" t="s">
        <v>4182</v>
      </c>
      <c r="T2107" s="13"/>
      <c r="U2107" s="18" t="str">
        <f>HYPERLINK("https://pbs.twimg.com/profile_images/1185876004872564738/zBtBq_iB.jpg","View")</f>
        <v>View</v>
      </c>
      <c r="V2107" s="13"/>
      <c r="W2107" s="13"/>
      <c r="X2107" s="13"/>
      <c r="Y2107" s="13"/>
      <c r="Z2107" s="13"/>
    </row>
    <row r="2108">
      <c r="A2108" s="8">
        <v>43848.172685185185</v>
      </c>
      <c r="B2108" s="9" t="str">
        <f>HYPERLINK("https://twitter.com/monro_dr","@monro_dr")</f>
        <v>@monro_dr</v>
      </c>
      <c r="C2108" s="10" t="s">
        <v>9070</v>
      </c>
      <c r="D2108" s="10" t="s">
        <v>9071</v>
      </c>
      <c r="E2108" s="9" t="str">
        <f>HYPERLINK("https://twitter.com/monro_dr/status/1218460185963978753","1218460185963978753")</f>
        <v>1218460185963978753</v>
      </c>
      <c r="F2108" s="13"/>
      <c r="G2108" s="11" t="s">
        <v>9072</v>
      </c>
      <c r="H2108" s="13"/>
      <c r="I2108" s="14">
        <v>3.0</v>
      </c>
      <c r="J2108" s="14">
        <v>4.0</v>
      </c>
      <c r="K2108" s="9" t="str">
        <f>HYPERLINK("http://twitter.com/#!/download/ipad","Twitter for iPad")</f>
        <v>Twitter for iPad</v>
      </c>
      <c r="L2108" s="15">
        <v>54.0</v>
      </c>
      <c r="M2108" s="15">
        <v>313.0</v>
      </c>
      <c r="N2108" s="15">
        <v>0.0</v>
      </c>
      <c r="O2108" s="16"/>
      <c r="P2108" s="17">
        <v>43792.36672453704</v>
      </c>
      <c r="Q2108" s="10" t="s">
        <v>9073</v>
      </c>
      <c r="R2108" s="10" t="s">
        <v>9074</v>
      </c>
      <c r="S2108" s="11" t="s">
        <v>9075</v>
      </c>
      <c r="T2108" s="13"/>
      <c r="U2108" s="18" t="str">
        <f>HYPERLINK("https://pbs.twimg.com/profile_images/1198238282246770688/sKHr3NbH.jpg","View")</f>
        <v>View</v>
      </c>
      <c r="V2108" s="13"/>
      <c r="W2108" s="13"/>
      <c r="X2108" s="13"/>
      <c r="Y2108" s="13"/>
      <c r="Z2108" s="13"/>
    </row>
    <row r="2109">
      <c r="A2109" s="8">
        <v>43848.17236111111</v>
      </c>
      <c r="B2109" s="9" t="str">
        <f>HYPERLINK("https://twitter.com/Theveteranshub","@Theveteranshub")</f>
        <v>@Theveteranshub</v>
      </c>
      <c r="C2109" s="10" t="s">
        <v>9076</v>
      </c>
      <c r="D2109" s="10" t="s">
        <v>9077</v>
      </c>
      <c r="E2109" s="9" t="str">
        <f>HYPERLINK("https://twitter.com/Theveteranshub/status/1218460066564714497","1218460066564714497")</f>
        <v>1218460066564714497</v>
      </c>
      <c r="F2109" s="11" t="s">
        <v>9078</v>
      </c>
      <c r="G2109" s="13"/>
      <c r="H2109" s="13"/>
      <c r="I2109" s="14">
        <v>6.0</v>
      </c>
      <c r="J2109" s="14">
        <v>6.0</v>
      </c>
      <c r="K2109" s="9" t="str">
        <f>HYPERLINK("http://twitter.com/download/android","Twitter for Android")</f>
        <v>Twitter for Android</v>
      </c>
      <c r="L2109" s="15">
        <v>669.0</v>
      </c>
      <c r="M2109" s="15">
        <v>730.0</v>
      </c>
      <c r="N2109" s="15">
        <v>1.0</v>
      </c>
      <c r="O2109" s="16"/>
      <c r="P2109" s="17">
        <v>43047.669537037036</v>
      </c>
      <c r="Q2109" s="10" t="s">
        <v>9079</v>
      </c>
      <c r="R2109" s="10" t="s">
        <v>9080</v>
      </c>
      <c r="S2109" s="13"/>
      <c r="T2109" s="13"/>
      <c r="U2109" s="18" t="str">
        <f>HYPERLINK("https://pbs.twimg.com/profile_images/1110665607601680384/HGoeWvYS.jpg","View")</f>
        <v>View</v>
      </c>
      <c r="V2109" s="13"/>
      <c r="W2109" s="13"/>
      <c r="X2109" s="13"/>
      <c r="Y2109" s="13"/>
      <c r="Z2109" s="13"/>
    </row>
    <row r="2110">
      <c r="A2110" s="8">
        <v>43848.17226851852</v>
      </c>
      <c r="B2110" s="9" t="str">
        <f>HYPERLINK("https://twitter.com/Counselling247","@Counselling247")</f>
        <v>@Counselling247</v>
      </c>
      <c r="C2110" s="10" t="s">
        <v>9081</v>
      </c>
      <c r="D2110" s="10" t="s">
        <v>9082</v>
      </c>
      <c r="E2110" s="9" t="str">
        <f>HYPERLINK("https://twitter.com/Counselling247/status/1218460033672835072","1218460033672835072")</f>
        <v>1218460033672835072</v>
      </c>
      <c r="F2110" s="13"/>
      <c r="G2110" s="11" t="s">
        <v>9083</v>
      </c>
      <c r="H2110" s="13"/>
      <c r="I2110" s="14">
        <v>1.0</v>
      </c>
      <c r="J2110" s="14">
        <v>1.0</v>
      </c>
      <c r="K2110" s="9" t="str">
        <f>HYPERLINK("https://mobile.twitter.com","Twitter Web App")</f>
        <v>Twitter Web App</v>
      </c>
      <c r="L2110" s="15">
        <v>2628.0</v>
      </c>
      <c r="M2110" s="15">
        <v>3266.0</v>
      </c>
      <c r="N2110" s="15">
        <v>16.0</v>
      </c>
      <c r="O2110" s="16"/>
      <c r="P2110" s="17">
        <v>42750.30473379629</v>
      </c>
      <c r="Q2110" s="13"/>
      <c r="R2110" s="10" t="s">
        <v>9084</v>
      </c>
      <c r="S2110" s="11" t="s">
        <v>9085</v>
      </c>
      <c r="T2110" s="13"/>
      <c r="U2110" s="18" t="str">
        <f>HYPERLINK("https://pbs.twimg.com/profile_images/820620251230408704/R0TFUgV3.jpg","View")</f>
        <v>View</v>
      </c>
      <c r="V2110" s="13"/>
      <c r="W2110" s="13"/>
      <c r="X2110" s="13"/>
      <c r="Y2110" s="13"/>
      <c r="Z2110" s="13"/>
    </row>
    <row r="2111">
      <c r="A2111" s="8">
        <v>43848.172048611115</v>
      </c>
      <c r="B2111" s="9" t="str">
        <f>HYPERLINK("https://twitter.com/michelleharte_","@michelleharte_")</f>
        <v>@michelleharte_</v>
      </c>
      <c r="C2111" s="10" t="s">
        <v>9086</v>
      </c>
      <c r="D2111" s="10" t="s">
        <v>9087</v>
      </c>
      <c r="E2111" s="9" t="str">
        <f>HYPERLINK("https://twitter.com/michelleharte_/status/1218459953310191616","1218459953310191616")</f>
        <v>1218459953310191616</v>
      </c>
      <c r="F2111" s="13"/>
      <c r="G2111" s="11" t="s">
        <v>9088</v>
      </c>
      <c r="H2111" s="13"/>
      <c r="I2111" s="14">
        <v>0.0</v>
      </c>
      <c r="J2111" s="14">
        <v>1.0</v>
      </c>
      <c r="K2111" s="9" t="str">
        <f t="shared" ref="K2111:K2112" si="265">HYPERLINK("http://twitter.com/download/android","Twitter for Android")</f>
        <v>Twitter for Android</v>
      </c>
      <c r="L2111" s="15">
        <v>2363.0</v>
      </c>
      <c r="M2111" s="15">
        <v>5002.0</v>
      </c>
      <c r="N2111" s="15">
        <v>92.0</v>
      </c>
      <c r="O2111" s="16"/>
      <c r="P2111" s="17">
        <v>42118.67190972222</v>
      </c>
      <c r="Q2111" s="13"/>
      <c r="R2111" s="10" t="s">
        <v>9089</v>
      </c>
      <c r="S2111" s="11" t="s">
        <v>9090</v>
      </c>
      <c r="T2111" s="13"/>
      <c r="U2111" s="18" t="str">
        <f>HYPERLINK("https://pbs.twimg.com/profile_images/1215646136461070339/uqgkBiOM.jpg","View")</f>
        <v>View</v>
      </c>
      <c r="V2111" s="13"/>
      <c r="W2111" s="13"/>
      <c r="X2111" s="13"/>
      <c r="Y2111" s="13"/>
      <c r="Z2111" s="13"/>
    </row>
    <row r="2112">
      <c r="A2112" s="8">
        <v>43848.17193287037</v>
      </c>
      <c r="B2112" s="9" t="str">
        <f>HYPERLINK("https://twitter.com/SeansPlace2","@SeansPlace2")</f>
        <v>@SeansPlace2</v>
      </c>
      <c r="C2112" s="10" t="s">
        <v>9091</v>
      </c>
      <c r="D2112" s="10" t="s">
        <v>9092</v>
      </c>
      <c r="E2112" s="9" t="str">
        <f>HYPERLINK("https://twitter.com/SeansPlace2/status/1218459909978804224","1218459909978804224")</f>
        <v>1218459909978804224</v>
      </c>
      <c r="F2112" s="13"/>
      <c r="G2112" s="11" t="s">
        <v>9093</v>
      </c>
      <c r="H2112" s="13"/>
      <c r="I2112" s="14">
        <v>5.0</v>
      </c>
      <c r="J2112" s="14">
        <v>13.0</v>
      </c>
      <c r="K2112" s="9" t="str">
        <f t="shared" si="265"/>
        <v>Twitter for Android</v>
      </c>
      <c r="L2112" s="15">
        <v>552.0</v>
      </c>
      <c r="M2112" s="15">
        <v>1030.0</v>
      </c>
      <c r="N2112" s="15">
        <v>0.0</v>
      </c>
      <c r="O2112" s="16"/>
      <c r="P2112" s="17">
        <v>43724.62858796296</v>
      </c>
      <c r="Q2112" s="10" t="s">
        <v>9094</v>
      </c>
      <c r="R2112" s="10" t="s">
        <v>9095</v>
      </c>
      <c r="S2112" s="11" t="s">
        <v>9096</v>
      </c>
      <c r="T2112" s="13"/>
      <c r="U2112" s="18" t="str">
        <f>HYPERLINK("https://pbs.twimg.com/profile_images/1173686066601168897/dZtD1LnF.jpg","View")</f>
        <v>View</v>
      </c>
      <c r="V2112" s="13"/>
      <c r="W2112" s="13"/>
      <c r="X2112" s="13"/>
      <c r="Y2112" s="13"/>
      <c r="Z2112" s="13"/>
    </row>
    <row r="2113">
      <c r="A2113" s="8">
        <v>43848.17053240741</v>
      </c>
      <c r="B2113" s="9" t="str">
        <f>HYPERLINK("https://twitter.com/jim_project","@jim_project")</f>
        <v>@jim_project</v>
      </c>
      <c r="C2113" s="10" t="s">
        <v>9097</v>
      </c>
      <c r="D2113" s="10" t="s">
        <v>9098</v>
      </c>
      <c r="E2113" s="9" t="str">
        <f>HYPERLINK("https://twitter.com/jim_project/status/1218459403390726146","1218459403390726146")</f>
        <v>1218459403390726146</v>
      </c>
      <c r="F2113" s="13"/>
      <c r="G2113" s="11" t="s">
        <v>9099</v>
      </c>
      <c r="H2113" s="13"/>
      <c r="I2113" s="14">
        <v>0.0</v>
      </c>
      <c r="J2113" s="14">
        <v>0.0</v>
      </c>
      <c r="K2113" s="9" t="str">
        <f>HYPERLINK("http://twitter.com/download/iphone","Twitter for iPhone")</f>
        <v>Twitter for iPhone</v>
      </c>
      <c r="L2113" s="15">
        <v>13.0</v>
      </c>
      <c r="M2113" s="15">
        <v>67.0</v>
      </c>
      <c r="N2113" s="15">
        <v>0.0</v>
      </c>
      <c r="O2113" s="16"/>
      <c r="P2113" s="17">
        <v>43847.19086805556</v>
      </c>
      <c r="Q2113" s="13"/>
      <c r="R2113" s="10" t="s">
        <v>9100</v>
      </c>
      <c r="S2113" s="13"/>
      <c r="T2113" s="13"/>
      <c r="U2113" s="18" t="str">
        <f>HYPERLINK("https://pbs.twimg.com/profile_images/1218104644083290112/gWoWiUM7.jpg","View")</f>
        <v>View</v>
      </c>
      <c r="V2113" s="13"/>
      <c r="W2113" s="13"/>
      <c r="X2113" s="13"/>
      <c r="Y2113" s="13"/>
      <c r="Z2113" s="13"/>
    </row>
    <row r="2114">
      <c r="A2114" s="8">
        <v>43848.17048611111</v>
      </c>
      <c r="B2114" s="9" t="str">
        <f>HYPERLINK("https://twitter.com/BronllanRural","@BronllanRural")</f>
        <v>@BronllanRural</v>
      </c>
      <c r="C2114" s="10" t="s">
        <v>9101</v>
      </c>
      <c r="D2114" s="10" t="s">
        <v>9102</v>
      </c>
      <c r="E2114" s="9" t="str">
        <f>HYPERLINK("https://twitter.com/BronllanRural/status/1218459385393033216","1218459385393033216")</f>
        <v>1218459385393033216</v>
      </c>
      <c r="F2114" s="11" t="s">
        <v>9103</v>
      </c>
      <c r="G2114" s="11" t="s">
        <v>9104</v>
      </c>
      <c r="H2114" s="13"/>
      <c r="I2114" s="14">
        <v>0.0</v>
      </c>
      <c r="J2114" s="14">
        <v>5.0</v>
      </c>
      <c r="K2114" s="9" t="str">
        <f>HYPERLINK("https://mobile.twitter.com","Twitter Web App")</f>
        <v>Twitter Web App</v>
      </c>
      <c r="L2114" s="15">
        <v>356.0</v>
      </c>
      <c r="M2114" s="15">
        <v>174.0</v>
      </c>
      <c r="N2114" s="15">
        <v>6.0</v>
      </c>
      <c r="O2114" s="16"/>
      <c r="P2114" s="17">
        <v>42329.03866898148</v>
      </c>
      <c r="Q2114" s="10" t="s">
        <v>9105</v>
      </c>
      <c r="R2114" s="10" t="s">
        <v>9106</v>
      </c>
      <c r="S2114" s="13"/>
      <c r="T2114" s="13"/>
      <c r="U2114" s="18" t="str">
        <f>HYPERLINK("https://pbs.twimg.com/profile_images/1164831480712851456/Eyl-bj9-.jpg","View")</f>
        <v>View</v>
      </c>
      <c r="V2114" s="13"/>
      <c r="W2114" s="13"/>
      <c r="X2114" s="13"/>
      <c r="Y2114" s="13"/>
      <c r="Z2114" s="13"/>
    </row>
    <row r="2115">
      <c r="A2115" s="8">
        <v>43848.17040509259</v>
      </c>
      <c r="B2115" s="9" t="str">
        <f>HYPERLINK("https://twitter.com/michelleharte_","@michelleharte_")</f>
        <v>@michelleharte_</v>
      </c>
      <c r="C2115" s="10" t="s">
        <v>9086</v>
      </c>
      <c r="D2115" s="10" t="s">
        <v>9107</v>
      </c>
      <c r="E2115" s="9" t="str">
        <f>HYPERLINK("https://twitter.com/michelleharte_/status/1218459357194702848","1218459357194702848")</f>
        <v>1218459357194702848</v>
      </c>
      <c r="F2115" s="10" t="s">
        <v>9108</v>
      </c>
      <c r="G2115" s="11" t="s">
        <v>9109</v>
      </c>
      <c r="H2115" s="13"/>
      <c r="I2115" s="14">
        <v>0.0</v>
      </c>
      <c r="J2115" s="14">
        <v>1.0</v>
      </c>
      <c r="K2115" s="9" t="str">
        <f>HYPERLINK("http://twitter.com/download/android","Twitter for Android")</f>
        <v>Twitter for Android</v>
      </c>
      <c r="L2115" s="15">
        <v>2363.0</v>
      </c>
      <c r="M2115" s="15">
        <v>5002.0</v>
      </c>
      <c r="N2115" s="15">
        <v>92.0</v>
      </c>
      <c r="O2115" s="16"/>
      <c r="P2115" s="17">
        <v>42118.67190972222</v>
      </c>
      <c r="Q2115" s="13"/>
      <c r="R2115" s="10" t="s">
        <v>9089</v>
      </c>
      <c r="S2115" s="11" t="s">
        <v>9090</v>
      </c>
      <c r="T2115" s="13"/>
      <c r="U2115" s="18" t="str">
        <f>HYPERLINK("https://pbs.twimg.com/profile_images/1215646136461070339/uqgkBiOM.jpg","View")</f>
        <v>View</v>
      </c>
      <c r="V2115" s="13"/>
      <c r="W2115" s="13"/>
      <c r="X2115" s="13"/>
      <c r="Y2115" s="13"/>
      <c r="Z2115" s="13"/>
    </row>
    <row r="2116">
      <c r="A2116" s="8">
        <v>43848.16961805556</v>
      </c>
      <c r="B2116" s="9" t="str">
        <f>HYPERLINK("https://twitter.com/BarnesGeorge7","@BarnesGeorge7")</f>
        <v>@BarnesGeorge7</v>
      </c>
      <c r="C2116" s="10" t="s">
        <v>4496</v>
      </c>
      <c r="D2116" s="10" t="s">
        <v>9110</v>
      </c>
      <c r="E2116" s="9" t="str">
        <f>HYPERLINK("https://twitter.com/BarnesGeorge7/status/1218459074800558081","1218459074800558081")</f>
        <v>1218459074800558081</v>
      </c>
      <c r="F2116" s="11" t="s">
        <v>4498</v>
      </c>
      <c r="G2116" s="11" t="s">
        <v>9111</v>
      </c>
      <c r="H2116" s="13"/>
      <c r="I2116" s="14">
        <v>0.0</v>
      </c>
      <c r="J2116" s="14">
        <v>0.0</v>
      </c>
      <c r="K2116" s="9" t="str">
        <f>HYPERLINK("https://mobile.twitter.com","Twitter Web App")</f>
        <v>Twitter Web App</v>
      </c>
      <c r="L2116" s="15">
        <v>5.0</v>
      </c>
      <c r="M2116" s="15">
        <v>6.0</v>
      </c>
      <c r="N2116" s="15">
        <v>0.0</v>
      </c>
      <c r="O2116" s="16"/>
      <c r="P2116" s="17">
        <v>43844.3974537037</v>
      </c>
      <c r="Q2116" s="10" t="s">
        <v>2323</v>
      </c>
      <c r="R2116" s="10" t="s">
        <v>4500</v>
      </c>
      <c r="S2116" s="11" t="s">
        <v>4501</v>
      </c>
      <c r="T2116" s="13"/>
      <c r="U2116" s="18" t="str">
        <f>HYPERLINK("https://pbs.twimg.com/profile_images/1217092596247465985/M4LUqFcc.jpg","View")</f>
        <v>View</v>
      </c>
      <c r="V2116" s="13"/>
      <c r="W2116" s="13"/>
      <c r="X2116" s="13"/>
      <c r="Y2116" s="13"/>
      <c r="Z2116" s="13"/>
    </row>
    <row r="2117">
      <c r="A2117" s="8">
        <v>43848.169386574074</v>
      </c>
      <c r="B2117" s="9" t="str">
        <f>HYPERLINK("https://twitter.com/May_TK89","@May_TK89")</f>
        <v>@May_TK89</v>
      </c>
      <c r="C2117" s="10" t="s">
        <v>9112</v>
      </c>
      <c r="D2117" s="10" t="s">
        <v>6734</v>
      </c>
      <c r="E2117" s="9" t="str">
        <f>HYPERLINK("https://twitter.com/May_TK89/status/1218458987148070912","1218458987148070912")</f>
        <v>1218458987148070912</v>
      </c>
      <c r="F2117" s="11" t="s">
        <v>6735</v>
      </c>
      <c r="G2117" s="13"/>
      <c r="H2117" s="13"/>
      <c r="I2117" s="14">
        <v>3.0</v>
      </c>
      <c r="J2117" s="14">
        <v>2.0</v>
      </c>
      <c r="K2117" s="9" t="str">
        <f>HYPERLINK("http://twitter.com","Twitter Web Client")</f>
        <v>Twitter Web Client</v>
      </c>
      <c r="L2117" s="15">
        <v>151.0</v>
      </c>
      <c r="M2117" s="15">
        <v>184.0</v>
      </c>
      <c r="N2117" s="15">
        <v>1.0</v>
      </c>
      <c r="O2117" s="16"/>
      <c r="P2117" s="17">
        <v>43609.33605324074</v>
      </c>
      <c r="Q2117" s="10" t="s">
        <v>4221</v>
      </c>
      <c r="R2117" s="10" t="s">
        <v>9113</v>
      </c>
      <c r="S2117" s="11" t="s">
        <v>9114</v>
      </c>
      <c r="T2117" s="13"/>
      <c r="U2117" s="18" t="str">
        <f>HYPERLINK("https://pbs.twimg.com/profile_images/1132600521188151297/q3r8e88w.jpg","View")</f>
        <v>View</v>
      </c>
      <c r="V2117" s="13"/>
      <c r="W2117" s="13"/>
      <c r="X2117" s="13"/>
      <c r="Y2117" s="13"/>
      <c r="Z2117" s="13"/>
    </row>
    <row r="2118">
      <c r="A2118" s="8">
        <v>43848.16930555555</v>
      </c>
      <c r="B2118" s="9" t="str">
        <f>HYPERLINK("https://twitter.com/thewarriormum","@thewarriormum")</f>
        <v>@thewarriormum</v>
      </c>
      <c r="C2118" s="10" t="s">
        <v>9115</v>
      </c>
      <c r="D2118" s="10" t="s">
        <v>9116</v>
      </c>
      <c r="E2118" s="9" t="str">
        <f>HYPERLINK("https://twitter.com/thewarriormum/status/1218458960367439872","1218458960367439872")</f>
        <v>1218458960367439872</v>
      </c>
      <c r="F2118" s="13"/>
      <c r="G2118" s="13"/>
      <c r="H2118" s="13"/>
      <c r="I2118" s="14">
        <v>0.0</v>
      </c>
      <c r="J2118" s="14">
        <v>1.0</v>
      </c>
      <c r="K2118" s="9" t="str">
        <f>HYPERLINK("http://twitter.com/download/android","Twitter for Android")</f>
        <v>Twitter for Android</v>
      </c>
      <c r="L2118" s="15">
        <v>561.0</v>
      </c>
      <c r="M2118" s="15">
        <v>465.0</v>
      </c>
      <c r="N2118" s="15">
        <v>3.0</v>
      </c>
      <c r="O2118" s="16"/>
      <c r="P2118" s="17">
        <v>42606.60814814815</v>
      </c>
      <c r="Q2118" s="10" t="s">
        <v>1442</v>
      </c>
      <c r="R2118" s="10" t="s">
        <v>9117</v>
      </c>
      <c r="S2118" s="11" t="s">
        <v>9118</v>
      </c>
      <c r="T2118" s="13"/>
      <c r="U2118" s="18" t="str">
        <f>HYPERLINK("https://pbs.twimg.com/profile_images/1140998906484011008/uPfUk2xw.jpg","View")</f>
        <v>View</v>
      </c>
      <c r="V2118" s="13"/>
      <c r="W2118" s="13"/>
      <c r="X2118" s="13"/>
      <c r="Y2118" s="13"/>
      <c r="Z2118" s="13"/>
    </row>
    <row r="2119">
      <c r="A2119" s="8">
        <v>43848.168333333335</v>
      </c>
      <c r="B2119" s="9" t="str">
        <f>HYPERLINK("https://twitter.com/DPT_Jobs","@DPT_Jobs")</f>
        <v>@DPT_Jobs</v>
      </c>
      <c r="C2119" s="10" t="s">
        <v>9119</v>
      </c>
      <c r="D2119" s="10" t="s">
        <v>9120</v>
      </c>
      <c r="E2119" s="9" t="str">
        <f>HYPERLINK("https://twitter.com/DPT_Jobs/status/1218458606993133569","1218458606993133569")</f>
        <v>1218458606993133569</v>
      </c>
      <c r="F2119" s="11" t="s">
        <v>9121</v>
      </c>
      <c r="G2119" s="11" t="s">
        <v>9122</v>
      </c>
      <c r="H2119" s="13"/>
      <c r="I2119" s="14">
        <v>7.0</v>
      </c>
      <c r="J2119" s="14">
        <v>7.0</v>
      </c>
      <c r="K2119" s="9" t="str">
        <f>HYPERLINK("https://orlo.tech","Orlo")</f>
        <v>Orlo</v>
      </c>
      <c r="L2119" s="15">
        <v>967.0</v>
      </c>
      <c r="M2119" s="15">
        <v>513.0</v>
      </c>
      <c r="N2119" s="15">
        <v>29.0</v>
      </c>
      <c r="O2119" s="16"/>
      <c r="P2119" s="17">
        <v>41947.32194444444</v>
      </c>
      <c r="Q2119" s="10" t="s">
        <v>9123</v>
      </c>
      <c r="R2119" s="10" t="s">
        <v>9124</v>
      </c>
      <c r="S2119" s="11" t="s">
        <v>9125</v>
      </c>
      <c r="T2119" s="13"/>
      <c r="U2119" s="18" t="str">
        <f>HYPERLINK("https://pbs.twimg.com/profile_images/1159781496376504321/91M_McpU.jpg","View")</f>
        <v>View</v>
      </c>
      <c r="V2119" s="13"/>
      <c r="W2119" s="13"/>
      <c r="X2119" s="13"/>
      <c r="Y2119" s="13"/>
      <c r="Z2119" s="13"/>
    </row>
    <row r="2120">
      <c r="A2120" s="8">
        <v>43848.16800925926</v>
      </c>
      <c r="B2120" s="9" t="str">
        <f>HYPERLINK("https://twitter.com/DadToSons","@DadToSons")</f>
        <v>@DadToSons</v>
      </c>
      <c r="C2120" s="10" t="s">
        <v>9126</v>
      </c>
      <c r="D2120" s="10" t="s">
        <v>9127</v>
      </c>
      <c r="E2120" s="9" t="str">
        <f>HYPERLINK("https://twitter.com/DadToSons/status/1218458489154129920","1218458489154129920")</f>
        <v>1218458489154129920</v>
      </c>
      <c r="F2120" s="13"/>
      <c r="G2120" s="13"/>
      <c r="H2120" s="13"/>
      <c r="I2120" s="14">
        <v>0.0</v>
      </c>
      <c r="J2120" s="14">
        <v>0.0</v>
      </c>
      <c r="K2120" s="9" t="str">
        <f t="shared" ref="K2120:K2122" si="266">HYPERLINK("http://twitter.com/download/iphone","Twitter for iPhone")</f>
        <v>Twitter for iPhone</v>
      </c>
      <c r="L2120" s="15">
        <v>47.0</v>
      </c>
      <c r="M2120" s="15">
        <v>58.0</v>
      </c>
      <c r="N2120" s="15">
        <v>1.0</v>
      </c>
      <c r="O2120" s="16"/>
      <c r="P2120" s="17">
        <v>43814.25614583334</v>
      </c>
      <c r="Q2120" s="10" t="s">
        <v>1324</v>
      </c>
      <c r="R2120" s="10" t="s">
        <v>9128</v>
      </c>
      <c r="S2120" s="13"/>
      <c r="T2120" s="13"/>
      <c r="U2120" s="18" t="str">
        <f>HYPERLINK("https://pbs.twimg.com/profile_images/1210303743759179791/fuvPx08A.jpg","View")</f>
        <v>View</v>
      </c>
      <c r="V2120" s="13"/>
      <c r="W2120" s="13"/>
      <c r="X2120" s="13"/>
      <c r="Y2120" s="13"/>
      <c r="Z2120" s="13"/>
    </row>
    <row r="2121">
      <c r="A2121" s="8">
        <v>43848.167592592596</v>
      </c>
      <c r="B2121" s="9" t="str">
        <f>HYPERLINK("https://twitter.com/LoveFirstWorld","@LoveFirstWorld")</f>
        <v>@LoveFirstWorld</v>
      </c>
      <c r="C2121" s="10" t="s">
        <v>9129</v>
      </c>
      <c r="D2121" s="10" t="s">
        <v>9130</v>
      </c>
      <c r="E2121" s="9" t="str">
        <f>HYPERLINK("https://twitter.com/LoveFirstWorld/status/1218458337601150976","1218458337601150976")</f>
        <v>1218458337601150976</v>
      </c>
      <c r="F2121" s="13"/>
      <c r="G2121" s="11" t="s">
        <v>9131</v>
      </c>
      <c r="H2121" s="13"/>
      <c r="I2121" s="14">
        <v>1.0</v>
      </c>
      <c r="J2121" s="14">
        <v>1.0</v>
      </c>
      <c r="K2121" s="9" t="str">
        <f t="shared" si="266"/>
        <v>Twitter for iPhone</v>
      </c>
      <c r="L2121" s="15">
        <v>402.0</v>
      </c>
      <c r="M2121" s="15">
        <v>1796.0</v>
      </c>
      <c r="N2121" s="15">
        <v>2.0</v>
      </c>
      <c r="O2121" s="16"/>
      <c r="P2121" s="17">
        <v>41431.47888888889</v>
      </c>
      <c r="Q2121" s="13"/>
      <c r="R2121" s="10" t="s">
        <v>9132</v>
      </c>
      <c r="S2121" s="11" t="s">
        <v>9133</v>
      </c>
      <c r="T2121" s="13"/>
      <c r="U2121" s="18" t="str">
        <f>HYPERLINK("https://pbs.twimg.com/profile_images/996529771013079042/_5eeSxZA.jpg","View")</f>
        <v>View</v>
      </c>
      <c r="V2121" s="13"/>
      <c r="W2121" s="13"/>
      <c r="X2121" s="13"/>
      <c r="Y2121" s="13"/>
      <c r="Z2121" s="13"/>
    </row>
    <row r="2122">
      <c r="A2122" s="8">
        <v>43848.167337962965</v>
      </c>
      <c r="B2122" s="9" t="str">
        <f>HYPERLINK("https://twitter.com/ScottTweedPhoto","@ScottTweedPhoto")</f>
        <v>@ScottTweedPhoto</v>
      </c>
      <c r="C2122" s="10" t="s">
        <v>9134</v>
      </c>
      <c r="D2122" s="10" t="s">
        <v>9135</v>
      </c>
      <c r="E2122" s="9" t="str">
        <f>HYPERLINK("https://twitter.com/ScottTweedPhoto/status/1218458247906152449","1218458247906152449")</f>
        <v>1218458247906152449</v>
      </c>
      <c r="F2122" s="13"/>
      <c r="G2122" s="11" t="s">
        <v>9136</v>
      </c>
      <c r="H2122" s="13"/>
      <c r="I2122" s="14">
        <v>3.0</v>
      </c>
      <c r="J2122" s="14">
        <v>9.0</v>
      </c>
      <c r="K2122" s="9" t="str">
        <f t="shared" si="266"/>
        <v>Twitter for iPhone</v>
      </c>
      <c r="L2122" s="15">
        <v>586.0</v>
      </c>
      <c r="M2122" s="15">
        <v>1713.0</v>
      </c>
      <c r="N2122" s="15">
        <v>1.0</v>
      </c>
      <c r="O2122" s="16"/>
      <c r="P2122" s="17">
        <v>42828.17958333333</v>
      </c>
      <c r="Q2122" s="10" t="s">
        <v>9137</v>
      </c>
      <c r="R2122" s="10" t="s">
        <v>9138</v>
      </c>
      <c r="S2122" s="11" t="s">
        <v>9139</v>
      </c>
      <c r="T2122" s="13"/>
      <c r="U2122" s="18" t="str">
        <f>HYPERLINK("https://pbs.twimg.com/profile_images/1194786164550635522/cIbllffj.jpg","View")</f>
        <v>View</v>
      </c>
      <c r="V2122" s="13"/>
      <c r="W2122" s="13"/>
      <c r="X2122" s="13"/>
      <c r="Y2122" s="13"/>
      <c r="Z2122" s="13"/>
    </row>
    <row r="2123">
      <c r="A2123" s="8">
        <v>43848.16732638889</v>
      </c>
      <c r="B2123" s="9" t="str">
        <f>HYPERLINK("https://twitter.com/SNAP4ADHD","@SNAP4ADHD")</f>
        <v>@SNAP4ADHD</v>
      </c>
      <c r="C2123" s="10" t="s">
        <v>168</v>
      </c>
      <c r="D2123" s="10" t="s">
        <v>9140</v>
      </c>
      <c r="E2123" s="9" t="str">
        <f>HYPERLINK("https://twitter.com/SNAP4ADHD/status/1218458241233047553","1218458241233047553")</f>
        <v>1218458241233047553</v>
      </c>
      <c r="F2123" s="13"/>
      <c r="G2123" s="11" t="s">
        <v>9141</v>
      </c>
      <c r="H2123" s="13"/>
      <c r="I2123" s="14">
        <v>0.0</v>
      </c>
      <c r="J2123" s="14">
        <v>0.0</v>
      </c>
      <c r="K2123" s="9" t="str">
        <f>HYPERLINK("https://www.socialjukebox.com","The Social Jukebox")</f>
        <v>The Social Jukebox</v>
      </c>
      <c r="L2123" s="15">
        <v>67.0</v>
      </c>
      <c r="M2123" s="15">
        <v>245.0</v>
      </c>
      <c r="N2123" s="15">
        <v>2.0</v>
      </c>
      <c r="O2123" s="16"/>
      <c r="P2123" s="17">
        <v>42926.87278935185</v>
      </c>
      <c r="Q2123" s="10" t="s">
        <v>171</v>
      </c>
      <c r="R2123" s="10" t="s">
        <v>172</v>
      </c>
      <c r="S2123" s="11" t="s">
        <v>173</v>
      </c>
      <c r="T2123" s="13"/>
      <c r="U2123" s="18" t="str">
        <f>HYPERLINK("https://pbs.twimg.com/profile_images/1177022434311983105/_D2VVVDL.jpg","View")</f>
        <v>View</v>
      </c>
      <c r="V2123" s="13"/>
      <c r="W2123" s="13"/>
      <c r="X2123" s="13"/>
      <c r="Y2123" s="13"/>
      <c r="Z2123" s="13"/>
    </row>
    <row r="2124">
      <c r="A2124" s="8">
        <v>43848.16725694445</v>
      </c>
      <c r="B2124" s="9" t="str">
        <f>HYPERLINK("https://twitter.com/KSB_Recruitment","@KSB_Recruitment")</f>
        <v>@KSB_Recruitment</v>
      </c>
      <c r="C2124" s="10" t="s">
        <v>9142</v>
      </c>
      <c r="D2124" s="10" t="s">
        <v>9143</v>
      </c>
      <c r="E2124" s="9" t="str">
        <f>HYPERLINK("https://twitter.com/KSB_Recruitment/status/1218458215320637440","1218458215320637440")</f>
        <v>1218458215320637440</v>
      </c>
      <c r="F2124" s="11" t="s">
        <v>9144</v>
      </c>
      <c r="G2124" s="13"/>
      <c r="H2124" s="13"/>
      <c r="I2124" s="14">
        <v>1.0</v>
      </c>
      <c r="J2124" s="14">
        <v>0.0</v>
      </c>
      <c r="K2124" s="9" t="str">
        <f t="shared" ref="K2124:K2126" si="267">HYPERLINK("https://www.hootsuite.com","Hootsuite Inc.")</f>
        <v>Hootsuite Inc.</v>
      </c>
      <c r="L2124" s="15">
        <v>64.0</v>
      </c>
      <c r="M2124" s="15">
        <v>226.0</v>
      </c>
      <c r="N2124" s="15">
        <v>2.0</v>
      </c>
      <c r="O2124" s="16"/>
      <c r="P2124" s="17">
        <v>42480.17234953704</v>
      </c>
      <c r="Q2124" s="10" t="s">
        <v>446</v>
      </c>
      <c r="R2124" s="10" t="s">
        <v>9145</v>
      </c>
      <c r="S2124" s="11" t="s">
        <v>9146</v>
      </c>
      <c r="T2124" s="13"/>
      <c r="U2124" s="18" t="str">
        <f>HYPERLINK("https://pbs.twimg.com/profile_images/996345307058393089/Z-sJhTzy.jpg","View")</f>
        <v>View</v>
      </c>
      <c r="V2124" s="13"/>
      <c r="W2124" s="13"/>
      <c r="X2124" s="13"/>
      <c r="Y2124" s="13"/>
      <c r="Z2124" s="13"/>
    </row>
    <row r="2125">
      <c r="A2125" s="8">
        <v>43848.167233796295</v>
      </c>
      <c r="B2125" s="9" t="str">
        <f>HYPERLINK("https://twitter.com/ivfbabble","@ivfbabble")</f>
        <v>@ivfbabble</v>
      </c>
      <c r="C2125" s="10" t="s">
        <v>9147</v>
      </c>
      <c r="D2125" s="10" t="s">
        <v>9148</v>
      </c>
      <c r="E2125" s="9" t="str">
        <f>HYPERLINK("https://twitter.com/ivfbabble/status/1218458209217847301","1218458209217847301")</f>
        <v>1218458209217847301</v>
      </c>
      <c r="F2125" s="11" t="s">
        <v>9149</v>
      </c>
      <c r="G2125" s="13"/>
      <c r="H2125" s="13"/>
      <c r="I2125" s="14">
        <v>1.0</v>
      </c>
      <c r="J2125" s="14">
        <v>4.0</v>
      </c>
      <c r="K2125" s="9" t="str">
        <f t="shared" si="267"/>
        <v>Hootsuite Inc.</v>
      </c>
      <c r="L2125" s="15">
        <v>2914.0</v>
      </c>
      <c r="M2125" s="15">
        <v>2013.0</v>
      </c>
      <c r="N2125" s="15">
        <v>18.0</v>
      </c>
      <c r="O2125" s="16"/>
      <c r="P2125" s="17">
        <v>42446.35863425926</v>
      </c>
      <c r="Q2125" s="10" t="s">
        <v>2050</v>
      </c>
      <c r="R2125" s="10" t="s">
        <v>9150</v>
      </c>
      <c r="S2125" s="11" t="s">
        <v>9151</v>
      </c>
      <c r="T2125" s="13"/>
      <c r="U2125" s="18" t="str">
        <f>HYPERLINK("https://pbs.twimg.com/profile_images/818559927669161989/w7_-XKc7.jpg","View")</f>
        <v>View</v>
      </c>
      <c r="V2125" s="13"/>
      <c r="W2125" s="13"/>
      <c r="X2125" s="13"/>
      <c r="Y2125" s="13"/>
      <c r="Z2125" s="13"/>
    </row>
    <row r="2126">
      <c r="A2126" s="8">
        <v>43848.16710648148</v>
      </c>
      <c r="B2126" s="9" t="str">
        <f>HYPERLINK("https://twitter.com/RHCPupdates","@RHCPupdates")</f>
        <v>@RHCPupdates</v>
      </c>
      <c r="C2126" s="10" t="s">
        <v>9152</v>
      </c>
      <c r="D2126" s="10" t="s">
        <v>9153</v>
      </c>
      <c r="E2126" s="9" t="str">
        <f>HYPERLINK("https://twitter.com/RHCPupdates/status/1218458163520864257","1218458163520864257")</f>
        <v>1218458163520864257</v>
      </c>
      <c r="F2126" s="13"/>
      <c r="G2126" s="11" t="s">
        <v>9154</v>
      </c>
      <c r="H2126" s="13"/>
      <c r="I2126" s="14">
        <v>0.0</v>
      </c>
      <c r="J2126" s="14">
        <v>2.0</v>
      </c>
      <c r="K2126" s="9" t="str">
        <f t="shared" si="267"/>
        <v>Hootsuite Inc.</v>
      </c>
      <c r="L2126" s="15">
        <v>2451.0</v>
      </c>
      <c r="M2126" s="15">
        <v>3720.0</v>
      </c>
      <c r="N2126" s="15">
        <v>46.0</v>
      </c>
      <c r="O2126" s="16"/>
      <c r="P2126" s="17">
        <v>40742.42104166667</v>
      </c>
      <c r="Q2126" s="10" t="s">
        <v>7111</v>
      </c>
      <c r="R2126" s="10" t="s">
        <v>9155</v>
      </c>
      <c r="S2126" s="11" t="s">
        <v>9156</v>
      </c>
      <c r="T2126" s="13"/>
      <c r="U2126" s="18" t="str">
        <f>HYPERLINK("https://pbs.twimg.com/profile_images/816019826657394688/QQZ_LUGP.jpg","View")</f>
        <v>View</v>
      </c>
      <c r="V2126" s="13"/>
      <c r="W2126" s="13"/>
      <c r="X2126" s="13"/>
      <c r="Y2126" s="13"/>
      <c r="Z2126" s="13"/>
    </row>
    <row r="2127">
      <c r="A2127" s="8">
        <v>43848.16693287037</v>
      </c>
      <c r="B2127" s="9" t="str">
        <f>HYPERLINK("https://twitter.com/oxfordcounselor","@oxfordcounselor")</f>
        <v>@oxfordcounselor</v>
      </c>
      <c r="C2127" s="10" t="s">
        <v>6222</v>
      </c>
      <c r="D2127" s="10" t="s">
        <v>9157</v>
      </c>
      <c r="E2127" s="9" t="str">
        <f>HYPERLINK("https://twitter.com/oxfordcounselor/status/1218458100342099968","1218458100342099968")</f>
        <v>1218458100342099968</v>
      </c>
      <c r="F2127" s="11" t="s">
        <v>9158</v>
      </c>
      <c r="G2127" s="13"/>
      <c r="H2127" s="13"/>
      <c r="I2127" s="14">
        <v>0.0</v>
      </c>
      <c r="J2127" s="14">
        <v>1.0</v>
      </c>
      <c r="K2127" s="9" t="str">
        <f>HYPERLINK("http://counsellor.directory","counsellor.directory")</f>
        <v>counsellor.directory</v>
      </c>
      <c r="L2127" s="15">
        <v>816.0</v>
      </c>
      <c r="M2127" s="15">
        <v>36.0</v>
      </c>
      <c r="N2127" s="15">
        <v>25.0</v>
      </c>
      <c r="O2127" s="16"/>
      <c r="P2127" s="17">
        <v>41520.635</v>
      </c>
      <c r="Q2127" s="10" t="s">
        <v>6061</v>
      </c>
      <c r="R2127" s="10" t="s">
        <v>6225</v>
      </c>
      <c r="S2127" s="11" t="s">
        <v>6226</v>
      </c>
      <c r="T2127" s="13"/>
      <c r="U2127" s="18" t="str">
        <f>HYPERLINK("https://pbs.twimg.com/profile_images/1144687984110919680/_rNkOpOE.png","View")</f>
        <v>View</v>
      </c>
      <c r="V2127" s="13"/>
      <c r="W2127" s="13"/>
      <c r="X2127" s="13"/>
      <c r="Y2127" s="13"/>
      <c r="Z2127" s="13"/>
    </row>
    <row r="2128">
      <c r="A2128" s="8">
        <v>43848.16690972222</v>
      </c>
      <c r="B2128" s="9" t="str">
        <f>HYPERLINK("https://twitter.com/DonelaLinas","@DonelaLinas")</f>
        <v>@DonelaLinas</v>
      </c>
      <c r="C2128" s="10" t="s">
        <v>1838</v>
      </c>
      <c r="D2128" s="10" t="s">
        <v>9159</v>
      </c>
      <c r="E2128" s="9" t="str">
        <f>HYPERLINK("https://twitter.com/DonelaLinas/status/1218458089319489537","1218458089319489537")</f>
        <v>1218458089319489537</v>
      </c>
      <c r="F2128" s="13"/>
      <c r="G2128" s="13"/>
      <c r="H2128" s="13"/>
      <c r="I2128" s="14">
        <v>1.0</v>
      </c>
      <c r="J2128" s="14">
        <v>0.0</v>
      </c>
      <c r="K2128" s="9" t="str">
        <f>HYPERLINK("http://twitter.com/download/android","Twitter for Android")</f>
        <v>Twitter for Android</v>
      </c>
      <c r="L2128" s="15">
        <v>34.0</v>
      </c>
      <c r="M2128" s="15">
        <v>57.0</v>
      </c>
      <c r="N2128" s="15">
        <v>0.0</v>
      </c>
      <c r="O2128" s="16"/>
      <c r="P2128" s="17">
        <v>42519.46498842593</v>
      </c>
      <c r="Q2128" s="10" t="s">
        <v>1840</v>
      </c>
      <c r="R2128" s="10" t="s">
        <v>1841</v>
      </c>
      <c r="S2128" s="13"/>
      <c r="T2128" s="13"/>
      <c r="U2128" s="18" t="str">
        <f>HYPERLINK("https://pbs.twimg.com/profile_images/737072476367269888/aenGDd9p.jpg","View")</f>
        <v>View</v>
      </c>
      <c r="V2128" s="13"/>
      <c r="W2128" s="13"/>
      <c r="X2128" s="13"/>
      <c r="Y2128" s="13"/>
      <c r="Z2128" s="13"/>
    </row>
    <row r="2129">
      <c r="A2129" s="8">
        <v>43848.16677083333</v>
      </c>
      <c r="B2129" s="9" t="str">
        <f>HYPERLINK("https://twitter.com/HeadstuckT","@HeadstuckT")</f>
        <v>@HeadstuckT</v>
      </c>
      <c r="C2129" s="10" t="s">
        <v>9160</v>
      </c>
      <c r="D2129" s="10" t="s">
        <v>9161</v>
      </c>
      <c r="E2129" s="9" t="str">
        <f>HYPERLINK("https://twitter.com/HeadstuckT/status/1218458042259427328","1218458042259427328")</f>
        <v>1218458042259427328</v>
      </c>
      <c r="F2129" s="10" t="s">
        <v>9162</v>
      </c>
      <c r="G2129" s="11" t="s">
        <v>9163</v>
      </c>
      <c r="H2129" s="13"/>
      <c r="I2129" s="14">
        <v>2.0</v>
      </c>
      <c r="J2129" s="14">
        <v>2.0</v>
      </c>
      <c r="K2129" s="9" t="str">
        <f>HYPERLINK("http://twitter.com/download/iphone","Twitter for iPhone")</f>
        <v>Twitter for iPhone</v>
      </c>
      <c r="L2129" s="15">
        <v>29.0</v>
      </c>
      <c r="M2129" s="15">
        <v>36.0</v>
      </c>
      <c r="N2129" s="15">
        <v>0.0</v>
      </c>
      <c r="O2129" s="16"/>
      <c r="P2129" s="17">
        <v>43672.73061342593</v>
      </c>
      <c r="Q2129" s="10" t="s">
        <v>2265</v>
      </c>
      <c r="R2129" s="10" t="s">
        <v>9164</v>
      </c>
      <c r="S2129" s="11" t="s">
        <v>9165</v>
      </c>
      <c r="T2129" s="13"/>
      <c r="U2129" s="18" t="str">
        <f>HYPERLINK("https://pbs.twimg.com/profile_images/1180121067400114176/nv3zkh1a.jpg","View")</f>
        <v>View</v>
      </c>
      <c r="V2129" s="13"/>
      <c r="W2129" s="13"/>
      <c r="X2129" s="13"/>
      <c r="Y2129" s="13"/>
      <c r="Z2129" s="13"/>
    </row>
    <row r="2130">
      <c r="A2130" s="8">
        <v>43848.16666666667</v>
      </c>
      <c r="B2130" s="9" t="str">
        <f>HYPERLINK("https://twitter.com/CovRugbyCCG","@CovRugbyCCG")</f>
        <v>@CovRugbyCCG</v>
      </c>
      <c r="C2130" s="10" t="s">
        <v>9166</v>
      </c>
      <c r="D2130" s="10" t="s">
        <v>9167</v>
      </c>
      <c r="E2130" s="9" t="str">
        <f>HYPERLINK("https://twitter.com/CovRugbyCCG/status/1218458005181739014","1218458005181739014")</f>
        <v>1218458005181739014</v>
      </c>
      <c r="F2130" s="13"/>
      <c r="G2130" s="11" t="s">
        <v>9168</v>
      </c>
      <c r="H2130" s="13"/>
      <c r="I2130" s="14">
        <v>0.0</v>
      </c>
      <c r="J2130" s="14">
        <v>1.0</v>
      </c>
      <c r="K2130" s="9" t="str">
        <f>HYPERLINK("https://about.twitter.com/products/tweetdeck","TweetDeck")</f>
        <v>TweetDeck</v>
      </c>
      <c r="L2130" s="15">
        <v>4457.0</v>
      </c>
      <c r="M2130" s="15">
        <v>933.0</v>
      </c>
      <c r="N2130" s="15">
        <v>105.0</v>
      </c>
      <c r="O2130" s="16"/>
      <c r="P2130" s="17">
        <v>41215.317881944444</v>
      </c>
      <c r="Q2130" s="10" t="s">
        <v>9169</v>
      </c>
      <c r="R2130" s="10" t="s">
        <v>9170</v>
      </c>
      <c r="S2130" s="11" t="s">
        <v>9171</v>
      </c>
      <c r="T2130" s="13"/>
      <c r="U2130" s="18" t="str">
        <f>HYPERLINK("https://pbs.twimg.com/profile_images/1186278527274029058/Xig2Rl19.jpg","View")</f>
        <v>View</v>
      </c>
      <c r="V2130" s="13"/>
      <c r="W2130" s="13"/>
      <c r="X2130" s="13"/>
      <c r="Y2130" s="13"/>
      <c r="Z2130" s="13"/>
    </row>
    <row r="2131">
      <c r="A2131" s="8">
        <v>43848.1656712963</v>
      </c>
      <c r="B2131" s="9" t="str">
        <f>HYPERLINK("https://twitter.com/BefriendersKL","@BefriendersKL")</f>
        <v>@BefriendersKL</v>
      </c>
      <c r="C2131" s="10" t="s">
        <v>9172</v>
      </c>
      <c r="D2131" s="10" t="s">
        <v>9173</v>
      </c>
      <c r="E2131" s="9" t="str">
        <f>HYPERLINK("https://twitter.com/BefriendersKL/status/1218457641447329793","1218457641447329793")</f>
        <v>1218457641447329793</v>
      </c>
      <c r="F2131" s="11" t="s">
        <v>9174</v>
      </c>
      <c r="G2131" s="13"/>
      <c r="H2131" s="13"/>
      <c r="I2131" s="14">
        <v>18.0</v>
      </c>
      <c r="J2131" s="14">
        <v>32.0</v>
      </c>
      <c r="K2131" s="9" t="str">
        <f>HYPERLINK("https://mobile.twitter.com","Twitter Web App")</f>
        <v>Twitter Web App</v>
      </c>
      <c r="L2131" s="15">
        <v>23469.0</v>
      </c>
      <c r="M2131" s="15">
        <v>50.0</v>
      </c>
      <c r="N2131" s="15">
        <v>42.0</v>
      </c>
      <c r="O2131" s="21" t="s">
        <v>522</v>
      </c>
      <c r="P2131" s="17">
        <v>41546.46188657408</v>
      </c>
      <c r="Q2131" s="10" t="s">
        <v>9175</v>
      </c>
      <c r="R2131" s="10" t="s">
        <v>9176</v>
      </c>
      <c r="S2131" s="11" t="s">
        <v>9177</v>
      </c>
      <c r="T2131" s="13"/>
      <c r="U2131" s="18" t="str">
        <f>HYPERLINK("https://pbs.twimg.com/profile_images/1212316613032067072/tzqybIY2.jpg","View")</f>
        <v>View</v>
      </c>
      <c r="V2131" s="13"/>
      <c r="W2131" s="13"/>
      <c r="X2131" s="13"/>
      <c r="Y2131" s="13"/>
      <c r="Z2131" s="13"/>
    </row>
    <row r="2132">
      <c r="A2132" s="8">
        <v>43848.16559027778</v>
      </c>
      <c r="B2132" s="9" t="str">
        <f>HYPERLINK("https://twitter.com/NathanGlen","@NathanGlen")</f>
        <v>@NathanGlen</v>
      </c>
      <c r="C2132" s="10" t="s">
        <v>9178</v>
      </c>
      <c r="D2132" s="10" t="s">
        <v>9179</v>
      </c>
      <c r="E2132" s="9" t="str">
        <f>HYPERLINK("https://twitter.com/NathanGlen/status/1218457611894513665","1218457611894513665")</f>
        <v>1218457611894513665</v>
      </c>
      <c r="F2132" s="13"/>
      <c r="G2132" s="11" t="s">
        <v>9180</v>
      </c>
      <c r="H2132" s="13"/>
      <c r="I2132" s="14">
        <v>0.0</v>
      </c>
      <c r="J2132" s="14">
        <v>0.0</v>
      </c>
      <c r="K2132" s="9" t="str">
        <f>HYPERLINK("http://twitter.com/download/android","Twitter for Android")</f>
        <v>Twitter for Android</v>
      </c>
      <c r="L2132" s="15">
        <v>720.0</v>
      </c>
      <c r="M2132" s="15">
        <v>1998.0</v>
      </c>
      <c r="N2132" s="15">
        <v>18.0</v>
      </c>
      <c r="O2132" s="16"/>
      <c r="P2132" s="17">
        <v>40783.53753472222</v>
      </c>
      <c r="Q2132" s="10" t="s">
        <v>3969</v>
      </c>
      <c r="R2132" s="10" t="s">
        <v>9181</v>
      </c>
      <c r="S2132" s="11" t="s">
        <v>9182</v>
      </c>
      <c r="T2132" s="13"/>
      <c r="U2132" s="18" t="str">
        <f>HYPERLINK("https://pbs.twimg.com/profile_images/1065002915142733824/AHwGl643.jpg","View")</f>
        <v>View</v>
      </c>
      <c r="V2132" s="13"/>
      <c r="W2132" s="13"/>
      <c r="X2132" s="13"/>
      <c r="Y2132" s="13"/>
      <c r="Z2132" s="13"/>
    </row>
    <row r="2133">
      <c r="A2133" s="8">
        <v>43848.16543981481</v>
      </c>
      <c r="B2133" s="9" t="str">
        <f>HYPERLINK("https://twitter.com/Anandisleepguru","@Anandisleepguru")</f>
        <v>@Anandisleepguru</v>
      </c>
      <c r="C2133" s="10" t="s">
        <v>9183</v>
      </c>
      <c r="D2133" s="10" t="s">
        <v>9184</v>
      </c>
      <c r="E2133" s="9" t="str">
        <f>HYPERLINK("https://twitter.com/Anandisleepguru/status/1218457559364972544","1218457559364972544")</f>
        <v>1218457559364972544</v>
      </c>
      <c r="F2133" s="13"/>
      <c r="G2133" s="11" t="s">
        <v>9185</v>
      </c>
      <c r="H2133" s="13"/>
      <c r="I2133" s="14">
        <v>0.0</v>
      </c>
      <c r="J2133" s="14">
        <v>1.0</v>
      </c>
      <c r="K2133" s="9" t="str">
        <f>HYPERLINK("https://www.hootsuite.com","Hootsuite Inc.")</f>
        <v>Hootsuite Inc.</v>
      </c>
      <c r="L2133" s="15">
        <v>6019.0</v>
      </c>
      <c r="M2133" s="15">
        <v>5635.0</v>
      </c>
      <c r="N2133" s="15">
        <v>99.0</v>
      </c>
      <c r="O2133" s="16"/>
      <c r="P2133" s="17">
        <v>40851.427511574075</v>
      </c>
      <c r="Q2133" s="10" t="s">
        <v>2323</v>
      </c>
      <c r="R2133" s="10" t="s">
        <v>9186</v>
      </c>
      <c r="S2133" s="11" t="s">
        <v>9187</v>
      </c>
      <c r="T2133" s="13"/>
      <c r="U2133" s="18" t="str">
        <f>HYPERLINK("https://pbs.twimg.com/profile_images/1622122741/das.jpg","View")</f>
        <v>View</v>
      </c>
      <c r="V2133" s="13"/>
      <c r="W2133" s="13"/>
      <c r="X2133" s="13"/>
      <c r="Y2133" s="13"/>
      <c r="Z2133" s="13"/>
    </row>
    <row r="2134">
      <c r="A2134" s="8">
        <v>43848.16516203704</v>
      </c>
      <c r="B2134" s="9" t="str">
        <f>HYPERLINK("https://twitter.com/kate_grosvenor","@kate_grosvenor")</f>
        <v>@kate_grosvenor</v>
      </c>
      <c r="C2134" s="10" t="s">
        <v>9188</v>
      </c>
      <c r="D2134" s="10" t="s">
        <v>9189</v>
      </c>
      <c r="E2134" s="9" t="str">
        <f>HYPERLINK("https://twitter.com/kate_grosvenor/status/1218457455992197120","1218457455992197120")</f>
        <v>1218457455992197120</v>
      </c>
      <c r="F2134" s="13"/>
      <c r="G2134" s="13"/>
      <c r="H2134" s="13"/>
      <c r="I2134" s="14">
        <v>0.0</v>
      </c>
      <c r="J2134" s="14">
        <v>0.0</v>
      </c>
      <c r="K2134" s="9" t="str">
        <f>HYPERLINK("http://twitter.com/download/iphone","Twitter for iPhone")</f>
        <v>Twitter for iPhone</v>
      </c>
      <c r="L2134" s="15">
        <v>202.0</v>
      </c>
      <c r="M2134" s="15">
        <v>534.0</v>
      </c>
      <c r="N2134" s="15">
        <v>4.0</v>
      </c>
      <c r="O2134" s="16"/>
      <c r="P2134" s="17">
        <v>43248.34829861111</v>
      </c>
      <c r="Q2134" s="10" t="s">
        <v>1324</v>
      </c>
      <c r="R2134" s="10" t="s">
        <v>9190</v>
      </c>
      <c r="S2134" s="11" t="s">
        <v>9191</v>
      </c>
      <c r="T2134" s="13"/>
      <c r="U2134" s="18" t="str">
        <f>HYPERLINK("https://pbs.twimg.com/profile_images/1214876684752695296/caFuj_Y6.jpg","View")</f>
        <v>View</v>
      </c>
      <c r="V2134" s="13"/>
      <c r="W2134" s="13"/>
      <c r="X2134" s="13"/>
      <c r="Y2134" s="13"/>
      <c r="Z2134" s="13"/>
    </row>
    <row r="2135">
      <c r="A2135" s="8">
        <v>43848.163877314815</v>
      </c>
      <c r="B2135" s="9" t="str">
        <f>HYPERLINK("https://twitter.com/MindflowCBT","@MindflowCBT")</f>
        <v>@MindflowCBT</v>
      </c>
      <c r="C2135" s="10" t="s">
        <v>2799</v>
      </c>
      <c r="D2135" s="10" t="s">
        <v>9192</v>
      </c>
      <c r="E2135" s="9" t="str">
        <f>HYPERLINK("https://twitter.com/MindflowCBT/status/1218456990768300032","1218456990768300032")</f>
        <v>1218456990768300032</v>
      </c>
      <c r="F2135" s="13"/>
      <c r="G2135" s="13"/>
      <c r="H2135" s="13"/>
      <c r="I2135" s="14">
        <v>0.0</v>
      </c>
      <c r="J2135" s="14">
        <v>0.0</v>
      </c>
      <c r="K2135" s="9" t="str">
        <f t="shared" ref="K2135:K2136" si="268">HYPERLINK("https://mobile.twitter.com","Twitter Web App")</f>
        <v>Twitter Web App</v>
      </c>
      <c r="L2135" s="15">
        <v>16.0</v>
      </c>
      <c r="M2135" s="15">
        <v>48.0</v>
      </c>
      <c r="N2135" s="15">
        <v>0.0</v>
      </c>
      <c r="O2135" s="16"/>
      <c r="P2135" s="17">
        <v>43725.39024305556</v>
      </c>
      <c r="Q2135" s="13"/>
      <c r="R2135" s="10" t="s">
        <v>2801</v>
      </c>
      <c r="S2135" s="11" t="s">
        <v>2802</v>
      </c>
      <c r="T2135" s="13"/>
      <c r="U2135" s="18" t="str">
        <f>HYPERLINK("https://pbs.twimg.com/profile_images/1173955598788026368/gygl9w31.jpg","View")</f>
        <v>View</v>
      </c>
      <c r="V2135" s="13"/>
      <c r="W2135" s="13"/>
      <c r="X2135" s="13"/>
      <c r="Y2135" s="13"/>
      <c r="Z2135" s="13"/>
    </row>
    <row r="2136">
      <c r="A2136" s="8">
        <v>43848.16342592593</v>
      </c>
      <c r="B2136" s="9" t="str">
        <f>HYPERLINK("https://twitter.com/newsgramDOTcom","@newsgramDOTcom")</f>
        <v>@newsgramDOTcom</v>
      </c>
      <c r="C2136" s="10" t="s">
        <v>9193</v>
      </c>
      <c r="D2136" s="10" t="s">
        <v>9194</v>
      </c>
      <c r="E2136" s="9" t="str">
        <f>HYPERLINK("https://twitter.com/newsgramDOTcom/status/1218456830478704641","1218456830478704641")</f>
        <v>1218456830478704641</v>
      </c>
      <c r="F2136" s="11" t="s">
        <v>9195</v>
      </c>
      <c r="G2136" s="13"/>
      <c r="H2136" s="13"/>
      <c r="I2136" s="14">
        <v>0.0</v>
      </c>
      <c r="J2136" s="14">
        <v>0.0</v>
      </c>
      <c r="K2136" s="9" t="str">
        <f t="shared" si="268"/>
        <v>Twitter Web App</v>
      </c>
      <c r="L2136" s="15">
        <v>1314.0</v>
      </c>
      <c r="M2136" s="15">
        <v>1.0</v>
      </c>
      <c r="N2136" s="15">
        <v>7.0</v>
      </c>
      <c r="O2136" s="16"/>
      <c r="P2136" s="17">
        <v>42845.56280092592</v>
      </c>
      <c r="Q2136" s="10" t="s">
        <v>1314</v>
      </c>
      <c r="R2136" s="10" t="s">
        <v>9196</v>
      </c>
      <c r="S2136" s="11" t="s">
        <v>9197</v>
      </c>
      <c r="T2136" s="13"/>
      <c r="U2136" s="18" t="str">
        <f>HYPERLINK("https://pbs.twimg.com/profile_images/915122563772071937/yU7G4x_l.jpg","View")</f>
        <v>View</v>
      </c>
      <c r="V2136" s="13"/>
      <c r="W2136" s="13"/>
      <c r="X2136" s="13"/>
      <c r="Y2136" s="13"/>
      <c r="Z2136" s="13"/>
    </row>
    <row r="2137">
      <c r="A2137" s="8">
        <v>43848.16328703704</v>
      </c>
      <c r="B2137" s="9" t="str">
        <f>HYPERLINK("https://twitter.com/ExpertLink2019","@ExpertLink2019")</f>
        <v>@ExpertLink2019</v>
      </c>
      <c r="C2137" s="10" t="s">
        <v>9198</v>
      </c>
      <c r="D2137" s="10" t="s">
        <v>9199</v>
      </c>
      <c r="E2137" s="9" t="str">
        <f>HYPERLINK("https://twitter.com/ExpertLink2019/status/1218456776737284096","1218456776737284096")</f>
        <v>1218456776737284096</v>
      </c>
      <c r="F2137" s="11" t="s">
        <v>9200</v>
      </c>
      <c r="G2137" s="11" t="s">
        <v>9201</v>
      </c>
      <c r="H2137" s="13"/>
      <c r="I2137" s="14">
        <v>3.0</v>
      </c>
      <c r="J2137" s="14">
        <v>3.0</v>
      </c>
      <c r="K2137" s="9" t="str">
        <f>HYPERLINK("https://www.hootsuite.com","Hootsuite Inc.")</f>
        <v>Hootsuite Inc.</v>
      </c>
      <c r="L2137" s="15">
        <v>416.0</v>
      </c>
      <c r="M2137" s="15">
        <v>303.0</v>
      </c>
      <c r="N2137" s="15">
        <v>1.0</v>
      </c>
      <c r="O2137" s="16"/>
      <c r="P2137" s="17">
        <v>43633.27596064815</v>
      </c>
      <c r="Q2137" s="13"/>
      <c r="R2137" s="10" t="s">
        <v>9202</v>
      </c>
      <c r="S2137" s="11" t="s">
        <v>9203</v>
      </c>
      <c r="T2137" s="13"/>
      <c r="U2137" s="18" t="str">
        <f>HYPERLINK("https://pbs.twimg.com/profile_images/1144178038470561793/ZfpkVDuO.png","View")</f>
        <v>View</v>
      </c>
      <c r="V2137" s="13"/>
      <c r="W2137" s="13"/>
      <c r="X2137" s="13"/>
      <c r="Y2137" s="13"/>
      <c r="Z2137" s="13"/>
    </row>
    <row r="2138">
      <c r="A2138" s="8">
        <v>43848.16327546297</v>
      </c>
      <c r="B2138" s="9" t="str">
        <f>HYPERLINK("https://twitter.com/JulieMPotvin","@JulieMPotvin")</f>
        <v>@JulieMPotvin</v>
      </c>
      <c r="C2138" s="10" t="s">
        <v>9204</v>
      </c>
      <c r="D2138" s="10" t="s">
        <v>9205</v>
      </c>
      <c r="E2138" s="9" t="str">
        <f>HYPERLINK("https://twitter.com/JulieMPotvin/status/1218456772584726529","1218456772584726529")</f>
        <v>1218456772584726529</v>
      </c>
      <c r="F2138" s="11" t="s">
        <v>9206</v>
      </c>
      <c r="G2138" s="11" t="s">
        <v>9207</v>
      </c>
      <c r="H2138" s="13"/>
      <c r="I2138" s="14">
        <v>0.0</v>
      </c>
      <c r="J2138" s="14">
        <v>0.0</v>
      </c>
      <c r="K2138" s="9" t="str">
        <f>HYPERLINK("http://dynamicsignal.com/","Dynamic Signal")</f>
        <v>Dynamic Signal</v>
      </c>
      <c r="L2138" s="15">
        <v>17.0</v>
      </c>
      <c r="M2138" s="15">
        <v>92.0</v>
      </c>
      <c r="N2138" s="15">
        <v>0.0</v>
      </c>
      <c r="O2138" s="16"/>
      <c r="P2138" s="17">
        <v>43521.96252314815</v>
      </c>
      <c r="Q2138" s="10" t="s">
        <v>650</v>
      </c>
      <c r="R2138" s="10" t="s">
        <v>9208</v>
      </c>
      <c r="S2138" s="13"/>
      <c r="T2138" s="13"/>
      <c r="U2138" s="18" t="str">
        <f>HYPERLINK("https://pbs.twimg.com/profile_images/1103450125437931520/CTieifl9.jpg","View")</f>
        <v>View</v>
      </c>
      <c r="V2138" s="13"/>
      <c r="W2138" s="13"/>
      <c r="X2138" s="13"/>
      <c r="Y2138" s="13"/>
      <c r="Z2138" s="13"/>
    </row>
    <row r="2139">
      <c r="A2139" s="8">
        <v>43848.162407407406</v>
      </c>
      <c r="B2139" s="9" t="str">
        <f>HYPERLINK("https://twitter.com/Fabtraining1","@Fabtraining1")</f>
        <v>@Fabtraining1</v>
      </c>
      <c r="C2139" s="10" t="s">
        <v>9209</v>
      </c>
      <c r="D2139" s="10" t="s">
        <v>9210</v>
      </c>
      <c r="E2139" s="9" t="str">
        <f>HYPERLINK("https://twitter.com/Fabtraining1/status/1218456458943221760","1218456458943221760")</f>
        <v>1218456458943221760</v>
      </c>
      <c r="F2139" s="13"/>
      <c r="G2139" s="11" t="s">
        <v>9211</v>
      </c>
      <c r="H2139" s="13"/>
      <c r="I2139" s="14">
        <v>0.0</v>
      </c>
      <c r="J2139" s="14">
        <v>4.0</v>
      </c>
      <c r="K2139" s="9" t="str">
        <f t="shared" ref="K2139:K2141" si="269">HYPERLINK("http://twitter.com/download/iphone","Twitter for iPhone")</f>
        <v>Twitter for iPhone</v>
      </c>
      <c r="L2139" s="15">
        <v>134.0</v>
      </c>
      <c r="M2139" s="15">
        <v>258.0</v>
      </c>
      <c r="N2139" s="15">
        <v>1.0</v>
      </c>
      <c r="O2139" s="16"/>
      <c r="P2139" s="17">
        <v>41478.90090277778</v>
      </c>
      <c r="Q2139" s="10" t="s">
        <v>9212</v>
      </c>
      <c r="R2139" s="10" t="s">
        <v>9213</v>
      </c>
      <c r="S2139" s="11" t="s">
        <v>9214</v>
      </c>
      <c r="T2139" s="13"/>
      <c r="U2139" s="18" t="str">
        <f>HYPERLINK("https://pbs.twimg.com/profile_images/1160424383925633024/jpf-riXk.jpg","View")</f>
        <v>View</v>
      </c>
      <c r="V2139" s="13"/>
      <c r="W2139" s="13"/>
      <c r="X2139" s="13"/>
      <c r="Y2139" s="13"/>
      <c r="Z2139" s="13"/>
    </row>
    <row r="2140">
      <c r="A2140" s="8">
        <v>43848.16164351851</v>
      </c>
      <c r="B2140" s="9" t="str">
        <f>HYPERLINK("https://twitter.com/Lilium0candidum","@Lilium0candidum")</f>
        <v>@Lilium0candidum</v>
      </c>
      <c r="C2140" s="10" t="s">
        <v>9215</v>
      </c>
      <c r="D2140" s="10" t="s">
        <v>9216</v>
      </c>
      <c r="E2140" s="9" t="str">
        <f>HYPERLINK("https://twitter.com/Lilium0candidum/status/1218456182194569216","1218456182194569216")</f>
        <v>1218456182194569216</v>
      </c>
      <c r="F2140" s="13"/>
      <c r="G2140" s="13"/>
      <c r="H2140" s="13"/>
      <c r="I2140" s="14">
        <v>0.0</v>
      </c>
      <c r="J2140" s="14">
        <v>3.0</v>
      </c>
      <c r="K2140" s="9" t="str">
        <f t="shared" si="269"/>
        <v>Twitter for iPhone</v>
      </c>
      <c r="L2140" s="15">
        <v>69.0</v>
      </c>
      <c r="M2140" s="15">
        <v>16.0</v>
      </c>
      <c r="N2140" s="15">
        <v>0.0</v>
      </c>
      <c r="O2140" s="16"/>
      <c r="P2140" s="17">
        <v>43781.42768518519</v>
      </c>
      <c r="Q2140" s="10" t="s">
        <v>9217</v>
      </c>
      <c r="R2140" s="10" t="s">
        <v>9218</v>
      </c>
      <c r="S2140" s="13"/>
      <c r="T2140" s="13"/>
      <c r="U2140" s="18" t="str">
        <f>HYPERLINK("https://pbs.twimg.com/profile_images/1197644265612029955/9_FSZRLu.jpg","View")</f>
        <v>View</v>
      </c>
      <c r="V2140" s="13"/>
      <c r="W2140" s="13"/>
      <c r="X2140" s="13"/>
      <c r="Y2140" s="13"/>
      <c r="Z2140" s="13"/>
    </row>
    <row r="2141">
      <c r="A2141" s="8">
        <v>43848.16061342593</v>
      </c>
      <c r="B2141" s="9" t="str">
        <f>HYPERLINK("https://twitter.com/ScottAKnowles","@ScottAKnowles")</f>
        <v>@ScottAKnowles</v>
      </c>
      <c r="C2141" s="10" t="s">
        <v>9219</v>
      </c>
      <c r="D2141" s="10" t="s">
        <v>9220</v>
      </c>
      <c r="E2141" s="9" t="str">
        <f>HYPERLINK("https://twitter.com/ScottAKnowles/status/1218455808670937093","1218455808670937093")</f>
        <v>1218455808670937093</v>
      </c>
      <c r="F2141" s="11" t="s">
        <v>7941</v>
      </c>
      <c r="G2141" s="13"/>
      <c r="H2141" s="13"/>
      <c r="I2141" s="14">
        <v>1.0</v>
      </c>
      <c r="J2141" s="14">
        <v>6.0</v>
      </c>
      <c r="K2141" s="9" t="str">
        <f t="shared" si="269"/>
        <v>Twitter for iPhone</v>
      </c>
      <c r="L2141" s="15">
        <v>171.0</v>
      </c>
      <c r="M2141" s="15">
        <v>87.0</v>
      </c>
      <c r="N2141" s="15">
        <v>1.0</v>
      </c>
      <c r="O2141" s="16"/>
      <c r="P2141" s="17">
        <v>42551.30438657408</v>
      </c>
      <c r="Q2141" s="10" t="s">
        <v>9221</v>
      </c>
      <c r="R2141" s="10" t="s">
        <v>9222</v>
      </c>
      <c r="S2141" s="11" t="s">
        <v>9223</v>
      </c>
      <c r="T2141" s="13"/>
      <c r="U2141" s="18" t="str">
        <f>HYPERLINK("https://pbs.twimg.com/profile_images/1216285379025932288/w-Te0umO.jpg","View")</f>
        <v>View</v>
      </c>
      <c r="V2141" s="13"/>
      <c r="W2141" s="13"/>
      <c r="X2141" s="13"/>
      <c r="Y2141" s="13"/>
      <c r="Z2141" s="13"/>
    </row>
    <row r="2142">
      <c r="A2142" s="8">
        <v>43848.15975694444</v>
      </c>
      <c r="B2142" s="9" t="str">
        <f>HYPERLINK("https://twitter.com/SE_CE_MIND","@SE_CE_MIND")</f>
        <v>@SE_CE_MIND</v>
      </c>
      <c r="C2142" s="10" t="s">
        <v>6662</v>
      </c>
      <c r="D2142" s="10" t="s">
        <v>9224</v>
      </c>
      <c r="E2142" s="9" t="str">
        <f>HYPERLINK("https://twitter.com/SE_CE_MIND/status/1218455498187530241","1218455498187530241")</f>
        <v>1218455498187530241</v>
      </c>
      <c r="F2142" s="11" t="s">
        <v>9225</v>
      </c>
      <c r="G2142" s="11" t="s">
        <v>9226</v>
      </c>
      <c r="H2142" s="13"/>
      <c r="I2142" s="14">
        <v>3.0</v>
      </c>
      <c r="J2142" s="14">
        <v>1.0</v>
      </c>
      <c r="K2142" s="9" t="str">
        <f>HYPERLINK("https://www.hootsuite.com","Hootsuite Inc.")</f>
        <v>Hootsuite Inc.</v>
      </c>
      <c r="L2142" s="15">
        <v>1827.0</v>
      </c>
      <c r="M2142" s="15">
        <v>3091.0</v>
      </c>
      <c r="N2142" s="15">
        <v>37.0</v>
      </c>
      <c r="O2142" s="16"/>
      <c r="P2142" s="17">
        <v>41808.282418981486</v>
      </c>
      <c r="Q2142" s="10" t="s">
        <v>6665</v>
      </c>
      <c r="R2142" s="10" t="s">
        <v>6666</v>
      </c>
      <c r="S2142" s="11" t="s">
        <v>6667</v>
      </c>
      <c r="T2142" s="13"/>
      <c r="U2142" s="18" t="str">
        <f>HYPERLINK("https://pbs.twimg.com/profile_images/825710989169553408/LvCtoo5V.jpg","View")</f>
        <v>View</v>
      </c>
      <c r="V2142" s="13"/>
      <c r="W2142" s="13"/>
      <c r="X2142" s="13"/>
      <c r="Y2142" s="13"/>
      <c r="Z2142" s="13"/>
    </row>
    <row r="2143">
      <c r="A2143" s="8">
        <v>43848.159687499996</v>
      </c>
      <c r="B2143" s="9" t="str">
        <f>HYPERLINK("https://twitter.com/genet_screwed","@genet_screwed")</f>
        <v>@genet_screwed</v>
      </c>
      <c r="C2143" s="10" t="s">
        <v>1370</v>
      </c>
      <c r="D2143" s="10" t="s">
        <v>9227</v>
      </c>
      <c r="E2143" s="9" t="str">
        <f>HYPERLINK("https://twitter.com/genet_screwed/status/1218455475894865925","1218455475894865925")</f>
        <v>1218455475894865925</v>
      </c>
      <c r="F2143" s="11" t="s">
        <v>9228</v>
      </c>
      <c r="G2143" s="13"/>
      <c r="H2143" s="13"/>
      <c r="I2143" s="14">
        <v>1.0</v>
      </c>
      <c r="J2143" s="14">
        <v>1.0</v>
      </c>
      <c r="K2143" s="9" t="str">
        <f>HYPERLINK("http://twitter.com/download/android","Twitter for Android")</f>
        <v>Twitter for Android</v>
      </c>
      <c r="L2143" s="15">
        <v>137.0</v>
      </c>
      <c r="M2143" s="15">
        <v>479.0</v>
      </c>
      <c r="N2143" s="15">
        <v>1.0</v>
      </c>
      <c r="O2143" s="16"/>
      <c r="P2143" s="17">
        <v>43124.348645833335</v>
      </c>
      <c r="Q2143" s="10" t="s">
        <v>1372</v>
      </c>
      <c r="R2143" s="10" t="s">
        <v>1373</v>
      </c>
      <c r="S2143" s="13"/>
      <c r="T2143" s="13"/>
      <c r="U2143" s="18" t="str">
        <f>HYPERLINK("https://pbs.twimg.com/profile_images/1218375619207143424/rKxa_S8O.jpg","View")</f>
        <v>View</v>
      </c>
      <c r="V2143" s="13"/>
      <c r="W2143" s="13"/>
      <c r="X2143" s="13"/>
      <c r="Y2143" s="13"/>
      <c r="Z2143" s="13"/>
    </row>
    <row r="2144">
      <c r="A2144" s="8">
        <v>43848.159629629634</v>
      </c>
      <c r="B2144" s="9" t="str">
        <f>HYPERLINK("https://twitter.com/gusmckechnie","@gusmckechnie")</f>
        <v>@gusmckechnie</v>
      </c>
      <c r="C2144" s="10" t="s">
        <v>8688</v>
      </c>
      <c r="D2144" s="10" t="s">
        <v>9229</v>
      </c>
      <c r="E2144" s="9" t="str">
        <f>HYPERLINK("https://twitter.com/gusmckechnie/status/1218455454361145344","1218455454361145344")</f>
        <v>1218455454361145344</v>
      </c>
      <c r="F2144" s="13"/>
      <c r="G2144" s="11" t="s">
        <v>9230</v>
      </c>
      <c r="H2144" s="13"/>
      <c r="I2144" s="14">
        <v>1.0</v>
      </c>
      <c r="J2144" s="14">
        <v>5.0</v>
      </c>
      <c r="K2144" s="9" t="str">
        <f>HYPERLINK("http://twitter.com/download/iphone","Twitter for iPhone")</f>
        <v>Twitter for iPhone</v>
      </c>
      <c r="L2144" s="15">
        <v>1618.0</v>
      </c>
      <c r="M2144" s="15">
        <v>3454.0</v>
      </c>
      <c r="N2144" s="15">
        <v>31.0</v>
      </c>
      <c r="O2144" s="16"/>
      <c r="P2144" s="17">
        <v>39900.20070601852</v>
      </c>
      <c r="Q2144" s="10" t="s">
        <v>8691</v>
      </c>
      <c r="R2144" s="10" t="s">
        <v>8692</v>
      </c>
      <c r="S2144" s="11" t="s">
        <v>8693</v>
      </c>
      <c r="T2144" s="13"/>
      <c r="U2144" s="18" t="str">
        <f>HYPERLINK("https://pbs.twimg.com/profile_images/948651639099084800/w70QH2jh.jpg","View")</f>
        <v>View</v>
      </c>
      <c r="V2144" s="13"/>
      <c r="W2144" s="13"/>
      <c r="X2144" s="13"/>
      <c r="Y2144" s="13"/>
      <c r="Z2144" s="13"/>
    </row>
    <row r="2145">
      <c r="A2145" s="8">
        <v>43848.15938657407</v>
      </c>
      <c r="B2145" s="9" t="str">
        <f>HYPERLINK("https://twitter.com/BCFCSheriff","@BCFCSheriff")</f>
        <v>@BCFCSheriff</v>
      </c>
      <c r="C2145" s="10" t="s">
        <v>9231</v>
      </c>
      <c r="D2145" s="10" t="s">
        <v>238</v>
      </c>
      <c r="E2145" s="9" t="str">
        <f>HYPERLINK("https://twitter.com/BCFCSheriff/status/1218455364728971264","1218455364728971264")</f>
        <v>1218455364728971264</v>
      </c>
      <c r="F2145" s="13"/>
      <c r="G2145" s="13"/>
      <c r="H2145" s="13"/>
      <c r="I2145" s="14">
        <v>0.0</v>
      </c>
      <c r="J2145" s="14">
        <v>0.0</v>
      </c>
      <c r="K2145" s="9" t="str">
        <f t="shared" ref="K2145:K2146" si="270">HYPERLINK("http://twitter.com/download/android","Twitter for Android")</f>
        <v>Twitter for Android</v>
      </c>
      <c r="L2145" s="15">
        <v>253.0</v>
      </c>
      <c r="M2145" s="15">
        <v>673.0</v>
      </c>
      <c r="N2145" s="15">
        <v>8.0</v>
      </c>
      <c r="O2145" s="16"/>
      <c r="P2145" s="17">
        <v>40642.42047453704</v>
      </c>
      <c r="Q2145" s="10" t="s">
        <v>9232</v>
      </c>
      <c r="R2145" s="10" t="s">
        <v>9233</v>
      </c>
      <c r="S2145" s="13"/>
      <c r="T2145" s="13"/>
      <c r="U2145" s="18" t="str">
        <f>HYPERLINK("https://pbs.twimg.com/profile_images/983062724421840896/Q2dpjcxE.jpg","View")</f>
        <v>View</v>
      </c>
      <c r="V2145" s="13"/>
      <c r="W2145" s="13"/>
      <c r="X2145" s="13"/>
      <c r="Y2145" s="13"/>
      <c r="Z2145" s="13"/>
    </row>
    <row r="2146">
      <c r="A2146" s="8">
        <v>43848.159212962964</v>
      </c>
      <c r="B2146" s="9" t="str">
        <f>HYPERLINK("https://twitter.com/SaldanhaViva","@SaldanhaViva")</f>
        <v>@SaldanhaViva</v>
      </c>
      <c r="C2146" s="10" t="s">
        <v>9234</v>
      </c>
      <c r="D2146" s="10" t="s">
        <v>9235</v>
      </c>
      <c r="E2146" s="9" t="str">
        <f>HYPERLINK("https://twitter.com/SaldanhaViva/status/1218455301390831616","1218455301390831616")</f>
        <v>1218455301390831616</v>
      </c>
      <c r="F2146" s="10" t="s">
        <v>9236</v>
      </c>
      <c r="G2146" s="13"/>
      <c r="H2146" s="13"/>
      <c r="I2146" s="14">
        <v>0.0</v>
      </c>
      <c r="J2146" s="14">
        <v>1.0</v>
      </c>
      <c r="K2146" s="9" t="str">
        <f t="shared" si="270"/>
        <v>Twitter for Android</v>
      </c>
      <c r="L2146" s="15">
        <v>290.0</v>
      </c>
      <c r="M2146" s="15">
        <v>237.0</v>
      </c>
      <c r="N2146" s="15">
        <v>1.0</v>
      </c>
      <c r="O2146" s="16"/>
      <c r="P2146" s="17">
        <v>41236.18347222223</v>
      </c>
      <c r="Q2146" s="10" t="s">
        <v>446</v>
      </c>
      <c r="R2146" s="10" t="s">
        <v>9237</v>
      </c>
      <c r="S2146" s="13"/>
      <c r="T2146" s="13"/>
      <c r="U2146" s="18" t="str">
        <f>HYPERLINK("https://pbs.twimg.com/profile_images/1161395019246374913/tdnIwPy8.jpg","View")</f>
        <v>View</v>
      </c>
      <c r="V2146" s="13"/>
      <c r="W2146" s="13"/>
      <c r="X2146" s="13"/>
      <c r="Y2146" s="13"/>
      <c r="Z2146" s="13"/>
    </row>
    <row r="2147">
      <c r="A2147" s="8">
        <v>43848.15918981482</v>
      </c>
      <c r="B2147" s="9" t="str">
        <f>HYPERLINK("https://twitter.com/TheHashtagIn","@TheHashtagIn")</f>
        <v>@TheHashtagIn</v>
      </c>
      <c r="C2147" s="10" t="s">
        <v>9238</v>
      </c>
      <c r="D2147" s="10" t="s">
        <v>9239</v>
      </c>
      <c r="E2147" s="9" t="str">
        <f>HYPERLINK("https://twitter.com/TheHashtagIn/status/1218455294738685953","1218455294738685953")</f>
        <v>1218455294738685953</v>
      </c>
      <c r="F2147" s="13"/>
      <c r="G2147" s="11" t="s">
        <v>9240</v>
      </c>
      <c r="H2147" s="13"/>
      <c r="I2147" s="14">
        <v>0.0</v>
      </c>
      <c r="J2147" s="14">
        <v>0.0</v>
      </c>
      <c r="K2147" s="9" t="str">
        <f>HYPERLINK("https://ifttt.com","IFTTT")</f>
        <v>IFTTT</v>
      </c>
      <c r="L2147" s="15">
        <v>337.0</v>
      </c>
      <c r="M2147" s="15">
        <v>67.0</v>
      </c>
      <c r="N2147" s="15">
        <v>5.0</v>
      </c>
      <c r="O2147" s="16"/>
      <c r="P2147" s="17">
        <v>40143.25813657408</v>
      </c>
      <c r="Q2147" s="10" t="s">
        <v>9241</v>
      </c>
      <c r="R2147" s="10" t="s">
        <v>9242</v>
      </c>
      <c r="S2147" s="11" t="s">
        <v>9243</v>
      </c>
      <c r="T2147" s="13"/>
      <c r="U2147" s="18" t="str">
        <f>HYPERLINK("https://pbs.twimg.com/profile_images/1211688305978294276/bhjGBhX5.jpg","View")</f>
        <v>View</v>
      </c>
      <c r="V2147" s="13"/>
      <c r="W2147" s="13"/>
      <c r="X2147" s="13"/>
      <c r="Y2147" s="13"/>
      <c r="Z2147" s="13"/>
    </row>
    <row r="2148">
      <c r="A2148" s="8">
        <v>43848.15909722222</v>
      </c>
      <c r="B2148" s="9" t="str">
        <f>HYPERLINK("https://twitter.com/AaronVRN","@AaronVRN")</f>
        <v>@AaronVRN</v>
      </c>
      <c r="C2148" s="10" t="s">
        <v>9244</v>
      </c>
      <c r="D2148" s="10" t="s">
        <v>9245</v>
      </c>
      <c r="E2148" s="9" t="str">
        <f>HYPERLINK("https://twitter.com/AaronVRN/status/1218455261586903040","1218455261586903040")</f>
        <v>1218455261586903040</v>
      </c>
      <c r="F2148" s="11" t="s">
        <v>9246</v>
      </c>
      <c r="G2148" s="13"/>
      <c r="H2148" s="13"/>
      <c r="I2148" s="14">
        <v>0.0</v>
      </c>
      <c r="J2148" s="14">
        <v>10.0</v>
      </c>
      <c r="K2148" s="9" t="str">
        <f>HYPERLINK("http://twitter.com/download/iphone","Twitter for iPhone")</f>
        <v>Twitter for iPhone</v>
      </c>
      <c r="L2148" s="15">
        <v>206.0</v>
      </c>
      <c r="M2148" s="15">
        <v>234.0</v>
      </c>
      <c r="N2148" s="15">
        <v>8.0</v>
      </c>
      <c r="O2148" s="16"/>
      <c r="P2148" s="17">
        <v>40823.13162037037</v>
      </c>
      <c r="Q2148" s="10" t="s">
        <v>9247</v>
      </c>
      <c r="R2148" s="10" t="s">
        <v>9248</v>
      </c>
      <c r="S2148" s="11" t="s">
        <v>9249</v>
      </c>
      <c r="T2148" s="13"/>
      <c r="U2148" s="18" t="str">
        <f>HYPERLINK("https://pbs.twimg.com/profile_images/1130516159521017857/CppIaGeG.jpg","View")</f>
        <v>View</v>
      </c>
      <c r="V2148" s="13"/>
      <c r="W2148" s="13"/>
      <c r="X2148" s="13"/>
      <c r="Y2148" s="13"/>
      <c r="Z2148" s="13"/>
    </row>
    <row r="2149">
      <c r="A2149" s="8">
        <v>43848.15864583333</v>
      </c>
      <c r="B2149" s="9" t="str">
        <f>HYPERLINK("https://twitter.com/PeaceInPain1","@PeaceInPain1")</f>
        <v>@PeaceInPain1</v>
      </c>
      <c r="C2149" s="10" t="s">
        <v>5838</v>
      </c>
      <c r="D2149" s="10" t="s">
        <v>9250</v>
      </c>
      <c r="E2149" s="9" t="str">
        <f>HYPERLINK("https://twitter.com/PeaceInPain1/status/1218455095752515586","1218455095752515586")</f>
        <v>1218455095752515586</v>
      </c>
      <c r="F2149" s="13"/>
      <c r="G2149" s="11" t="s">
        <v>9251</v>
      </c>
      <c r="H2149" s="13"/>
      <c r="I2149" s="14">
        <v>0.0</v>
      </c>
      <c r="J2149" s="14">
        <v>0.0</v>
      </c>
      <c r="K2149" s="9" t="str">
        <f>HYPERLINK("http://twitter.com/#!/download/ipad","Twitter for iPad")</f>
        <v>Twitter for iPad</v>
      </c>
      <c r="L2149" s="15">
        <v>1327.0</v>
      </c>
      <c r="M2149" s="15">
        <v>4031.0</v>
      </c>
      <c r="N2149" s="15">
        <v>5.0</v>
      </c>
      <c r="O2149" s="16"/>
      <c r="P2149" s="17">
        <v>43531.38266203704</v>
      </c>
      <c r="Q2149" s="10" t="s">
        <v>2265</v>
      </c>
      <c r="R2149" s="10" t="s">
        <v>5841</v>
      </c>
      <c r="S2149" s="11" t="s">
        <v>5842</v>
      </c>
      <c r="T2149" s="13"/>
      <c r="U2149" s="18" t="str">
        <f>HYPERLINK("https://pbs.twimg.com/profile_images/1103659440140623872/lEvPyEbL.png","View")</f>
        <v>View</v>
      </c>
      <c r="V2149" s="13"/>
      <c r="W2149" s="13"/>
      <c r="X2149" s="13"/>
      <c r="Y2149" s="13"/>
      <c r="Z2149" s="13"/>
    </row>
    <row r="2150">
      <c r="A2150" s="8">
        <v>43848.15834490741</v>
      </c>
      <c r="B2150" s="9" t="str">
        <f>HYPERLINK("https://twitter.com/soniadutta1902","@soniadutta1902")</f>
        <v>@soniadutta1902</v>
      </c>
      <c r="C2150" s="10" t="s">
        <v>9252</v>
      </c>
      <c r="D2150" s="10" t="s">
        <v>9253</v>
      </c>
      <c r="E2150" s="9" t="str">
        <f>HYPERLINK("https://twitter.com/soniadutta1902/status/1218454988227256320","1218454988227256320")</f>
        <v>1218454988227256320</v>
      </c>
      <c r="F2150" s="13"/>
      <c r="G2150" s="13"/>
      <c r="H2150" s="13"/>
      <c r="I2150" s="14">
        <v>2.0</v>
      </c>
      <c r="J2150" s="14">
        <v>10.0</v>
      </c>
      <c r="K2150" s="9" t="str">
        <f t="shared" ref="K2150:K2151" si="271">HYPERLINK("http://twitter.com/download/iphone","Twitter for iPhone")</f>
        <v>Twitter for iPhone</v>
      </c>
      <c r="L2150" s="15">
        <v>1956.0</v>
      </c>
      <c r="M2150" s="15">
        <v>381.0</v>
      </c>
      <c r="N2150" s="15">
        <v>33.0</v>
      </c>
      <c r="O2150" s="16"/>
      <c r="P2150" s="17">
        <v>39988.54460648148</v>
      </c>
      <c r="Q2150" s="10" t="s">
        <v>2805</v>
      </c>
      <c r="R2150" s="10" t="s">
        <v>9254</v>
      </c>
      <c r="S2150" s="13"/>
      <c r="T2150" s="13"/>
      <c r="U2150" s="18" t="str">
        <f>HYPERLINK("https://pbs.twimg.com/profile_images/1205664530027745280/8ldgWK4Z.jpg","View")</f>
        <v>View</v>
      </c>
      <c r="V2150" s="13"/>
      <c r="W2150" s="13"/>
      <c r="X2150" s="13"/>
      <c r="Y2150" s="13"/>
      <c r="Z2150" s="13"/>
    </row>
    <row r="2151">
      <c r="A2151" s="8">
        <v>43848.158171296294</v>
      </c>
      <c r="B2151" s="9" t="str">
        <f>HYPERLINK("https://twitter.com/philgunney","@philgunney")</f>
        <v>@philgunney</v>
      </c>
      <c r="C2151" s="10" t="s">
        <v>9255</v>
      </c>
      <c r="D2151" s="10" t="s">
        <v>9256</v>
      </c>
      <c r="E2151" s="9" t="str">
        <f>HYPERLINK("https://twitter.com/philgunney/status/1218454924855586816","1218454924855586816")</f>
        <v>1218454924855586816</v>
      </c>
      <c r="F2151" s="13"/>
      <c r="G2151" s="13"/>
      <c r="H2151" s="13"/>
      <c r="I2151" s="14">
        <v>0.0</v>
      </c>
      <c r="J2151" s="14">
        <v>0.0</v>
      </c>
      <c r="K2151" s="9" t="str">
        <f t="shared" si="271"/>
        <v>Twitter for iPhone</v>
      </c>
      <c r="L2151" s="15">
        <v>436.0</v>
      </c>
      <c r="M2151" s="15">
        <v>476.0</v>
      </c>
      <c r="N2151" s="15">
        <v>9.0</v>
      </c>
      <c r="O2151" s="16"/>
      <c r="P2151" s="17">
        <v>40226.19019675926</v>
      </c>
      <c r="Q2151" s="10" t="s">
        <v>9257</v>
      </c>
      <c r="R2151" s="10" t="s">
        <v>9258</v>
      </c>
      <c r="S2151" s="11" t="s">
        <v>9259</v>
      </c>
      <c r="T2151" s="13"/>
      <c r="U2151" s="18" t="str">
        <f>HYPERLINK("https://pbs.twimg.com/profile_images/1195059172217442304/_i9qtcdf.jpg","View")</f>
        <v>View</v>
      </c>
      <c r="V2151" s="13"/>
      <c r="W2151" s="13"/>
      <c r="X2151" s="13"/>
      <c r="Y2151" s="13"/>
      <c r="Z2151" s="13"/>
    </row>
    <row r="2152">
      <c r="A2152" s="8">
        <v>43848.158067129625</v>
      </c>
      <c r="B2152" s="9" t="str">
        <f>HYPERLINK("https://twitter.com/amy_mcinerny_","@amy_mcinerny_")</f>
        <v>@amy_mcinerny_</v>
      </c>
      <c r="C2152" s="10" t="s">
        <v>9260</v>
      </c>
      <c r="D2152" s="10" t="s">
        <v>9261</v>
      </c>
      <c r="E2152" s="9" t="str">
        <f>HYPERLINK("https://twitter.com/amy_mcinerny_/status/1218454886460919808","1218454886460919808")</f>
        <v>1218454886460919808</v>
      </c>
      <c r="F2152" s="13"/>
      <c r="G2152" s="13"/>
      <c r="H2152" s="13"/>
      <c r="I2152" s="14">
        <v>0.0</v>
      </c>
      <c r="J2152" s="14">
        <v>0.0</v>
      </c>
      <c r="K2152" s="9" t="str">
        <f t="shared" ref="K2152:K2153" si="272">HYPERLINK("http://twitter.com/download/android","Twitter for Android")</f>
        <v>Twitter for Android</v>
      </c>
      <c r="L2152" s="15">
        <v>34.0</v>
      </c>
      <c r="M2152" s="15">
        <v>279.0</v>
      </c>
      <c r="N2152" s="15">
        <v>0.0</v>
      </c>
      <c r="O2152" s="16"/>
      <c r="P2152" s="17">
        <v>43837.37501157407</v>
      </c>
      <c r="Q2152" s="10" t="s">
        <v>8534</v>
      </c>
      <c r="R2152" s="10" t="s">
        <v>9262</v>
      </c>
      <c r="S2152" s="13"/>
      <c r="T2152" s="13"/>
      <c r="U2152" s="18" t="str">
        <f>HYPERLINK("https://pbs.twimg.com/profile_images/1214552700895027201/q_R0NaZb.jpg","View")</f>
        <v>View</v>
      </c>
      <c r="V2152" s="13"/>
      <c r="W2152" s="13"/>
      <c r="X2152" s="13"/>
      <c r="Y2152" s="13"/>
      <c r="Z2152" s="13"/>
    </row>
    <row r="2153">
      <c r="A2153" s="8">
        <v>43848.157685185186</v>
      </c>
      <c r="B2153" s="9" t="str">
        <f>HYPERLINK("https://twitter.com/TAMHI2011","@TAMHI2011")</f>
        <v>@TAMHI2011</v>
      </c>
      <c r="C2153" s="10" t="s">
        <v>9263</v>
      </c>
      <c r="D2153" s="10" t="s">
        <v>9264</v>
      </c>
      <c r="E2153" s="9" t="str">
        <f>HYPERLINK("https://twitter.com/TAMHI2011/status/1218454747176493056","1218454747176493056")</f>
        <v>1218454747176493056</v>
      </c>
      <c r="F2153" s="13"/>
      <c r="G2153" s="11" t="s">
        <v>9265</v>
      </c>
      <c r="H2153" s="13"/>
      <c r="I2153" s="14">
        <v>4.0</v>
      </c>
      <c r="J2153" s="14">
        <v>15.0</v>
      </c>
      <c r="K2153" s="9" t="str">
        <f t="shared" si="272"/>
        <v>Twitter for Android</v>
      </c>
      <c r="L2153" s="15">
        <v>1818.0</v>
      </c>
      <c r="M2153" s="15">
        <v>4799.0</v>
      </c>
      <c r="N2153" s="15">
        <v>4.0</v>
      </c>
      <c r="O2153" s="16"/>
      <c r="P2153" s="17">
        <v>42691.403136574074</v>
      </c>
      <c r="Q2153" s="10" t="s">
        <v>1116</v>
      </c>
      <c r="R2153" s="10" t="s">
        <v>9266</v>
      </c>
      <c r="S2153" s="13"/>
      <c r="T2153" s="13"/>
      <c r="U2153" s="18" t="str">
        <f>HYPERLINK("https://pbs.twimg.com/profile_images/799261961628372992/-uIQSIKk.jpg","View")</f>
        <v>View</v>
      </c>
      <c r="V2153" s="13"/>
      <c r="W2153" s="13"/>
      <c r="X2153" s="13"/>
      <c r="Y2153" s="13"/>
      <c r="Z2153" s="13"/>
    </row>
    <row r="2154">
      <c r="A2154" s="8">
        <v>43848.15765046296</v>
      </c>
      <c r="B2154" s="9" t="str">
        <f>HYPERLINK("https://twitter.com/ScottAKnowles","@ScottAKnowles")</f>
        <v>@ScottAKnowles</v>
      </c>
      <c r="C2154" s="10" t="s">
        <v>9219</v>
      </c>
      <c r="D2154" s="10" t="s">
        <v>9267</v>
      </c>
      <c r="E2154" s="9" t="str">
        <f>HYPERLINK("https://twitter.com/ScottAKnowles/status/1218454734039851008","1218454734039851008")</f>
        <v>1218454734039851008</v>
      </c>
      <c r="F2154" s="11" t="s">
        <v>9268</v>
      </c>
      <c r="G2154" s="11" t="s">
        <v>9269</v>
      </c>
      <c r="H2154" s="13"/>
      <c r="I2154" s="14">
        <v>1.0</v>
      </c>
      <c r="J2154" s="14">
        <v>3.0</v>
      </c>
      <c r="K2154" s="9" t="str">
        <f>HYPERLINK("http://twitter.com/download/iphone","Twitter for iPhone")</f>
        <v>Twitter for iPhone</v>
      </c>
      <c r="L2154" s="15">
        <v>171.0</v>
      </c>
      <c r="M2154" s="15">
        <v>87.0</v>
      </c>
      <c r="N2154" s="15">
        <v>1.0</v>
      </c>
      <c r="O2154" s="16"/>
      <c r="P2154" s="17">
        <v>42551.30438657408</v>
      </c>
      <c r="Q2154" s="10" t="s">
        <v>9221</v>
      </c>
      <c r="R2154" s="10" t="s">
        <v>9222</v>
      </c>
      <c r="S2154" s="11" t="s">
        <v>9223</v>
      </c>
      <c r="T2154" s="13"/>
      <c r="U2154" s="18" t="str">
        <f>HYPERLINK("https://pbs.twimg.com/profile_images/1216285379025932288/w-Te0umO.jpg","View")</f>
        <v>View</v>
      </c>
      <c r="V2154" s="13"/>
      <c r="W2154" s="13"/>
      <c r="X2154" s="13"/>
      <c r="Y2154" s="13"/>
      <c r="Z2154" s="13"/>
    </row>
    <row r="2155">
      <c r="A2155" s="8">
        <v>43848.157488425924</v>
      </c>
      <c r="B2155" s="9" t="str">
        <f>HYPERLINK("https://twitter.com/LouisaHouchen","@LouisaHouchen")</f>
        <v>@LouisaHouchen</v>
      </c>
      <c r="C2155" s="10" t="s">
        <v>9270</v>
      </c>
      <c r="D2155" s="10" t="s">
        <v>9271</v>
      </c>
      <c r="E2155" s="9" t="str">
        <f>HYPERLINK("https://twitter.com/LouisaHouchen/status/1218454678775746560","1218454678775746560")</f>
        <v>1218454678775746560</v>
      </c>
      <c r="F2155" s="13"/>
      <c r="G2155" s="11" t="s">
        <v>9272</v>
      </c>
      <c r="H2155" s="13"/>
      <c r="I2155" s="14">
        <v>7.0</v>
      </c>
      <c r="J2155" s="14">
        <v>6.0</v>
      </c>
      <c r="K2155" s="9" t="str">
        <f>HYPERLINK("https://mobile.twitter.com","Twitter Web App")</f>
        <v>Twitter Web App</v>
      </c>
      <c r="L2155" s="15">
        <v>15446.0</v>
      </c>
      <c r="M2155" s="15">
        <v>16262.0</v>
      </c>
      <c r="N2155" s="15">
        <v>654.0</v>
      </c>
      <c r="O2155" s="16"/>
      <c r="P2155" s="17">
        <v>40742.70774305556</v>
      </c>
      <c r="Q2155" s="10" t="s">
        <v>9273</v>
      </c>
      <c r="R2155" s="10" t="s">
        <v>9274</v>
      </c>
      <c r="S2155" s="13"/>
      <c r="T2155" s="13"/>
      <c r="U2155" s="18" t="str">
        <f>HYPERLINK("https://pbs.twimg.com/profile_images/1184451905772240896/GujFrEBC.jpg","View")</f>
        <v>View</v>
      </c>
      <c r="V2155" s="13"/>
      <c r="W2155" s="13"/>
      <c r="X2155" s="13"/>
      <c r="Y2155" s="13"/>
      <c r="Z2155" s="13"/>
    </row>
    <row r="2156">
      <c r="A2156" s="8">
        <v>43848.15630787037</v>
      </c>
      <c r="B2156" s="9" t="str">
        <f>HYPERLINK("https://twitter.com/Parentkind","@Parentkind")</f>
        <v>@Parentkind</v>
      </c>
      <c r="C2156" s="10" t="s">
        <v>9275</v>
      </c>
      <c r="D2156" s="10" t="s">
        <v>9276</v>
      </c>
      <c r="E2156" s="9" t="str">
        <f>HYPERLINK("https://twitter.com/Parentkind/status/1218454248242982912","1218454248242982912")</f>
        <v>1218454248242982912</v>
      </c>
      <c r="F2156" s="11" t="s">
        <v>9277</v>
      </c>
      <c r="G2156" s="13"/>
      <c r="H2156" s="13"/>
      <c r="I2156" s="14">
        <v>8.0</v>
      </c>
      <c r="J2156" s="14">
        <v>7.0</v>
      </c>
      <c r="K2156" s="9" t="str">
        <f>HYPERLINK("https://www.hootsuite.com","Hootsuite Inc.")</f>
        <v>Hootsuite Inc.</v>
      </c>
      <c r="L2156" s="15">
        <v>7717.0</v>
      </c>
      <c r="M2156" s="15">
        <v>5578.0</v>
      </c>
      <c r="N2156" s="15">
        <v>136.0</v>
      </c>
      <c r="O2156" s="16"/>
      <c r="P2156" s="17">
        <v>39888.26896990741</v>
      </c>
      <c r="Q2156" s="10" t="s">
        <v>2323</v>
      </c>
      <c r="R2156" s="10" t="s">
        <v>9278</v>
      </c>
      <c r="S2156" s="11" t="s">
        <v>9279</v>
      </c>
      <c r="T2156" s="13"/>
      <c r="U2156" s="18" t="str">
        <f>HYPERLINK("https://pbs.twimg.com/profile_images/966295057811869696/PfTpFDPl.jpg","View")</f>
        <v>View</v>
      </c>
      <c r="V2156" s="13"/>
      <c r="W2156" s="13"/>
      <c r="X2156" s="13"/>
      <c r="Y2156" s="13"/>
      <c r="Z2156" s="13"/>
    </row>
    <row r="2157">
      <c r="A2157" s="8">
        <v>43848.15629629629</v>
      </c>
      <c r="B2157" s="9" t="str">
        <f>HYPERLINK("https://twitter.com/barrypearman","@barrypearman")</f>
        <v>@barrypearman</v>
      </c>
      <c r="C2157" s="10" t="s">
        <v>9280</v>
      </c>
      <c r="D2157" s="10" t="s">
        <v>9281</v>
      </c>
      <c r="E2157" s="9" t="str">
        <f>HYPERLINK("https://twitter.com/barrypearman/status/1218454246913265664","1218454246913265664")</f>
        <v>1218454246913265664</v>
      </c>
      <c r="F2157" s="11" t="s">
        <v>9282</v>
      </c>
      <c r="G2157" s="11" t="s">
        <v>9283</v>
      </c>
      <c r="H2157" s="13"/>
      <c r="I2157" s="14">
        <v>0.0</v>
      </c>
      <c r="J2157" s="14">
        <v>1.0</v>
      </c>
      <c r="K2157" s="9" t="str">
        <f>HYPERLINK("http://postplanner.com","Post Planner Inc.")</f>
        <v>Post Planner Inc.</v>
      </c>
      <c r="L2157" s="15">
        <v>14354.0</v>
      </c>
      <c r="M2157" s="15">
        <v>7278.0</v>
      </c>
      <c r="N2157" s="15">
        <v>318.0</v>
      </c>
      <c r="O2157" s="16"/>
      <c r="P2157" s="17">
        <v>40719.60197916666</v>
      </c>
      <c r="Q2157" s="10" t="s">
        <v>9284</v>
      </c>
      <c r="R2157" s="10" t="s">
        <v>9285</v>
      </c>
      <c r="S2157" s="11" t="s">
        <v>9286</v>
      </c>
      <c r="T2157" s="13"/>
      <c r="U2157" s="18" t="str">
        <f>HYPERLINK("https://pbs.twimg.com/profile_images/909325985308319744/H8-sAsfK.jpg","View")</f>
        <v>View</v>
      </c>
      <c r="V2157" s="13"/>
      <c r="W2157" s="13"/>
      <c r="X2157" s="13"/>
      <c r="Y2157" s="13"/>
      <c r="Z2157" s="13"/>
    </row>
    <row r="2158">
      <c r="A2158" s="8">
        <v>43848.155694444446</v>
      </c>
      <c r="B2158" s="9" t="str">
        <f>HYPERLINK("https://twitter.com/lisa_lynch","@lisa_lynch")</f>
        <v>@lisa_lynch</v>
      </c>
      <c r="C2158" s="10" t="s">
        <v>9287</v>
      </c>
      <c r="D2158" s="10" t="s">
        <v>9288</v>
      </c>
      <c r="E2158" s="9" t="str">
        <f>HYPERLINK("https://twitter.com/lisa_lynch/status/1218454025160531968","1218454025160531968")</f>
        <v>1218454025160531968</v>
      </c>
      <c r="F2158" s="10" t="s">
        <v>9289</v>
      </c>
      <c r="G2158" s="13"/>
      <c r="H2158" s="13"/>
      <c r="I2158" s="14">
        <v>0.0</v>
      </c>
      <c r="J2158" s="14">
        <v>2.0</v>
      </c>
      <c r="K2158" s="9" t="str">
        <f>HYPERLINK("http://twitter.com/download/iphone","Twitter for iPhone")</f>
        <v>Twitter for iPhone</v>
      </c>
      <c r="L2158" s="15">
        <v>2318.0</v>
      </c>
      <c r="M2158" s="15">
        <v>2777.0</v>
      </c>
      <c r="N2158" s="15">
        <v>12.0</v>
      </c>
      <c r="O2158" s="16"/>
      <c r="P2158" s="17">
        <v>39960.332500000004</v>
      </c>
      <c r="Q2158" s="10" t="s">
        <v>2102</v>
      </c>
      <c r="R2158" s="10" t="s">
        <v>9290</v>
      </c>
      <c r="S2158" s="13"/>
      <c r="T2158" s="13"/>
      <c r="U2158" s="18" t="str">
        <f>HYPERLINK("https://pbs.twimg.com/profile_images/1216721239273885697/2b54gsak.jpg","View")</f>
        <v>View</v>
      </c>
      <c r="V2158" s="13"/>
      <c r="W2158" s="13"/>
      <c r="X2158" s="13"/>
      <c r="Y2158" s="13"/>
      <c r="Z2158" s="13"/>
    </row>
    <row r="2159">
      <c r="A2159" s="8">
        <v>43848.155185185184</v>
      </c>
      <c r="B2159" s="9" t="str">
        <f>HYPERLINK("https://twitter.com/ArtistRebeccaLS","@ArtistRebeccaLS")</f>
        <v>@ArtistRebeccaLS</v>
      </c>
      <c r="C2159" s="10" t="s">
        <v>9291</v>
      </c>
      <c r="D2159" s="10" t="s">
        <v>9292</v>
      </c>
      <c r="E2159" s="9" t="str">
        <f>HYPERLINK("https://twitter.com/ArtistRebeccaLS/status/1218453840762212352","1218453840762212352")</f>
        <v>1218453840762212352</v>
      </c>
      <c r="F2159" s="11" t="s">
        <v>9293</v>
      </c>
      <c r="G2159" s="13"/>
      <c r="H2159" s="13"/>
      <c r="I2159" s="14">
        <v>0.0</v>
      </c>
      <c r="J2159" s="14">
        <v>1.0</v>
      </c>
      <c r="K2159" s="9" t="str">
        <f>HYPERLINK("http://www.DynamicTweets.com","Dynamic Tweets")</f>
        <v>Dynamic Tweets</v>
      </c>
      <c r="L2159" s="15">
        <v>6766.0</v>
      </c>
      <c r="M2159" s="15">
        <v>3730.0</v>
      </c>
      <c r="N2159" s="15">
        <v>280.0</v>
      </c>
      <c r="O2159" s="16"/>
      <c r="P2159" s="17">
        <v>41328.24832175926</v>
      </c>
      <c r="Q2159" s="10" t="s">
        <v>2314</v>
      </c>
      <c r="R2159" s="10" t="s">
        <v>9294</v>
      </c>
      <c r="S2159" s="11" t="s">
        <v>9295</v>
      </c>
      <c r="T2159" s="13"/>
      <c r="U2159" s="18" t="str">
        <f>HYPERLINK("https://pbs.twimg.com/profile_images/1113354372707172353/6oKBT3Uc.jpg","View")</f>
        <v>View</v>
      </c>
      <c r="V2159" s="13"/>
      <c r="W2159" s="13"/>
      <c r="X2159" s="13"/>
      <c r="Y2159" s="13"/>
      <c r="Z2159" s="13"/>
    </row>
    <row r="2160">
      <c r="A2160" s="8">
        <v>43848.15493055555</v>
      </c>
      <c r="B2160" s="9" t="str">
        <f>HYPERLINK("https://twitter.com/Hafal_","@Hafal_")</f>
        <v>@Hafal_</v>
      </c>
      <c r="C2160" s="10" t="s">
        <v>9296</v>
      </c>
      <c r="D2160" s="10" t="s">
        <v>9297</v>
      </c>
      <c r="E2160" s="9" t="str">
        <f>HYPERLINK("https://twitter.com/Hafal_/status/1218453749464817664","1218453749464817664")</f>
        <v>1218453749464817664</v>
      </c>
      <c r="F2160" s="10" t="s">
        <v>9298</v>
      </c>
      <c r="G2160" s="13"/>
      <c r="H2160" s="13"/>
      <c r="I2160" s="14">
        <v>5.0</v>
      </c>
      <c r="J2160" s="14">
        <v>9.0</v>
      </c>
      <c r="K2160" s="9" t="str">
        <f>HYPERLINK("https://mobile.twitter.com","Twitter Web App")</f>
        <v>Twitter Web App</v>
      </c>
      <c r="L2160" s="15">
        <v>8114.0</v>
      </c>
      <c r="M2160" s="15">
        <v>2493.0</v>
      </c>
      <c r="N2160" s="15">
        <v>115.0</v>
      </c>
      <c r="O2160" s="21" t="s">
        <v>522</v>
      </c>
      <c r="P2160" s="17">
        <v>40492.39252314815</v>
      </c>
      <c r="Q2160" s="10" t="s">
        <v>4703</v>
      </c>
      <c r="R2160" s="10" t="s">
        <v>9299</v>
      </c>
      <c r="S2160" s="11" t="s">
        <v>9300</v>
      </c>
      <c r="T2160" s="13"/>
      <c r="U2160" s="18" t="str">
        <f>HYPERLINK("https://pbs.twimg.com/profile_images/1117709867257606144/XWXAQkXs.png","View")</f>
        <v>View</v>
      </c>
      <c r="V2160" s="13"/>
      <c r="W2160" s="13"/>
      <c r="X2160" s="13"/>
      <c r="Y2160" s="13"/>
      <c r="Z2160" s="13"/>
    </row>
    <row r="2161">
      <c r="A2161" s="8">
        <v>43848.15456018518</v>
      </c>
      <c r="B2161" s="9" t="str">
        <f>HYPERLINK("https://twitter.com/clear_rising","@clear_rising")</f>
        <v>@clear_rising</v>
      </c>
      <c r="C2161" s="10" t="s">
        <v>9301</v>
      </c>
      <c r="D2161" s="10" t="s">
        <v>9302</v>
      </c>
      <c r="E2161" s="9" t="str">
        <f>HYPERLINK("https://twitter.com/clear_rising/status/1218453617205764096","1218453617205764096")</f>
        <v>1218453617205764096</v>
      </c>
      <c r="F2161" s="11" t="s">
        <v>9303</v>
      </c>
      <c r="G2161" s="13"/>
      <c r="H2161" s="13"/>
      <c r="I2161" s="14">
        <v>0.0</v>
      </c>
      <c r="J2161" s="14">
        <v>1.0</v>
      </c>
      <c r="K2161" s="9" t="str">
        <f>HYPERLINK("http://twitter.com/#!/download/ipad","Twitter for iPad")</f>
        <v>Twitter for iPad</v>
      </c>
      <c r="L2161" s="15">
        <v>50.0</v>
      </c>
      <c r="M2161" s="15">
        <v>74.0</v>
      </c>
      <c r="N2161" s="15">
        <v>0.0</v>
      </c>
      <c r="O2161" s="16"/>
      <c r="P2161" s="17">
        <v>43450.27159722222</v>
      </c>
      <c r="Q2161" s="10" t="s">
        <v>1024</v>
      </c>
      <c r="R2161" s="10" t="s">
        <v>9304</v>
      </c>
      <c r="S2161" s="11" t="s">
        <v>9305</v>
      </c>
      <c r="T2161" s="13"/>
      <c r="U2161" s="18" t="str">
        <f>HYPERLINK("https://pbs.twimg.com/profile_images/1074266050361995265/zGu0HRwv.png","View")</f>
        <v>View</v>
      </c>
      <c r="V2161" s="13"/>
      <c r="W2161" s="13"/>
      <c r="X2161" s="13"/>
      <c r="Y2161" s="13"/>
      <c r="Z2161" s="13"/>
    </row>
    <row r="2162">
      <c r="A2162" s="8">
        <v>43848.153333333335</v>
      </c>
      <c r="B2162" s="9" t="str">
        <f>HYPERLINK("https://twitter.com/DebraLindh","@DebraLindh")</f>
        <v>@DebraLindh</v>
      </c>
      <c r="C2162" s="10" t="s">
        <v>4428</v>
      </c>
      <c r="D2162" s="10" t="s">
        <v>9306</v>
      </c>
      <c r="E2162" s="9" t="str">
        <f>HYPERLINK("https://twitter.com/DebraLindh/status/1218453169543548928","1218453169543548928")</f>
        <v>1218453169543548928</v>
      </c>
      <c r="F2162" s="13"/>
      <c r="G2162" s="13"/>
      <c r="H2162" s="13"/>
      <c r="I2162" s="14">
        <v>0.0</v>
      </c>
      <c r="J2162" s="14">
        <v>0.0</v>
      </c>
      <c r="K2162" s="9" t="str">
        <f>HYPERLINK("https://mobile.twitter.com","Twitter Web App")</f>
        <v>Twitter Web App</v>
      </c>
      <c r="L2162" s="15">
        <v>9991.0</v>
      </c>
      <c r="M2162" s="15">
        <v>10585.0</v>
      </c>
      <c r="N2162" s="15">
        <v>467.0</v>
      </c>
      <c r="O2162" s="16"/>
      <c r="P2162" s="17">
        <v>40756.47195601852</v>
      </c>
      <c r="Q2162" s="10" t="s">
        <v>4431</v>
      </c>
      <c r="R2162" s="10" t="s">
        <v>4432</v>
      </c>
      <c r="S2162" s="11" t="s">
        <v>4433</v>
      </c>
      <c r="T2162" s="13"/>
      <c r="U2162" s="18" t="str">
        <f>HYPERLINK("https://pbs.twimg.com/profile_images/1187264103905136640/lS-fKvUp.jpg","View")</f>
        <v>View</v>
      </c>
      <c r="V2162" s="13"/>
      <c r="W2162" s="13"/>
      <c r="X2162" s="13"/>
      <c r="Y2162" s="13"/>
      <c r="Z2162" s="13"/>
    </row>
    <row r="2163">
      <c r="A2163" s="8">
        <v>43848.1532175926</v>
      </c>
      <c r="B2163" s="9" t="str">
        <f>HYPERLINK("https://twitter.com/SquirrelGolf","@SquirrelGolf")</f>
        <v>@SquirrelGolf</v>
      </c>
      <c r="C2163" s="10" t="s">
        <v>9307</v>
      </c>
      <c r="D2163" s="10" t="s">
        <v>9308</v>
      </c>
      <c r="E2163" s="9" t="str">
        <f>HYPERLINK("https://twitter.com/SquirrelGolf/status/1218453130989449218","1218453130989449218")</f>
        <v>1218453130989449218</v>
      </c>
      <c r="F2163" s="11" t="s">
        <v>9309</v>
      </c>
      <c r="G2163" s="13"/>
      <c r="H2163" s="13"/>
      <c r="I2163" s="14">
        <v>0.0</v>
      </c>
      <c r="J2163" s="14">
        <v>0.0</v>
      </c>
      <c r="K2163" s="9" t="str">
        <f>HYPERLINK("http://instagram.com","Instagram")</f>
        <v>Instagram</v>
      </c>
      <c r="L2163" s="15">
        <v>77.0</v>
      </c>
      <c r="M2163" s="15">
        <v>563.0</v>
      </c>
      <c r="N2163" s="15">
        <v>0.0</v>
      </c>
      <c r="O2163" s="16"/>
      <c r="P2163" s="17">
        <v>43241.706145833334</v>
      </c>
      <c r="Q2163" s="10" t="s">
        <v>9310</v>
      </c>
      <c r="R2163" s="10" t="s">
        <v>9311</v>
      </c>
      <c r="S2163" s="11" t="s">
        <v>9312</v>
      </c>
      <c r="T2163" s="13"/>
      <c r="U2163" s="18" t="str">
        <f>HYPERLINK("https://pbs.twimg.com/profile_images/1088823171841748995/GMMUg0c2.jpg","View")</f>
        <v>View</v>
      </c>
      <c r="V2163" s="13"/>
      <c r="W2163" s="13"/>
      <c r="X2163" s="13"/>
      <c r="Y2163" s="13"/>
      <c r="Z2163" s="13"/>
    </row>
    <row r="2164">
      <c r="A2164" s="8">
        <v>43848.15289351852</v>
      </c>
      <c r="B2164" s="9" t="str">
        <f>HYPERLINK("https://twitter.com/JennBurrill","@JennBurrill")</f>
        <v>@JennBurrill</v>
      </c>
      <c r="C2164" s="10" t="s">
        <v>9313</v>
      </c>
      <c r="D2164" s="10" t="s">
        <v>9314</v>
      </c>
      <c r="E2164" s="9" t="str">
        <f>HYPERLINK("https://twitter.com/JennBurrill/status/1218453011023794176","1218453011023794176")</f>
        <v>1218453011023794176</v>
      </c>
      <c r="F2164" s="11" t="s">
        <v>9315</v>
      </c>
      <c r="G2164" s="13"/>
      <c r="H2164" s="13"/>
      <c r="I2164" s="14">
        <v>1.0</v>
      </c>
      <c r="J2164" s="14">
        <v>4.0</v>
      </c>
      <c r="K2164" s="9" t="str">
        <f>HYPERLINK("http://twitter.com","Twitter Web Client")</f>
        <v>Twitter Web Client</v>
      </c>
      <c r="L2164" s="15">
        <v>1152.0</v>
      </c>
      <c r="M2164" s="15">
        <v>1998.0</v>
      </c>
      <c r="N2164" s="15">
        <v>25.0</v>
      </c>
      <c r="O2164" s="16"/>
      <c r="P2164" s="17">
        <v>41089.73175925926</v>
      </c>
      <c r="Q2164" s="10" t="s">
        <v>9316</v>
      </c>
      <c r="R2164" s="10" t="s">
        <v>9317</v>
      </c>
      <c r="S2164" s="13"/>
      <c r="T2164" s="13"/>
      <c r="U2164" s="18" t="str">
        <f>HYPERLINK("https://pbs.twimg.com/profile_images/2353255374/11_LRBW_-_twitter.jpg","View")</f>
        <v>View</v>
      </c>
      <c r="V2164" s="13"/>
      <c r="W2164" s="13"/>
      <c r="X2164" s="13"/>
      <c r="Y2164" s="13"/>
      <c r="Z2164" s="13"/>
    </row>
    <row r="2165">
      <c r="A2165" s="8">
        <v>43848.152812500004</v>
      </c>
      <c r="B2165" s="9" t="str">
        <f>HYPERLINK("https://twitter.com/GreenShoeOk","@GreenShoeOk")</f>
        <v>@GreenShoeOk</v>
      </c>
      <c r="C2165" s="10" t="s">
        <v>9318</v>
      </c>
      <c r="D2165" s="10" t="s">
        <v>9319</v>
      </c>
      <c r="E2165" s="9" t="str">
        <f>HYPERLINK("https://twitter.com/GreenShoeOk/status/1218452981944897536","1218452981944897536")</f>
        <v>1218452981944897536</v>
      </c>
      <c r="F2165" s="11" t="s">
        <v>9320</v>
      </c>
      <c r="G2165" s="11" t="s">
        <v>9321</v>
      </c>
      <c r="H2165" s="13"/>
      <c r="I2165" s="14">
        <v>0.0</v>
      </c>
      <c r="J2165" s="14">
        <v>0.0</v>
      </c>
      <c r="K2165" s="9" t="str">
        <f>HYPERLINK("https://www.hootsuite.com","Hootsuite Inc.")</f>
        <v>Hootsuite Inc.</v>
      </c>
      <c r="L2165" s="15">
        <v>1.0</v>
      </c>
      <c r="M2165" s="15">
        <v>12.0</v>
      </c>
      <c r="N2165" s="15">
        <v>0.0</v>
      </c>
      <c r="O2165" s="16"/>
      <c r="P2165" s="17">
        <v>43808.65203703704</v>
      </c>
      <c r="Q2165" s="13"/>
      <c r="R2165" s="10" t="s">
        <v>9322</v>
      </c>
      <c r="S2165" s="13"/>
      <c r="T2165" s="13"/>
      <c r="U2165" s="18" t="str">
        <f>HYPERLINK("https://pbs.twimg.com/profile_images/1204138472921018368/pl0ljPEV.jpg","View")</f>
        <v>View</v>
      </c>
      <c r="V2165" s="13"/>
      <c r="W2165" s="13"/>
      <c r="X2165" s="13"/>
      <c r="Y2165" s="13"/>
      <c r="Z2165" s="13"/>
    </row>
    <row r="2166">
      <c r="A2166" s="8">
        <v>43848.15230324074</v>
      </c>
      <c r="B2166" s="9" t="str">
        <f>HYPERLINK("https://twitter.com/DebraLindh","@DebraLindh")</f>
        <v>@DebraLindh</v>
      </c>
      <c r="C2166" s="10" t="s">
        <v>4428</v>
      </c>
      <c r="D2166" s="10" t="s">
        <v>9323</v>
      </c>
      <c r="E2166" s="9" t="str">
        <f>HYPERLINK("https://twitter.com/DebraLindh/status/1218452800096612352","1218452800096612352")</f>
        <v>1218452800096612352</v>
      </c>
      <c r="F2166" s="13"/>
      <c r="G2166" s="13"/>
      <c r="H2166" s="13"/>
      <c r="I2166" s="14">
        <v>1.0</v>
      </c>
      <c r="J2166" s="14">
        <v>6.0</v>
      </c>
      <c r="K2166" s="9" t="str">
        <f t="shared" ref="K2166:K2168" si="273">HYPERLINK("https://mobile.twitter.com","Twitter Web App")</f>
        <v>Twitter Web App</v>
      </c>
      <c r="L2166" s="15">
        <v>9991.0</v>
      </c>
      <c r="M2166" s="15">
        <v>10585.0</v>
      </c>
      <c r="N2166" s="15">
        <v>467.0</v>
      </c>
      <c r="O2166" s="16"/>
      <c r="P2166" s="17">
        <v>40756.47195601852</v>
      </c>
      <c r="Q2166" s="10" t="s">
        <v>4431</v>
      </c>
      <c r="R2166" s="10" t="s">
        <v>4432</v>
      </c>
      <c r="S2166" s="11" t="s">
        <v>4433</v>
      </c>
      <c r="T2166" s="13"/>
      <c r="U2166" s="18" t="str">
        <f>HYPERLINK("https://pbs.twimg.com/profile_images/1187264103905136640/lS-fKvUp.jpg","View")</f>
        <v>View</v>
      </c>
      <c r="V2166" s="13"/>
      <c r="W2166" s="13"/>
      <c r="X2166" s="13"/>
      <c r="Y2166" s="13"/>
      <c r="Z2166" s="13"/>
    </row>
    <row r="2167">
      <c r="A2167" s="8">
        <v>43848.151817129634</v>
      </c>
      <c r="B2167" s="9" t="str">
        <f>HYPERLINK("https://twitter.com/DKlemitz","@DKlemitz")</f>
        <v>@DKlemitz</v>
      </c>
      <c r="C2167" s="10" t="s">
        <v>7510</v>
      </c>
      <c r="D2167" s="10" t="s">
        <v>238</v>
      </c>
      <c r="E2167" s="9" t="str">
        <f>HYPERLINK("https://twitter.com/DKlemitz/status/1218452620618022915","1218452620618022915")</f>
        <v>1218452620618022915</v>
      </c>
      <c r="F2167" s="13"/>
      <c r="G2167" s="13"/>
      <c r="H2167" s="13"/>
      <c r="I2167" s="14">
        <v>0.0</v>
      </c>
      <c r="J2167" s="14">
        <v>0.0</v>
      </c>
      <c r="K2167" s="9" t="str">
        <f t="shared" si="273"/>
        <v>Twitter Web App</v>
      </c>
      <c r="L2167" s="15">
        <v>465.0</v>
      </c>
      <c r="M2167" s="15">
        <v>2116.0</v>
      </c>
      <c r="N2167" s="15">
        <v>11.0</v>
      </c>
      <c r="O2167" s="16"/>
      <c r="P2167" s="17">
        <v>41912.85046296296</v>
      </c>
      <c r="Q2167" s="13"/>
      <c r="R2167" s="13"/>
      <c r="S2167" s="13"/>
      <c r="T2167" s="13"/>
      <c r="U2167" s="18" t="str">
        <f>HYPERLINK("https://pbs.twimg.com/profile_images/517245168173334529/uVMAfIlg.jpeg","View")</f>
        <v>View</v>
      </c>
      <c r="V2167" s="13"/>
      <c r="W2167" s="13"/>
      <c r="X2167" s="13"/>
      <c r="Y2167" s="13"/>
      <c r="Z2167" s="13"/>
    </row>
    <row r="2168">
      <c r="A2168" s="8">
        <v>43848.15148148148</v>
      </c>
      <c r="B2168" s="9" t="str">
        <f>HYPERLINK("https://twitter.com/Kraturescuedog","@Kraturescuedog")</f>
        <v>@Kraturescuedog</v>
      </c>
      <c r="C2168" s="10" t="s">
        <v>9324</v>
      </c>
      <c r="D2168" s="10" t="s">
        <v>9325</v>
      </c>
      <c r="E2168" s="9" t="str">
        <f>HYPERLINK("https://twitter.com/Kraturescuedog/status/1218452500661129216","1218452500661129216")</f>
        <v>1218452500661129216</v>
      </c>
      <c r="F2168" s="13"/>
      <c r="G2168" s="11" t="s">
        <v>9326</v>
      </c>
      <c r="H2168" s="13"/>
      <c r="I2168" s="14">
        <v>4.0</v>
      </c>
      <c r="J2168" s="14">
        <v>52.0</v>
      </c>
      <c r="K2168" s="9" t="str">
        <f t="shared" si="273"/>
        <v>Twitter Web App</v>
      </c>
      <c r="L2168" s="15">
        <v>2898.0</v>
      </c>
      <c r="M2168" s="15">
        <v>4602.0</v>
      </c>
      <c r="N2168" s="15">
        <v>30.0</v>
      </c>
      <c r="O2168" s="16"/>
      <c r="P2168" s="17">
        <v>42514.375196759254</v>
      </c>
      <c r="Q2168" s="10" t="s">
        <v>8534</v>
      </c>
      <c r="R2168" s="10" t="s">
        <v>9327</v>
      </c>
      <c r="S2168" s="11" t="s">
        <v>9328</v>
      </c>
      <c r="T2168" s="13"/>
      <c r="U2168" s="18" t="str">
        <f>HYPERLINK("https://pbs.twimg.com/profile_images/1210585317075562508/bSY_6AKV.jpg","View")</f>
        <v>View</v>
      </c>
      <c r="V2168" s="13"/>
      <c r="W2168" s="13"/>
      <c r="X2168" s="13"/>
      <c r="Y2168" s="13"/>
      <c r="Z2168" s="13"/>
    </row>
    <row r="2169">
      <c r="A2169" s="8">
        <v>43848.15116898148</v>
      </c>
      <c r="B2169" s="9" t="str">
        <f>HYPERLINK("https://twitter.com/JeanCrone","@JeanCrone")</f>
        <v>@JeanCrone</v>
      </c>
      <c r="C2169" s="10" t="s">
        <v>9329</v>
      </c>
      <c r="D2169" s="10" t="s">
        <v>9330</v>
      </c>
      <c r="E2169" s="9" t="str">
        <f>HYPERLINK("https://twitter.com/JeanCrone/status/1218452387767246848","1218452387767246848")</f>
        <v>1218452387767246848</v>
      </c>
      <c r="F2169" s="10" t="s">
        <v>9331</v>
      </c>
      <c r="G2169" s="11" t="s">
        <v>9332</v>
      </c>
      <c r="H2169" s="13"/>
      <c r="I2169" s="14">
        <v>0.0</v>
      </c>
      <c r="J2169" s="14">
        <v>5.0</v>
      </c>
      <c r="K2169" s="9" t="str">
        <f>HYPERLINK("http://twitter.com/download/iphone","Twitter for iPhone")</f>
        <v>Twitter for iPhone</v>
      </c>
      <c r="L2169" s="15">
        <v>633.0</v>
      </c>
      <c r="M2169" s="15">
        <v>911.0</v>
      </c>
      <c r="N2169" s="15">
        <v>12.0</v>
      </c>
      <c r="O2169" s="16"/>
      <c r="P2169" s="17">
        <v>41616.26600694445</v>
      </c>
      <c r="Q2169" s="13"/>
      <c r="R2169" s="10" t="s">
        <v>9333</v>
      </c>
      <c r="S2169" s="13"/>
      <c r="T2169" s="13"/>
      <c r="U2169" s="18" t="str">
        <f>HYPERLINK("https://pbs.twimg.com/profile_images/751172955271467008/R-VjcqFV.jpg","View")</f>
        <v>View</v>
      </c>
      <c r="V2169" s="13"/>
      <c r="W2169" s="13"/>
      <c r="X2169" s="13"/>
      <c r="Y2169" s="13"/>
      <c r="Z2169" s="13"/>
    </row>
    <row r="2170">
      <c r="A2170" s="8">
        <v>43848.15041666667</v>
      </c>
      <c r="B2170" s="9" t="str">
        <f>HYPERLINK("https://twitter.com/MetaWellbeing","@MetaWellbeing")</f>
        <v>@MetaWellbeing</v>
      </c>
      <c r="C2170" s="10" t="s">
        <v>9334</v>
      </c>
      <c r="D2170" s="10" t="s">
        <v>9335</v>
      </c>
      <c r="E2170" s="9" t="str">
        <f>HYPERLINK("https://twitter.com/MetaWellbeing/status/1218452112792858624","1218452112792858624")</f>
        <v>1218452112792858624</v>
      </c>
      <c r="F2170" s="11" t="s">
        <v>9336</v>
      </c>
      <c r="G2170" s="13"/>
      <c r="H2170" s="13"/>
      <c r="I2170" s="14">
        <v>0.0</v>
      </c>
      <c r="J2170" s="14">
        <v>0.0</v>
      </c>
      <c r="K2170" s="9" t="str">
        <f>HYPERLINK("http://www.facebook.com/twitter","Facebook")</f>
        <v>Facebook</v>
      </c>
      <c r="L2170" s="15">
        <v>694.0</v>
      </c>
      <c r="M2170" s="15">
        <v>564.0</v>
      </c>
      <c r="N2170" s="15">
        <v>26.0</v>
      </c>
      <c r="O2170" s="16"/>
      <c r="P2170" s="17">
        <v>40260.6625462963</v>
      </c>
      <c r="Q2170" s="10" t="s">
        <v>9337</v>
      </c>
      <c r="R2170" s="10" t="s">
        <v>9338</v>
      </c>
      <c r="S2170" s="11" t="s">
        <v>9339</v>
      </c>
      <c r="T2170" s="13"/>
      <c r="U2170" s="18" t="str">
        <f>HYPERLINK("https://pbs.twimg.com/profile_images/734113770218389504/_HVrRGgS.jpg","View")</f>
        <v>View</v>
      </c>
      <c r="V2170" s="13"/>
      <c r="W2170" s="13"/>
      <c r="X2170" s="13"/>
      <c r="Y2170" s="13"/>
      <c r="Z2170" s="13"/>
    </row>
    <row r="2171">
      <c r="A2171" s="8">
        <v>43848.15027777778</v>
      </c>
      <c r="B2171" s="9" t="str">
        <f>HYPERLINK("https://twitter.com/RAtweetsthings","@RAtweetsthings")</f>
        <v>@RAtweetsthings</v>
      </c>
      <c r="C2171" s="10" t="s">
        <v>9340</v>
      </c>
      <c r="D2171" s="10" t="s">
        <v>9341</v>
      </c>
      <c r="E2171" s="9" t="str">
        <f>HYPERLINK("https://twitter.com/RAtweetsthings/status/1218452063794929664","1218452063794929664")</f>
        <v>1218452063794929664</v>
      </c>
      <c r="F2171" s="11" t="s">
        <v>9342</v>
      </c>
      <c r="G2171" s="13"/>
      <c r="H2171" s="13"/>
      <c r="I2171" s="14">
        <v>2.0</v>
      </c>
      <c r="J2171" s="14">
        <v>2.0</v>
      </c>
      <c r="K2171" s="9" t="str">
        <f>HYPERLINK("http://twitter.com/download/iphone","Twitter for iPhone")</f>
        <v>Twitter for iPhone</v>
      </c>
      <c r="L2171" s="15">
        <v>765.0</v>
      </c>
      <c r="M2171" s="15">
        <v>423.0</v>
      </c>
      <c r="N2171" s="15">
        <v>19.0</v>
      </c>
      <c r="O2171" s="16"/>
      <c r="P2171" s="17">
        <v>42877.458506944444</v>
      </c>
      <c r="Q2171" s="10" t="s">
        <v>5723</v>
      </c>
      <c r="R2171" s="10" t="s">
        <v>9343</v>
      </c>
      <c r="S2171" s="11" t="s">
        <v>9344</v>
      </c>
      <c r="T2171" s="13"/>
      <c r="U2171" s="18" t="str">
        <f>HYPERLINK("https://pbs.twimg.com/profile_images/1190508338456518656/VOLuznL5.jpg","View")</f>
        <v>View</v>
      </c>
      <c r="V2171" s="13"/>
      <c r="W2171" s="13"/>
      <c r="X2171" s="13"/>
      <c r="Y2171" s="13"/>
      <c r="Z2171" s="13"/>
    </row>
    <row r="2172">
      <c r="A2172" s="8">
        <v>43848.1502662037</v>
      </c>
      <c r="B2172" s="9" t="str">
        <f>HYPERLINK("https://twitter.com/BarnesGeorge7","@BarnesGeorge7")</f>
        <v>@BarnesGeorge7</v>
      </c>
      <c r="C2172" s="10" t="s">
        <v>4496</v>
      </c>
      <c r="D2172" s="10" t="s">
        <v>9345</v>
      </c>
      <c r="E2172" s="9" t="str">
        <f>HYPERLINK("https://twitter.com/BarnesGeorge7/status/1218452060955385857","1218452060955385857")</f>
        <v>1218452060955385857</v>
      </c>
      <c r="F2172" s="11" t="s">
        <v>8970</v>
      </c>
      <c r="G2172" s="11" t="s">
        <v>9346</v>
      </c>
      <c r="H2172" s="13"/>
      <c r="I2172" s="14">
        <v>0.0</v>
      </c>
      <c r="J2172" s="14">
        <v>1.0</v>
      </c>
      <c r="K2172" s="9" t="str">
        <f>HYPERLINK("https://mobile.twitter.com","Twitter Web App")</f>
        <v>Twitter Web App</v>
      </c>
      <c r="L2172" s="15">
        <v>5.0</v>
      </c>
      <c r="M2172" s="15">
        <v>6.0</v>
      </c>
      <c r="N2172" s="15">
        <v>0.0</v>
      </c>
      <c r="O2172" s="16"/>
      <c r="P2172" s="17">
        <v>43844.3974537037</v>
      </c>
      <c r="Q2172" s="10" t="s">
        <v>2323</v>
      </c>
      <c r="R2172" s="10" t="s">
        <v>4500</v>
      </c>
      <c r="S2172" s="11" t="s">
        <v>4501</v>
      </c>
      <c r="T2172" s="13"/>
      <c r="U2172" s="18" t="str">
        <f>HYPERLINK("https://pbs.twimg.com/profile_images/1217092596247465985/M4LUqFcc.jpg","View")</f>
        <v>View</v>
      </c>
      <c r="V2172" s="13"/>
      <c r="W2172" s="13"/>
      <c r="X2172" s="13"/>
      <c r="Y2172" s="13"/>
      <c r="Z2172" s="13"/>
    </row>
    <row r="2173">
      <c r="A2173" s="8">
        <v>43848.14984953703</v>
      </c>
      <c r="B2173" s="9" t="str">
        <f>HYPERLINK("https://twitter.com/nelieol","@nelieol")</f>
        <v>@nelieol</v>
      </c>
      <c r="C2173" s="10" t="s">
        <v>9347</v>
      </c>
      <c r="D2173" s="10" t="s">
        <v>238</v>
      </c>
      <c r="E2173" s="9" t="str">
        <f>HYPERLINK("https://twitter.com/nelieol/status/1218451907141914624","1218451907141914624")</f>
        <v>1218451907141914624</v>
      </c>
      <c r="F2173" s="13"/>
      <c r="G2173" s="13"/>
      <c r="H2173" s="13"/>
      <c r="I2173" s="14">
        <v>0.0</v>
      </c>
      <c r="J2173" s="14">
        <v>0.0</v>
      </c>
      <c r="K2173" s="9" t="str">
        <f t="shared" ref="K2173:K2174" si="274">HYPERLINK("http://twitter.com/download/android","Twitter for Android")</f>
        <v>Twitter for Android</v>
      </c>
      <c r="L2173" s="15">
        <v>289.0</v>
      </c>
      <c r="M2173" s="15">
        <v>496.0</v>
      </c>
      <c r="N2173" s="15">
        <v>1.0</v>
      </c>
      <c r="O2173" s="16"/>
      <c r="P2173" s="17">
        <v>42900.00351851852</v>
      </c>
      <c r="Q2173" s="10" t="s">
        <v>6406</v>
      </c>
      <c r="R2173" s="10" t="s">
        <v>9348</v>
      </c>
      <c r="S2173" s="11" t="s">
        <v>9349</v>
      </c>
      <c r="T2173" s="13"/>
      <c r="U2173" s="18" t="str">
        <f>HYPERLINK("https://pbs.twimg.com/profile_images/1217442383144591360/SLHgdKxB.jpg","View")</f>
        <v>View</v>
      </c>
      <c r="V2173" s="13"/>
      <c r="W2173" s="13"/>
      <c r="X2173" s="13"/>
      <c r="Y2173" s="13"/>
      <c r="Z2173" s="13"/>
    </row>
    <row r="2174">
      <c r="A2174" s="8">
        <v>43848.149560185186</v>
      </c>
      <c r="B2174" s="9" t="str">
        <f>HYPERLINK("https://twitter.com/mehr_adil_MUFC","@mehr_adil_MUFC")</f>
        <v>@mehr_adil_MUFC</v>
      </c>
      <c r="C2174" s="10" t="s">
        <v>9350</v>
      </c>
      <c r="D2174" s="10" t="s">
        <v>238</v>
      </c>
      <c r="E2174" s="9" t="str">
        <f>HYPERLINK("https://twitter.com/mehr_adil_MUFC/status/1218451803353894912","1218451803353894912")</f>
        <v>1218451803353894912</v>
      </c>
      <c r="F2174" s="13"/>
      <c r="G2174" s="13"/>
      <c r="H2174" s="13"/>
      <c r="I2174" s="14">
        <v>0.0</v>
      </c>
      <c r="J2174" s="14">
        <v>0.0</v>
      </c>
      <c r="K2174" s="9" t="str">
        <f t="shared" si="274"/>
        <v>Twitter for Android</v>
      </c>
      <c r="L2174" s="15">
        <v>347.0</v>
      </c>
      <c r="M2174" s="15">
        <v>311.0</v>
      </c>
      <c r="N2174" s="15">
        <v>2.0</v>
      </c>
      <c r="O2174" s="16"/>
      <c r="P2174" s="17">
        <v>41589.50310185185</v>
      </c>
      <c r="Q2174" s="10" t="s">
        <v>9351</v>
      </c>
      <c r="R2174" s="10" t="s">
        <v>9352</v>
      </c>
      <c r="S2174" s="13"/>
      <c r="T2174" s="13"/>
      <c r="U2174" s="18" t="str">
        <f>HYPERLINK("https://pbs.twimg.com/profile_images/1031452419551621121/QsI8GrLr.jpg","View")</f>
        <v>View</v>
      </c>
      <c r="V2174" s="13"/>
      <c r="W2174" s="13"/>
      <c r="X2174" s="13"/>
      <c r="Y2174" s="13"/>
      <c r="Z2174" s="13"/>
    </row>
    <row r="2175">
      <c r="A2175" s="8">
        <v>43848.14943287037</v>
      </c>
      <c r="B2175" s="9" t="str">
        <f>HYPERLINK("https://twitter.com/AndykatieG","@AndykatieG")</f>
        <v>@AndykatieG</v>
      </c>
      <c r="C2175" s="10" t="s">
        <v>9353</v>
      </c>
      <c r="D2175" s="10" t="s">
        <v>9354</v>
      </c>
      <c r="E2175" s="9" t="str">
        <f>HYPERLINK("https://twitter.com/AndykatieG/status/1218451758629912577","1218451758629912577")</f>
        <v>1218451758629912577</v>
      </c>
      <c r="F2175" s="13"/>
      <c r="G2175" s="11" t="s">
        <v>9355</v>
      </c>
      <c r="H2175" s="13"/>
      <c r="I2175" s="14">
        <v>0.0</v>
      </c>
      <c r="J2175" s="14">
        <v>1.0</v>
      </c>
      <c r="K2175" s="9" t="str">
        <f>HYPERLINK("http://twitter.com/download/iphone","Twitter for iPhone")</f>
        <v>Twitter for iPhone</v>
      </c>
      <c r="L2175" s="15">
        <v>57.0</v>
      </c>
      <c r="M2175" s="15">
        <v>176.0</v>
      </c>
      <c r="N2175" s="15">
        <v>1.0</v>
      </c>
      <c r="O2175" s="16"/>
      <c r="P2175" s="17">
        <v>43748.46228009259</v>
      </c>
      <c r="Q2175" s="13"/>
      <c r="R2175" s="10" t="s">
        <v>9356</v>
      </c>
      <c r="S2175" s="13"/>
      <c r="T2175" s="13"/>
      <c r="U2175" s="18" t="str">
        <f>HYPERLINK("https://pbs.twimg.com/profile_images/1199714201725485056/L72TPHxN.jpg","View")</f>
        <v>View</v>
      </c>
      <c r="V2175" s="13"/>
      <c r="W2175" s="13"/>
      <c r="X2175" s="13"/>
      <c r="Y2175" s="13"/>
      <c r="Z2175" s="13"/>
    </row>
    <row r="2176">
      <c r="A2176" s="8">
        <v>43848.149351851855</v>
      </c>
      <c r="B2176" s="9" t="str">
        <f>HYPERLINK("https://twitter.com/cwmind","@cwmind")</f>
        <v>@cwmind</v>
      </c>
      <c r="C2176" s="10" t="s">
        <v>9357</v>
      </c>
      <c r="D2176" s="10" t="s">
        <v>9358</v>
      </c>
      <c r="E2176" s="9" t="str">
        <f>HYPERLINK("https://twitter.com/cwmind/status/1218451726870728706","1218451726870728706")</f>
        <v>1218451726870728706</v>
      </c>
      <c r="F2176" s="11" t="s">
        <v>9359</v>
      </c>
      <c r="G2176" s="11" t="s">
        <v>9360</v>
      </c>
      <c r="H2176" s="13"/>
      <c r="I2176" s="14">
        <v>0.0</v>
      </c>
      <c r="J2176" s="14">
        <v>0.0</v>
      </c>
      <c r="K2176" s="9" t="str">
        <f>HYPERLINK("https://www.hootsuite.com","Hootsuite Inc.")</f>
        <v>Hootsuite Inc.</v>
      </c>
      <c r="L2176" s="15">
        <v>3017.0</v>
      </c>
      <c r="M2176" s="15">
        <v>2154.0</v>
      </c>
      <c r="N2176" s="15">
        <v>80.0</v>
      </c>
      <c r="O2176" s="16"/>
      <c r="P2176" s="17">
        <v>40394.29888888889</v>
      </c>
      <c r="Q2176" s="10" t="s">
        <v>9361</v>
      </c>
      <c r="R2176" s="10" t="s">
        <v>9362</v>
      </c>
      <c r="S2176" s="11" t="s">
        <v>9363</v>
      </c>
      <c r="T2176" s="13"/>
      <c r="U2176" s="18" t="str">
        <f>HYPERLINK("https://pbs.twimg.com/profile_images/786669691083362304/YMI98r4U.jpg","View")</f>
        <v>View</v>
      </c>
      <c r="V2176" s="13"/>
      <c r="W2176" s="13"/>
      <c r="X2176" s="13"/>
      <c r="Y2176" s="13"/>
      <c r="Z2176" s="13"/>
    </row>
    <row r="2177">
      <c r="A2177" s="8">
        <v>43848.149097222224</v>
      </c>
      <c r="B2177" s="9" t="str">
        <f>HYPERLINK("https://twitter.com/RachelActilabs","@RachelActilabs")</f>
        <v>@RachelActilabs</v>
      </c>
      <c r="C2177" s="10" t="s">
        <v>9364</v>
      </c>
      <c r="D2177" s="10" t="s">
        <v>9365</v>
      </c>
      <c r="E2177" s="9" t="str">
        <f>HYPERLINK("https://twitter.com/RachelActilabs/status/1218451634524774400","1218451634524774400")</f>
        <v>1218451634524774400</v>
      </c>
      <c r="F2177" s="13"/>
      <c r="G2177" s="13"/>
      <c r="H2177" s="13"/>
      <c r="I2177" s="14">
        <v>0.0</v>
      </c>
      <c r="J2177" s="14">
        <v>0.0</v>
      </c>
      <c r="K2177" s="9" t="str">
        <f t="shared" ref="K2177:K2178" si="275">HYPERLINK("http://twitter.com/download/android","Twitter for Android")</f>
        <v>Twitter for Android</v>
      </c>
      <c r="L2177" s="15">
        <v>8.0</v>
      </c>
      <c r="M2177" s="15">
        <v>69.0</v>
      </c>
      <c r="N2177" s="15">
        <v>0.0</v>
      </c>
      <c r="O2177" s="16"/>
      <c r="P2177" s="17">
        <v>42838.81270833334</v>
      </c>
      <c r="Q2177" s="10" t="s">
        <v>9366</v>
      </c>
      <c r="R2177" s="10" t="s">
        <v>9367</v>
      </c>
      <c r="S2177" s="11" t="s">
        <v>9368</v>
      </c>
      <c r="T2177" s="13"/>
      <c r="U2177" s="18" t="str">
        <f>HYPERLINK("https://pbs.twimg.com/profile_images/1191237059144499200/PAF52pa2.jpg","View")</f>
        <v>View</v>
      </c>
      <c r="V2177" s="13"/>
      <c r="W2177" s="13"/>
      <c r="X2177" s="13"/>
      <c r="Y2177" s="13"/>
      <c r="Z2177" s="13"/>
    </row>
    <row r="2178">
      <c r="A2178" s="8">
        <v>43848.14866898148</v>
      </c>
      <c r="B2178" s="9" t="str">
        <f>HYPERLINK("https://twitter.com/VoicesWirral","@VoicesWirral")</f>
        <v>@VoicesWirral</v>
      </c>
      <c r="C2178" s="10" t="s">
        <v>9369</v>
      </c>
      <c r="D2178" s="10" t="s">
        <v>9370</v>
      </c>
      <c r="E2178" s="9" t="str">
        <f>HYPERLINK("https://twitter.com/VoicesWirral/status/1218451482376384512","1218451482376384512")</f>
        <v>1218451482376384512</v>
      </c>
      <c r="F2178" s="11" t="s">
        <v>9268</v>
      </c>
      <c r="G2178" s="13"/>
      <c r="H2178" s="13"/>
      <c r="I2178" s="14">
        <v>4.0</v>
      </c>
      <c r="J2178" s="14">
        <v>1.0</v>
      </c>
      <c r="K2178" s="9" t="str">
        <f t="shared" si="275"/>
        <v>Twitter for Android</v>
      </c>
      <c r="L2178" s="15">
        <v>362.0</v>
      </c>
      <c r="M2178" s="15">
        <v>660.0</v>
      </c>
      <c r="N2178" s="15">
        <v>4.0</v>
      </c>
      <c r="O2178" s="16"/>
      <c r="P2178" s="17">
        <v>43313.46172453703</v>
      </c>
      <c r="Q2178" s="10" t="s">
        <v>6045</v>
      </c>
      <c r="R2178" s="10" t="s">
        <v>9371</v>
      </c>
      <c r="S2178" s="13"/>
      <c r="T2178" s="13"/>
      <c r="U2178" s="18" t="str">
        <f>HYPERLINK("https://pbs.twimg.com/profile_images/1032256492840341504/73YkJjUo.jpg","View")</f>
        <v>View</v>
      </c>
      <c r="V2178" s="13"/>
      <c r="W2178" s="13"/>
      <c r="X2178" s="13"/>
      <c r="Y2178" s="13"/>
      <c r="Z2178" s="13"/>
    </row>
    <row r="2179">
      <c r="A2179" s="8">
        <v>43848.148506944446</v>
      </c>
      <c r="B2179" s="9" t="str">
        <f>HYPERLINK("https://twitter.com/humuel","@humuel")</f>
        <v>@humuel</v>
      </c>
      <c r="C2179" s="10" t="s">
        <v>9372</v>
      </c>
      <c r="D2179" s="10" t="s">
        <v>9373</v>
      </c>
      <c r="E2179" s="9" t="str">
        <f>HYPERLINK("https://twitter.com/humuel/status/1218451422435598336","1218451422435598336")</f>
        <v>1218451422435598336</v>
      </c>
      <c r="F2179" s="11" t="s">
        <v>814</v>
      </c>
      <c r="G2179" s="13"/>
      <c r="H2179" s="13"/>
      <c r="I2179" s="14">
        <v>0.0</v>
      </c>
      <c r="J2179" s="14">
        <v>0.0</v>
      </c>
      <c r="K2179" s="9" t="str">
        <f>HYPERLINK("https://mobile.twitter.com","Twitter Web App")</f>
        <v>Twitter Web App</v>
      </c>
      <c r="L2179" s="15">
        <v>1048.0</v>
      </c>
      <c r="M2179" s="15">
        <v>2357.0</v>
      </c>
      <c r="N2179" s="15">
        <v>10.0</v>
      </c>
      <c r="O2179" s="16"/>
      <c r="P2179" s="17">
        <v>40999.504375000004</v>
      </c>
      <c r="Q2179" s="10" t="s">
        <v>9374</v>
      </c>
      <c r="R2179" s="10" t="s">
        <v>9375</v>
      </c>
      <c r="S2179" s="13"/>
      <c r="T2179" s="13"/>
      <c r="U2179" s="18" t="str">
        <f>HYPERLINK("https://pbs.twimg.com/profile_images/709106509741989889/YSpziOTo.jpg","View")</f>
        <v>View</v>
      </c>
      <c r="V2179" s="13"/>
      <c r="W2179" s="13"/>
      <c r="X2179" s="13"/>
      <c r="Y2179" s="13"/>
      <c r="Z2179" s="13"/>
    </row>
    <row r="2180">
      <c r="A2180" s="8">
        <v>43848.14820601852</v>
      </c>
      <c r="B2180" s="9" t="str">
        <f>HYPERLINK("https://twitter.com/RecoveringTc","@RecoveringTc")</f>
        <v>@RecoveringTc</v>
      </c>
      <c r="C2180" s="10" t="s">
        <v>9376</v>
      </c>
      <c r="D2180" s="10" t="s">
        <v>9377</v>
      </c>
      <c r="E2180" s="9" t="str">
        <f>HYPERLINK("https://twitter.com/RecoveringTc/status/1218451313673019392","1218451313673019392")</f>
        <v>1218451313673019392</v>
      </c>
      <c r="F2180" s="13"/>
      <c r="G2180" s="11" t="s">
        <v>9378</v>
      </c>
      <c r="H2180" s="13"/>
      <c r="I2180" s="14">
        <v>0.0</v>
      </c>
      <c r="J2180" s="14">
        <v>0.0</v>
      </c>
      <c r="K2180" s="9" t="str">
        <f t="shared" ref="K2180:K2181" si="276">HYPERLINK("http://twitter.com/download/android","Twitter for Android")</f>
        <v>Twitter for Android</v>
      </c>
      <c r="L2180" s="15">
        <v>23.0</v>
      </c>
      <c r="M2180" s="15">
        <v>100.0</v>
      </c>
      <c r="N2180" s="15">
        <v>0.0</v>
      </c>
      <c r="O2180" s="16"/>
      <c r="P2180" s="17">
        <v>43640.498032407406</v>
      </c>
      <c r="Q2180" s="13"/>
      <c r="R2180" s="13"/>
      <c r="S2180" s="13"/>
      <c r="T2180" s="13"/>
      <c r="U2180" s="18" t="str">
        <f>HYPERLINK("https://pbs.twimg.com/profile_images/1143186623334617090/p1JMd-pa.jpg","View")</f>
        <v>View</v>
      </c>
      <c r="V2180" s="13"/>
      <c r="W2180" s="13"/>
      <c r="X2180" s="13"/>
      <c r="Y2180" s="13"/>
      <c r="Z2180" s="13"/>
    </row>
    <row r="2181">
      <c r="A2181" s="8">
        <v>43848.147731481484</v>
      </c>
      <c r="B2181" s="9" t="str">
        <f>HYPERLINK("https://twitter.com/LadyGrasha","@LadyGrasha")</f>
        <v>@LadyGrasha</v>
      </c>
      <c r="C2181" s="10" t="s">
        <v>9379</v>
      </c>
      <c r="D2181" s="10" t="s">
        <v>238</v>
      </c>
      <c r="E2181" s="9" t="str">
        <f>HYPERLINK("https://twitter.com/LadyGrasha/status/1218451143107469312","1218451143107469312")</f>
        <v>1218451143107469312</v>
      </c>
      <c r="F2181" s="13"/>
      <c r="G2181" s="13"/>
      <c r="H2181" s="13"/>
      <c r="I2181" s="14">
        <v>1.0</v>
      </c>
      <c r="J2181" s="14">
        <v>2.0</v>
      </c>
      <c r="K2181" s="9" t="str">
        <f t="shared" si="276"/>
        <v>Twitter for Android</v>
      </c>
      <c r="L2181" s="15">
        <v>14750.0</v>
      </c>
      <c r="M2181" s="15">
        <v>12095.0</v>
      </c>
      <c r="N2181" s="15">
        <v>43.0</v>
      </c>
      <c r="O2181" s="16"/>
      <c r="P2181" s="17">
        <v>40386.641597222224</v>
      </c>
      <c r="Q2181" s="10" t="s">
        <v>9380</v>
      </c>
      <c r="R2181" s="10" t="s">
        <v>9381</v>
      </c>
      <c r="S2181" s="13"/>
      <c r="T2181" s="13"/>
      <c r="U2181" s="18" t="str">
        <f>HYPERLINK("https://pbs.twimg.com/profile_images/1211983725287874560/3SlK0hbz.jpg","View")</f>
        <v>View</v>
      </c>
      <c r="V2181" s="13"/>
      <c r="W2181" s="13"/>
      <c r="X2181" s="13"/>
      <c r="Y2181" s="13"/>
      <c r="Z2181" s="13"/>
    </row>
    <row r="2182">
      <c r="A2182" s="8">
        <v>43848.14767361111</v>
      </c>
      <c r="B2182" s="9" t="str">
        <f>HYPERLINK("https://twitter.com/libbyexplores","@libbyexplores")</f>
        <v>@libbyexplores</v>
      </c>
      <c r="C2182" s="10" t="s">
        <v>9382</v>
      </c>
      <c r="D2182" s="10" t="s">
        <v>9383</v>
      </c>
      <c r="E2182" s="9" t="str">
        <f>HYPERLINK("https://twitter.com/libbyexplores/status/1218451118897926144","1218451118897926144")</f>
        <v>1218451118897926144</v>
      </c>
      <c r="F2182" s="13"/>
      <c r="G2182" s="13"/>
      <c r="H2182" s="13"/>
      <c r="I2182" s="14">
        <v>0.0</v>
      </c>
      <c r="J2182" s="14">
        <v>3.0</v>
      </c>
      <c r="K2182" s="9" t="str">
        <f>HYPERLINK("http://twitter.com/download/iphone","Twitter for iPhone")</f>
        <v>Twitter for iPhone</v>
      </c>
      <c r="L2182" s="15">
        <v>542.0</v>
      </c>
      <c r="M2182" s="15">
        <v>1317.0</v>
      </c>
      <c r="N2182" s="15">
        <v>8.0</v>
      </c>
      <c r="O2182" s="16"/>
      <c r="P2182" s="17">
        <v>40502.29215277778</v>
      </c>
      <c r="Q2182" s="10" t="s">
        <v>9384</v>
      </c>
      <c r="R2182" s="10" t="s">
        <v>9385</v>
      </c>
      <c r="S2182" s="11" t="s">
        <v>9386</v>
      </c>
      <c r="T2182" s="13"/>
      <c r="U2182" s="18" t="str">
        <f>HYPERLINK("https://pbs.twimg.com/profile_images/1169873553878994947/ypVXd-Jd.jpg","View")</f>
        <v>View</v>
      </c>
      <c r="V2182" s="13"/>
      <c r="W2182" s="13"/>
      <c r="X2182" s="13"/>
      <c r="Y2182" s="13"/>
      <c r="Z2182" s="13"/>
    </row>
    <row r="2183">
      <c r="A2183" s="8">
        <v>43848.147314814814</v>
      </c>
      <c r="B2183" s="9" t="str">
        <f>HYPERLINK("https://twitter.com/Throughth_eDark","@Throughth_eDark")</f>
        <v>@Throughth_eDark</v>
      </c>
      <c r="C2183" s="10" t="s">
        <v>9387</v>
      </c>
      <c r="D2183" s="10" t="s">
        <v>9388</v>
      </c>
      <c r="E2183" s="9" t="str">
        <f>HYPERLINK("https://twitter.com/Throughth_eDark/status/1218450989843390465","1218450989843390465")</f>
        <v>1218450989843390465</v>
      </c>
      <c r="F2183" s="13"/>
      <c r="G2183" s="11" t="s">
        <v>9389</v>
      </c>
      <c r="H2183" s="13"/>
      <c r="I2183" s="14">
        <v>0.0</v>
      </c>
      <c r="J2183" s="14">
        <v>0.0</v>
      </c>
      <c r="K2183" s="9" t="str">
        <f>HYPERLINK("http://twitter.com/download/android","Twitter for Android")</f>
        <v>Twitter for Android</v>
      </c>
      <c r="L2183" s="15">
        <v>1.0</v>
      </c>
      <c r="M2183" s="15">
        <v>0.0</v>
      </c>
      <c r="N2183" s="15">
        <v>0.0</v>
      </c>
      <c r="O2183" s="16"/>
      <c r="P2183" s="17">
        <v>43845.570555555554</v>
      </c>
      <c r="Q2183" s="13"/>
      <c r="R2183" s="10" t="s">
        <v>9390</v>
      </c>
      <c r="S2183" s="11" t="s">
        <v>9391</v>
      </c>
      <c r="T2183" s="13"/>
      <c r="U2183" s="18" t="str">
        <f>HYPERLINK("https://pbs.twimg.com/profile_images/1217517416869171203/wggNvTbC.jpg","View")</f>
        <v>View</v>
      </c>
      <c r="V2183" s="13"/>
      <c r="W2183" s="13"/>
      <c r="X2183" s="13"/>
      <c r="Y2183" s="13"/>
      <c r="Z2183" s="13"/>
    </row>
    <row r="2184">
      <c r="A2184" s="8">
        <v>43848.14710648148</v>
      </c>
      <c r="B2184" s="9" t="str">
        <f>HYPERLINK("https://twitter.com/Duckplague","@Duckplague")</f>
        <v>@Duckplague</v>
      </c>
      <c r="C2184" s="10" t="s">
        <v>9392</v>
      </c>
      <c r="D2184" s="10" t="s">
        <v>9393</v>
      </c>
      <c r="E2184" s="9" t="str">
        <f>HYPERLINK("https://twitter.com/Duckplague/status/1218450914174021633","1218450914174021633")</f>
        <v>1218450914174021633</v>
      </c>
      <c r="F2184" s="11" t="s">
        <v>9394</v>
      </c>
      <c r="G2184" s="13"/>
      <c r="H2184" s="13"/>
      <c r="I2184" s="14">
        <v>3.0</v>
      </c>
      <c r="J2184" s="14">
        <v>9.0</v>
      </c>
      <c r="K2184" s="9" t="str">
        <f>HYPERLINK("https://www.elgato.com/gaming","Elgato Stream Deck")</f>
        <v>Elgato Stream Deck</v>
      </c>
      <c r="L2184" s="15">
        <v>295.0</v>
      </c>
      <c r="M2184" s="15">
        <v>164.0</v>
      </c>
      <c r="N2184" s="15">
        <v>2.0</v>
      </c>
      <c r="O2184" s="16"/>
      <c r="P2184" s="17">
        <v>40425.6037037037</v>
      </c>
      <c r="Q2184" s="10" t="s">
        <v>9395</v>
      </c>
      <c r="R2184" s="10" t="s">
        <v>9396</v>
      </c>
      <c r="S2184" s="13"/>
      <c r="T2184" s="13"/>
      <c r="U2184" s="18" t="str">
        <f>HYPERLINK("https://pbs.twimg.com/profile_images/733253918495379456/mV5EXP8X.jpg","View")</f>
        <v>View</v>
      </c>
      <c r="V2184" s="13"/>
      <c r="W2184" s="13"/>
      <c r="X2184" s="13"/>
      <c r="Y2184" s="13"/>
      <c r="Z2184" s="13"/>
    </row>
    <row r="2185">
      <c r="A2185" s="8">
        <v>43848.146006944444</v>
      </c>
      <c r="B2185" s="9" t="str">
        <f>HYPERLINK("https://twitter.com/Poppyshell81","@Poppyshell81")</f>
        <v>@Poppyshell81</v>
      </c>
      <c r="C2185" s="10" t="s">
        <v>9397</v>
      </c>
      <c r="D2185" s="10" t="s">
        <v>9398</v>
      </c>
      <c r="E2185" s="9" t="str">
        <f>HYPERLINK("https://twitter.com/Poppyshell81/status/1218450517288013825","1218450517288013825")</f>
        <v>1218450517288013825</v>
      </c>
      <c r="F2185" s="13"/>
      <c r="G2185" s="13"/>
      <c r="H2185" s="13"/>
      <c r="I2185" s="14">
        <v>0.0</v>
      </c>
      <c r="J2185" s="14">
        <v>5.0</v>
      </c>
      <c r="K2185" s="9" t="str">
        <f>HYPERLINK("https://mobile.twitter.com","Twitter Web App")</f>
        <v>Twitter Web App</v>
      </c>
      <c r="L2185" s="15">
        <v>1163.0</v>
      </c>
      <c r="M2185" s="15">
        <v>2647.0</v>
      </c>
      <c r="N2185" s="15">
        <v>8.0</v>
      </c>
      <c r="O2185" s="16"/>
      <c r="P2185" s="17">
        <v>43759.22009259259</v>
      </c>
      <c r="Q2185" s="10" t="s">
        <v>9399</v>
      </c>
      <c r="R2185" s="10" t="s">
        <v>9400</v>
      </c>
      <c r="S2185" s="11" t="s">
        <v>9401</v>
      </c>
      <c r="T2185" s="13"/>
      <c r="U2185" s="18" t="str">
        <f>HYPERLINK("https://pbs.twimg.com/profile_images/1205122673594060802/kNjFrxZJ.jpg","View")</f>
        <v>View</v>
      </c>
      <c r="V2185" s="13"/>
      <c r="W2185" s="13"/>
      <c r="X2185" s="13"/>
      <c r="Y2185" s="13"/>
      <c r="Z2185" s="13"/>
    </row>
    <row r="2186">
      <c r="A2186" s="8">
        <v>43848.14549768518</v>
      </c>
      <c r="B2186" s="9" t="str">
        <f>HYPERLINK("https://twitter.com/DrSallyChung","@DrSallyChung")</f>
        <v>@DrSallyChung</v>
      </c>
      <c r="C2186" s="10" t="s">
        <v>9402</v>
      </c>
      <c r="D2186" s="10" t="s">
        <v>9403</v>
      </c>
      <c r="E2186" s="9" t="str">
        <f>HYPERLINK("https://twitter.com/DrSallyChung/status/1218450333858324480","1218450333858324480")</f>
        <v>1218450333858324480</v>
      </c>
      <c r="F2186" s="11" t="s">
        <v>9404</v>
      </c>
      <c r="G2186" s="13"/>
      <c r="H2186" s="13"/>
      <c r="I2186" s="14">
        <v>0.0</v>
      </c>
      <c r="J2186" s="14">
        <v>0.0</v>
      </c>
      <c r="K2186" s="9" t="str">
        <f>HYPERLINK("http://twitter.com/download/iphone","Twitter for iPhone")</f>
        <v>Twitter for iPhone</v>
      </c>
      <c r="L2186" s="15">
        <v>128.0</v>
      </c>
      <c r="M2186" s="15">
        <v>170.0</v>
      </c>
      <c r="N2186" s="15">
        <v>3.0</v>
      </c>
      <c r="O2186" s="16"/>
      <c r="P2186" s="17">
        <v>43614.61396990741</v>
      </c>
      <c r="Q2186" s="10" t="s">
        <v>9405</v>
      </c>
      <c r="R2186" s="10" t="s">
        <v>9406</v>
      </c>
      <c r="S2186" s="11" t="s">
        <v>9407</v>
      </c>
      <c r="T2186" s="13"/>
      <c r="U2186" s="18" t="str">
        <f>HYPERLINK("https://pbs.twimg.com/profile_images/1191817184495972359/nRhFzS63.jpg","View")</f>
        <v>View</v>
      </c>
      <c r="V2186" s="13"/>
      <c r="W2186" s="13"/>
      <c r="X2186" s="13"/>
      <c r="Y2186" s="13"/>
      <c r="Z2186" s="13"/>
    </row>
    <row r="2187">
      <c r="A2187" s="8">
        <v>43848.1453587963</v>
      </c>
      <c r="B2187" s="9" t="str">
        <f>HYPERLINK("https://twitter.com/RCPUrja","@RCPUrja")</f>
        <v>@RCPUrja</v>
      </c>
      <c r="C2187" s="10" t="s">
        <v>9408</v>
      </c>
      <c r="D2187" s="10" t="s">
        <v>9409</v>
      </c>
      <c r="E2187" s="9" t="str">
        <f>HYPERLINK("https://twitter.com/RCPUrja/status/1218450281001705472","1218450281001705472")</f>
        <v>1218450281001705472</v>
      </c>
      <c r="F2187" s="13"/>
      <c r="G2187" s="11" t="s">
        <v>9410</v>
      </c>
      <c r="H2187" s="13"/>
      <c r="I2187" s="14">
        <v>0.0</v>
      </c>
      <c r="J2187" s="14">
        <v>0.0</v>
      </c>
      <c r="K2187" s="9" t="str">
        <f>HYPERLINK("http://twitter.com/download/android","Twitter for Android")</f>
        <v>Twitter for Android</v>
      </c>
      <c r="L2187" s="15">
        <v>59.0</v>
      </c>
      <c r="M2187" s="15">
        <v>159.0</v>
      </c>
      <c r="N2187" s="15">
        <v>0.0</v>
      </c>
      <c r="O2187" s="16"/>
      <c r="P2187" s="17">
        <v>43689.32016203704</v>
      </c>
      <c r="Q2187" s="10" t="s">
        <v>9411</v>
      </c>
      <c r="R2187" s="10" t="s">
        <v>9412</v>
      </c>
      <c r="S2187" s="13"/>
      <c r="T2187" s="13"/>
      <c r="U2187" s="18" t="str">
        <f>HYPERLINK("https://pbs.twimg.com/profile_images/1160879139567501312/2pI7RWLx.jpg","View")</f>
        <v>View</v>
      </c>
      <c r="V2187" s="13"/>
      <c r="W2187" s="13"/>
      <c r="X2187" s="13"/>
      <c r="Y2187" s="13"/>
      <c r="Z2187" s="13"/>
    </row>
    <row r="2188">
      <c r="A2188" s="8">
        <v>43848.14467592593</v>
      </c>
      <c r="B2188" s="9" t="str">
        <f>HYPERLINK("https://twitter.com/SydneyAlex333","@SydneyAlex333")</f>
        <v>@SydneyAlex333</v>
      </c>
      <c r="C2188" s="10" t="s">
        <v>1175</v>
      </c>
      <c r="D2188" s="10" t="s">
        <v>9413</v>
      </c>
      <c r="E2188" s="9" t="str">
        <f>HYPERLINK("https://twitter.com/SydneyAlex333/status/1218450034905079810","1218450034905079810")</f>
        <v>1218450034905079810</v>
      </c>
      <c r="F2188" s="13"/>
      <c r="G2188" s="13"/>
      <c r="H2188" s="13"/>
      <c r="I2188" s="14">
        <v>0.0</v>
      </c>
      <c r="J2188" s="14">
        <v>2.0</v>
      </c>
      <c r="K2188" s="9" t="str">
        <f>HYPERLINK("http://twitter.com/download/iphone","Twitter for iPhone")</f>
        <v>Twitter for iPhone</v>
      </c>
      <c r="L2188" s="15">
        <v>62.0</v>
      </c>
      <c r="M2188" s="15">
        <v>342.0</v>
      </c>
      <c r="N2188" s="15">
        <v>0.0</v>
      </c>
      <c r="O2188" s="16"/>
      <c r="P2188" s="17">
        <v>41282.809270833335</v>
      </c>
      <c r="Q2188" s="10" t="s">
        <v>5286</v>
      </c>
      <c r="R2188" s="10" t="s">
        <v>9414</v>
      </c>
      <c r="S2188" s="13"/>
      <c r="T2188" s="13"/>
      <c r="U2188" s="18" t="str">
        <f>HYPERLINK("https://pbs.twimg.com/profile_images/1218643749137313792/o_4bnQuT.jpg","View")</f>
        <v>View</v>
      </c>
      <c r="V2188" s="13"/>
      <c r="W2188" s="13"/>
      <c r="X2188" s="13"/>
      <c r="Y2188" s="13"/>
      <c r="Z2188" s="13"/>
    </row>
    <row r="2189">
      <c r="A2189" s="8">
        <v>43848.14402777777</v>
      </c>
      <c r="B2189" s="9" t="str">
        <f>HYPERLINK("https://twitter.com/ECBCManchester","@ECBCManchester")</f>
        <v>@ECBCManchester</v>
      </c>
      <c r="C2189" s="10" t="s">
        <v>9415</v>
      </c>
      <c r="D2189" s="10" t="s">
        <v>9416</v>
      </c>
      <c r="E2189" s="9" t="str">
        <f>HYPERLINK("https://twitter.com/ECBCManchester/status/1218449799290195968","1218449799290195968")</f>
        <v>1218449799290195968</v>
      </c>
      <c r="F2189" s="11" t="s">
        <v>9417</v>
      </c>
      <c r="G2189" s="11" t="s">
        <v>9418</v>
      </c>
      <c r="H2189" s="13"/>
      <c r="I2189" s="14">
        <v>1.0</v>
      </c>
      <c r="J2189" s="14">
        <v>1.0</v>
      </c>
      <c r="K2189" s="9" t="str">
        <f t="shared" ref="K2189:K2191" si="277">HYPERLINK("http://twitter.com/download/android","Twitter for Android")</f>
        <v>Twitter for Android</v>
      </c>
      <c r="L2189" s="15">
        <v>2459.0</v>
      </c>
      <c r="M2189" s="15">
        <v>4660.0</v>
      </c>
      <c r="N2189" s="15">
        <v>10.0</v>
      </c>
      <c r="O2189" s="16"/>
      <c r="P2189" s="17">
        <v>43186.49369212963</v>
      </c>
      <c r="Q2189" s="10" t="s">
        <v>3408</v>
      </c>
      <c r="R2189" s="22" t="s">
        <v>9419</v>
      </c>
      <c r="S2189" s="11" t="s">
        <v>9420</v>
      </c>
      <c r="T2189" s="13"/>
      <c r="U2189" s="18" t="str">
        <f>HYPERLINK("https://pbs.twimg.com/profile_images/1010518066638319617/wIHWr4ar.jpg","View")</f>
        <v>View</v>
      </c>
      <c r="V2189" s="13"/>
      <c r="W2189" s="13"/>
      <c r="X2189" s="13"/>
      <c r="Y2189" s="13"/>
      <c r="Z2189" s="13"/>
    </row>
    <row r="2190">
      <c r="A2190" s="8">
        <v>43848.14392361111</v>
      </c>
      <c r="B2190" s="9" t="str">
        <f>HYPERLINK("https://twitter.com/OlivePrime","@OlivePrime")</f>
        <v>@OlivePrime</v>
      </c>
      <c r="C2190" s="10" t="s">
        <v>9421</v>
      </c>
      <c r="D2190" s="10" t="s">
        <v>9422</v>
      </c>
      <c r="E2190" s="9" t="str">
        <f>HYPERLINK("https://twitter.com/OlivePrime/status/1218449761331707904","1218449761331707904")</f>
        <v>1218449761331707904</v>
      </c>
      <c r="F2190" s="10" t="s">
        <v>9423</v>
      </c>
      <c r="G2190" s="13"/>
      <c r="H2190" s="13"/>
      <c r="I2190" s="14">
        <v>0.0</v>
      </c>
      <c r="J2190" s="14">
        <v>0.0</v>
      </c>
      <c r="K2190" s="9" t="str">
        <f t="shared" si="277"/>
        <v>Twitter for Android</v>
      </c>
      <c r="L2190" s="15">
        <v>2011.0</v>
      </c>
      <c r="M2190" s="15">
        <v>2021.0</v>
      </c>
      <c r="N2190" s="15">
        <v>2.0</v>
      </c>
      <c r="O2190" s="16"/>
      <c r="P2190" s="17">
        <v>43152.17219907408</v>
      </c>
      <c r="Q2190" s="10" t="s">
        <v>9424</v>
      </c>
      <c r="R2190" s="10" t="s">
        <v>9425</v>
      </c>
      <c r="S2190" s="11" t="s">
        <v>9426</v>
      </c>
      <c r="T2190" s="13"/>
      <c r="U2190" s="18" t="str">
        <f>HYPERLINK("https://pbs.twimg.com/profile_images/966250760316088321/nUvb22j8.jpg","View")</f>
        <v>View</v>
      </c>
      <c r="V2190" s="13"/>
      <c r="W2190" s="13"/>
      <c r="X2190" s="13"/>
      <c r="Y2190" s="13"/>
      <c r="Z2190" s="13"/>
    </row>
    <row r="2191">
      <c r="A2191" s="8">
        <v>43848.143692129626</v>
      </c>
      <c r="B2191" s="9" t="str">
        <f>HYPERLINK("https://twitter.com/MindShopHills","@MindShopHills")</f>
        <v>@MindShopHills</v>
      </c>
      <c r="C2191" s="10" t="s">
        <v>9427</v>
      </c>
      <c r="D2191" s="10" t="s">
        <v>9428</v>
      </c>
      <c r="E2191" s="9" t="str">
        <f>HYPERLINK("https://twitter.com/MindShopHills/status/1218449678179717121","1218449678179717121")</f>
        <v>1218449678179717121</v>
      </c>
      <c r="F2191" s="13"/>
      <c r="G2191" s="11" t="s">
        <v>9429</v>
      </c>
      <c r="H2191" s="13"/>
      <c r="I2191" s="14">
        <v>0.0</v>
      </c>
      <c r="J2191" s="14">
        <v>2.0</v>
      </c>
      <c r="K2191" s="9" t="str">
        <f t="shared" si="277"/>
        <v>Twitter for Android</v>
      </c>
      <c r="L2191" s="15">
        <v>407.0</v>
      </c>
      <c r="M2191" s="15">
        <v>989.0</v>
      </c>
      <c r="N2191" s="15">
        <v>3.0</v>
      </c>
      <c r="O2191" s="16"/>
      <c r="P2191" s="17">
        <v>42378.34659722222</v>
      </c>
      <c r="Q2191" s="10" t="s">
        <v>9430</v>
      </c>
      <c r="R2191" s="10" t="s">
        <v>9431</v>
      </c>
      <c r="S2191" s="11" t="s">
        <v>9432</v>
      </c>
      <c r="T2191" s="13"/>
      <c r="U2191" s="18" t="str">
        <f>HYPERLINK("https://pbs.twimg.com/profile_images/1218259728964431872/XJuyPtkr.jpg","View")</f>
        <v>View</v>
      </c>
      <c r="V2191" s="13"/>
      <c r="W2191" s="13"/>
      <c r="X2191" s="13"/>
      <c r="Y2191" s="13"/>
      <c r="Z2191" s="13"/>
    </row>
    <row r="2192">
      <c r="A2192" s="8">
        <v>43848.1433912037</v>
      </c>
      <c r="B2192" s="9" t="str">
        <f>HYPERLINK("https://twitter.com/jax_gray","@jax_gray")</f>
        <v>@jax_gray</v>
      </c>
      <c r="C2192" s="10" t="s">
        <v>9433</v>
      </c>
      <c r="D2192" s="10" t="s">
        <v>9434</v>
      </c>
      <c r="E2192" s="9" t="str">
        <f>HYPERLINK("https://twitter.com/jax_gray/status/1218449568674828288","1218449568674828288")</f>
        <v>1218449568674828288</v>
      </c>
      <c r="F2192" s="11" t="s">
        <v>9435</v>
      </c>
      <c r="G2192" s="13"/>
      <c r="H2192" s="13"/>
      <c r="I2192" s="14">
        <v>1.0</v>
      </c>
      <c r="J2192" s="14">
        <v>0.0</v>
      </c>
      <c r="K2192" s="9" t="str">
        <f>HYPERLINK("http://twitter.com/download/iphone","Twitter for iPhone")</f>
        <v>Twitter for iPhone</v>
      </c>
      <c r="L2192" s="15">
        <v>491.0</v>
      </c>
      <c r="M2192" s="15">
        <v>1463.0</v>
      </c>
      <c r="N2192" s="15">
        <v>10.0</v>
      </c>
      <c r="O2192" s="16"/>
      <c r="P2192" s="17">
        <v>41047.30266203704</v>
      </c>
      <c r="Q2192" s="10" t="s">
        <v>9436</v>
      </c>
      <c r="R2192" s="10" t="s">
        <v>9437</v>
      </c>
      <c r="S2192" s="11" t="s">
        <v>9438</v>
      </c>
      <c r="T2192" s="13"/>
      <c r="U2192" s="18" t="str">
        <f>HYPERLINK("https://pbs.twimg.com/profile_images/1130856555782369281/SrF_2zu4.jpg","View")</f>
        <v>View</v>
      </c>
      <c r="V2192" s="13"/>
      <c r="W2192" s="13"/>
      <c r="X2192" s="13"/>
      <c r="Y2192" s="13"/>
      <c r="Z2192" s="13"/>
    </row>
    <row r="2193">
      <c r="A2193" s="8">
        <v>43848.1424074074</v>
      </c>
      <c r="B2193" s="9" t="str">
        <f>HYPERLINK("https://twitter.com/NHSEngland","@NHSEngland")</f>
        <v>@NHSEngland</v>
      </c>
      <c r="C2193" s="10" t="s">
        <v>7931</v>
      </c>
      <c r="D2193" s="10" t="s">
        <v>9439</v>
      </c>
      <c r="E2193" s="9" t="str">
        <f>HYPERLINK("https://twitter.com/NHSEngland/status/1218449212163133440","1218449212163133440")</f>
        <v>1218449212163133440</v>
      </c>
      <c r="F2193" s="11" t="s">
        <v>9440</v>
      </c>
      <c r="G2193" s="11" t="s">
        <v>9441</v>
      </c>
      <c r="H2193" s="13"/>
      <c r="I2193" s="14">
        <v>18.0</v>
      </c>
      <c r="J2193" s="14">
        <v>41.0</v>
      </c>
      <c r="K2193" s="9" t="str">
        <f>HYPERLINK("https://www.hootsuite.com","Hootsuite Inc.")</f>
        <v>Hootsuite Inc.</v>
      </c>
      <c r="L2193" s="15">
        <v>306558.0</v>
      </c>
      <c r="M2193" s="15">
        <v>2321.0</v>
      </c>
      <c r="N2193" s="15">
        <v>1957.0</v>
      </c>
      <c r="O2193" s="21" t="s">
        <v>522</v>
      </c>
      <c r="P2193" s="17">
        <v>41010.741377314815</v>
      </c>
      <c r="Q2193" s="13"/>
      <c r="R2193" s="10" t="s">
        <v>7934</v>
      </c>
      <c r="S2193" s="11" t="s">
        <v>7935</v>
      </c>
      <c r="T2193" s="13"/>
      <c r="U2193" s="18" t="str">
        <f>HYPERLINK("https://pbs.twimg.com/profile_images/1185130504858812416/hBDz0GEy.png","View")</f>
        <v>View</v>
      </c>
      <c r="V2193" s="13"/>
      <c r="W2193" s="13"/>
      <c r="X2193" s="13"/>
      <c r="Y2193" s="13"/>
      <c r="Z2193" s="13"/>
    </row>
    <row r="2194">
      <c r="A2194" s="8">
        <v>43848.14204861112</v>
      </c>
      <c r="B2194" s="9" t="str">
        <f>HYPERLINK("https://twitter.com/mwanakache","@mwanakache")</f>
        <v>@mwanakache</v>
      </c>
      <c r="C2194" s="10" t="s">
        <v>9442</v>
      </c>
      <c r="D2194" s="10" t="s">
        <v>238</v>
      </c>
      <c r="E2194" s="9" t="str">
        <f>HYPERLINK("https://twitter.com/mwanakache/status/1218449083347673088","1218449083347673088")</f>
        <v>1218449083347673088</v>
      </c>
      <c r="F2194" s="13"/>
      <c r="G2194" s="13"/>
      <c r="H2194" s="13"/>
      <c r="I2194" s="14">
        <v>0.0</v>
      </c>
      <c r="J2194" s="14">
        <v>0.0</v>
      </c>
      <c r="K2194" s="9" t="str">
        <f>HYPERLINK("http://twitter.com/download/android","Twitter for Android")</f>
        <v>Twitter for Android</v>
      </c>
      <c r="L2194" s="15">
        <v>816.0</v>
      </c>
      <c r="M2194" s="15">
        <v>1036.0</v>
      </c>
      <c r="N2194" s="15">
        <v>5.0</v>
      </c>
      <c r="O2194" s="16"/>
      <c r="P2194" s="17">
        <v>40280.190833333334</v>
      </c>
      <c r="Q2194" s="10" t="s">
        <v>9443</v>
      </c>
      <c r="R2194" s="10" t="s">
        <v>9444</v>
      </c>
      <c r="S2194" s="11" t="s">
        <v>9445</v>
      </c>
      <c r="T2194" s="13"/>
      <c r="U2194" s="18" t="str">
        <f>HYPERLINK("https://pbs.twimg.com/profile_images/812783684893966336/cL0RGXYR.jpg","View")</f>
        <v>View</v>
      </c>
      <c r="V2194" s="13"/>
      <c r="W2194" s="13"/>
      <c r="X2194" s="13"/>
      <c r="Y2194" s="13"/>
      <c r="Z2194" s="13"/>
    </row>
    <row r="2195">
      <c r="A2195" s="8">
        <v>43848.14065972222</v>
      </c>
      <c r="B2195" s="9" t="str">
        <f>HYPERLINK("https://twitter.com/TutorinTinslTwn","@TutorinTinslTwn")</f>
        <v>@TutorinTinslTwn</v>
      </c>
      <c r="C2195" s="10" t="s">
        <v>2884</v>
      </c>
      <c r="D2195" s="10" t="s">
        <v>9446</v>
      </c>
      <c r="E2195" s="9" t="str">
        <f>HYPERLINK("https://twitter.com/TutorinTinslTwn/status/1218448579456577537","1218448579456577537")</f>
        <v>1218448579456577537</v>
      </c>
      <c r="F2195" s="11" t="s">
        <v>9447</v>
      </c>
      <c r="G2195" s="13"/>
      <c r="H2195" s="13"/>
      <c r="I2195" s="14">
        <v>0.0</v>
      </c>
      <c r="J2195" s="14">
        <v>0.0</v>
      </c>
      <c r="K2195" s="9" t="str">
        <f>HYPERLINK("http://www.ajaymatharu.com/","Tweet Old Post")</f>
        <v>Tweet Old Post</v>
      </c>
      <c r="L2195" s="15">
        <v>126.0</v>
      </c>
      <c r="M2195" s="15">
        <v>192.0</v>
      </c>
      <c r="N2195" s="15">
        <v>2.0</v>
      </c>
      <c r="O2195" s="16"/>
      <c r="P2195" s="17">
        <v>43080.98730324074</v>
      </c>
      <c r="Q2195" s="10" t="s">
        <v>382</v>
      </c>
      <c r="R2195" s="10" t="s">
        <v>2887</v>
      </c>
      <c r="S2195" s="11" t="s">
        <v>2888</v>
      </c>
      <c r="T2195" s="13"/>
      <c r="U2195" s="18" t="str">
        <f>HYPERLINK("https://pbs.twimg.com/profile_images/1181929102674145282/tiFD6Syu.jpg","View")</f>
        <v>View</v>
      </c>
      <c r="V2195" s="13"/>
      <c r="W2195" s="13"/>
      <c r="X2195" s="13"/>
      <c r="Y2195" s="13"/>
      <c r="Z2195" s="13"/>
    </row>
    <row r="2196">
      <c r="A2196" s="8">
        <v>43848.14034722222</v>
      </c>
      <c r="B2196" s="9" t="str">
        <f>HYPERLINK("https://twitter.com/women4erdington","@women4erdington")</f>
        <v>@women4erdington</v>
      </c>
      <c r="C2196" s="10" t="s">
        <v>9448</v>
      </c>
      <c r="D2196" s="10" t="s">
        <v>9449</v>
      </c>
      <c r="E2196" s="9" t="str">
        <f>HYPERLINK("https://twitter.com/women4erdington/status/1218448463949651968","1218448463949651968")</f>
        <v>1218448463949651968</v>
      </c>
      <c r="F2196" s="10" t="s">
        <v>9450</v>
      </c>
      <c r="G2196" s="11" t="s">
        <v>9451</v>
      </c>
      <c r="H2196" s="13"/>
      <c r="I2196" s="14">
        <v>0.0</v>
      </c>
      <c r="J2196" s="14">
        <v>0.0</v>
      </c>
      <c r="K2196" s="9" t="str">
        <f>HYPERLINK("http://twitter.com/download/android","Twitter for Android")</f>
        <v>Twitter for Android</v>
      </c>
      <c r="L2196" s="15">
        <v>2207.0</v>
      </c>
      <c r="M2196" s="15">
        <v>3152.0</v>
      </c>
      <c r="N2196" s="15">
        <v>63.0</v>
      </c>
      <c r="O2196" s="16"/>
      <c r="P2196" s="17">
        <v>41321.63940972222</v>
      </c>
      <c r="Q2196" s="13"/>
      <c r="R2196" s="10" t="s">
        <v>9452</v>
      </c>
      <c r="S2196" s="13"/>
      <c r="T2196" s="13"/>
      <c r="U2196" s="18" t="str">
        <f>HYPERLINK("https://pbs.twimg.com/profile_images/1131094042341728259/AIDVeGzk.jpg","View")</f>
        <v>View</v>
      </c>
      <c r="V2196" s="13"/>
      <c r="W2196" s="13"/>
      <c r="X2196" s="13"/>
      <c r="Y2196" s="13"/>
      <c r="Z2196" s="13"/>
    </row>
    <row r="2197">
      <c r="A2197" s="8">
        <v>43848.14021990741</v>
      </c>
      <c r="B2197" s="9" t="str">
        <f>HYPERLINK("https://twitter.com/AJMHLIMITED","@AJMHLIMITED")</f>
        <v>@AJMHLIMITED</v>
      </c>
      <c r="C2197" s="10" t="s">
        <v>7996</v>
      </c>
      <c r="D2197" s="10" t="s">
        <v>9453</v>
      </c>
      <c r="E2197" s="9" t="str">
        <f>HYPERLINK("https://twitter.com/AJMHLIMITED/status/1218448419305533440","1218448419305533440")</f>
        <v>1218448419305533440</v>
      </c>
      <c r="F2197" s="11" t="s">
        <v>9454</v>
      </c>
      <c r="G2197" s="13"/>
      <c r="H2197" s="13"/>
      <c r="I2197" s="14">
        <v>0.0</v>
      </c>
      <c r="J2197" s="14">
        <v>1.0</v>
      </c>
      <c r="K2197" s="9" t="str">
        <f>HYPERLINK("https://mobile.twitter.com","Twitter Web App")</f>
        <v>Twitter Web App</v>
      </c>
      <c r="L2197" s="15">
        <v>69.0</v>
      </c>
      <c r="M2197" s="15">
        <v>39.0</v>
      </c>
      <c r="N2197" s="15">
        <v>1.0</v>
      </c>
      <c r="O2197" s="16"/>
      <c r="P2197" s="17">
        <v>43225.531956018516</v>
      </c>
      <c r="Q2197" s="10" t="s">
        <v>7999</v>
      </c>
      <c r="R2197" s="10" t="s">
        <v>8000</v>
      </c>
      <c r="S2197" s="11" t="s">
        <v>8001</v>
      </c>
      <c r="T2197" s="13"/>
      <c r="U2197" s="18" t="str">
        <f>HYPERLINK("https://pbs.twimg.com/profile_images/1001054663075082240/V2aWTz6g.jpg","View")</f>
        <v>View</v>
      </c>
      <c r="V2197" s="13"/>
      <c r="W2197" s="13"/>
      <c r="X2197" s="13"/>
      <c r="Y2197" s="13"/>
      <c r="Z2197" s="13"/>
    </row>
    <row r="2198">
      <c r="A2198" s="8">
        <v>43848.1390162037</v>
      </c>
      <c r="B2198" s="9" t="str">
        <f>HYPERLINK("https://twitter.com/rose_namaste","@rose_namaste")</f>
        <v>@rose_namaste</v>
      </c>
      <c r="C2198" s="10" t="s">
        <v>9455</v>
      </c>
      <c r="D2198" s="10" t="s">
        <v>9456</v>
      </c>
      <c r="E2198" s="9" t="str">
        <f>HYPERLINK("https://twitter.com/rose_namaste/status/1218447983106252801","1218447983106252801")</f>
        <v>1218447983106252801</v>
      </c>
      <c r="F2198" s="13"/>
      <c r="G2198" s="11" t="s">
        <v>9457</v>
      </c>
      <c r="H2198" s="13"/>
      <c r="I2198" s="14">
        <v>1.0</v>
      </c>
      <c r="J2198" s="14">
        <v>4.0</v>
      </c>
      <c r="K2198" s="9" t="str">
        <f t="shared" ref="K2198:K2199" si="278">HYPERLINK("http://twitter.com/download/android","Twitter for Android")</f>
        <v>Twitter for Android</v>
      </c>
      <c r="L2198" s="15">
        <v>186.0</v>
      </c>
      <c r="M2198" s="15">
        <v>153.0</v>
      </c>
      <c r="N2198" s="15">
        <v>3.0</v>
      </c>
      <c r="O2198" s="16"/>
      <c r="P2198" s="17">
        <v>43500.34027777778</v>
      </c>
      <c r="Q2198" s="10" t="s">
        <v>9458</v>
      </c>
      <c r="R2198" s="10" t="s">
        <v>9459</v>
      </c>
      <c r="S2198" s="13"/>
      <c r="T2198" s="13"/>
      <c r="U2198" s="18" t="str">
        <f>HYPERLINK("https://pbs.twimg.com/profile_images/1092426989523357696/9CzQJVcY.jpg","View")</f>
        <v>View</v>
      </c>
      <c r="V2198" s="13"/>
      <c r="W2198" s="13"/>
      <c r="X2198" s="13"/>
      <c r="Y2198" s="13"/>
      <c r="Z2198" s="13"/>
    </row>
    <row r="2199">
      <c r="A2199" s="8">
        <v>43848.138449074075</v>
      </c>
      <c r="B2199" s="9" t="str">
        <f>HYPERLINK("https://twitter.com/HolisticHarmon2","@HolisticHarmon2")</f>
        <v>@HolisticHarmon2</v>
      </c>
      <c r="C2199" s="10" t="s">
        <v>9460</v>
      </c>
      <c r="D2199" s="10" t="s">
        <v>9461</v>
      </c>
      <c r="E2199" s="9" t="str">
        <f>HYPERLINK("https://twitter.com/HolisticHarmon2/status/1218447776469737472","1218447776469737472")</f>
        <v>1218447776469737472</v>
      </c>
      <c r="F2199" s="13"/>
      <c r="G2199" s="11" t="s">
        <v>9462</v>
      </c>
      <c r="H2199" s="13"/>
      <c r="I2199" s="14">
        <v>0.0</v>
      </c>
      <c r="J2199" s="14">
        <v>0.0</v>
      </c>
      <c r="K2199" s="9" t="str">
        <f t="shared" si="278"/>
        <v>Twitter for Android</v>
      </c>
      <c r="L2199" s="15">
        <v>23.0</v>
      </c>
      <c r="M2199" s="15">
        <v>44.0</v>
      </c>
      <c r="N2199" s="15">
        <v>0.0</v>
      </c>
      <c r="O2199" s="16"/>
      <c r="P2199" s="17">
        <v>43380.73315972222</v>
      </c>
      <c r="Q2199" s="10" t="s">
        <v>9463</v>
      </c>
      <c r="R2199" s="10" t="s">
        <v>9464</v>
      </c>
      <c r="S2199" s="13"/>
      <c r="T2199" s="13"/>
      <c r="U2199" s="18" t="str">
        <f>HYPERLINK("https://pbs.twimg.com/profile_images/1049059190495432705/YqpOT38N.jpg","View")</f>
        <v>View</v>
      </c>
      <c r="V2199" s="13"/>
      <c r="W2199" s="13"/>
      <c r="X2199" s="13"/>
      <c r="Y2199" s="13"/>
      <c r="Z2199" s="13"/>
    </row>
    <row r="2200">
      <c r="A2200" s="8">
        <v>43848.13836805556</v>
      </c>
      <c r="B2200" s="9" t="str">
        <f>HYPERLINK("https://twitter.com/OrtonLindsay","@OrtonLindsay")</f>
        <v>@OrtonLindsay</v>
      </c>
      <c r="C2200" s="10" t="s">
        <v>9465</v>
      </c>
      <c r="D2200" s="10" t="s">
        <v>9466</v>
      </c>
      <c r="E2200" s="9" t="str">
        <f>HYPERLINK("https://twitter.com/OrtonLindsay/status/1218447749194055680","1218447749194055680")</f>
        <v>1218447749194055680</v>
      </c>
      <c r="F2200" s="13"/>
      <c r="G2200" s="13"/>
      <c r="H2200" s="13"/>
      <c r="I2200" s="14">
        <v>0.0</v>
      </c>
      <c r="J2200" s="14">
        <v>2.0</v>
      </c>
      <c r="K2200" s="9" t="str">
        <f>HYPERLINK("http://twitter.com/download/iphone","Twitter for iPhone")</f>
        <v>Twitter for iPhone</v>
      </c>
      <c r="L2200" s="15">
        <v>40.0</v>
      </c>
      <c r="M2200" s="15">
        <v>37.0</v>
      </c>
      <c r="N2200" s="15">
        <v>0.0</v>
      </c>
      <c r="O2200" s="16"/>
      <c r="P2200" s="17">
        <v>42022.59826388889</v>
      </c>
      <c r="Q2200" s="10" t="s">
        <v>7111</v>
      </c>
      <c r="R2200" s="10" t="s">
        <v>9467</v>
      </c>
      <c r="S2200" s="13"/>
      <c r="T2200" s="13"/>
      <c r="U2200" s="18" t="str">
        <f>HYPERLINK("https://pbs.twimg.com/profile_images/1102688555812438017/zlUjeJQV.jpg","View")</f>
        <v>View</v>
      </c>
      <c r="V2200" s="13"/>
      <c r="W2200" s="13"/>
      <c r="X2200" s="13"/>
      <c r="Y2200" s="13"/>
      <c r="Z2200" s="13"/>
    </row>
    <row r="2201">
      <c r="A2201" s="8">
        <v>43848.13752314815</v>
      </c>
      <c r="B2201" s="9" t="str">
        <f>HYPERLINK("https://twitter.com/RelaxKidsSophie","@RelaxKidsSophie")</f>
        <v>@RelaxKidsSophie</v>
      </c>
      <c r="C2201" s="10" t="s">
        <v>9468</v>
      </c>
      <c r="D2201" s="10" t="s">
        <v>9469</v>
      </c>
      <c r="E2201" s="9" t="str">
        <f>HYPERLINK("https://twitter.com/RelaxKidsSophie/status/1218447439981613056","1218447439981613056")</f>
        <v>1218447439981613056</v>
      </c>
      <c r="F2201" s="13"/>
      <c r="G2201" s="11" t="s">
        <v>9470</v>
      </c>
      <c r="H2201" s="13"/>
      <c r="I2201" s="14">
        <v>0.0</v>
      </c>
      <c r="J2201" s="14">
        <v>0.0</v>
      </c>
      <c r="K2201" s="9" t="str">
        <f>HYPERLINK("https://buffer.com","Buffer")</f>
        <v>Buffer</v>
      </c>
      <c r="L2201" s="15">
        <v>410.0</v>
      </c>
      <c r="M2201" s="15">
        <v>709.0</v>
      </c>
      <c r="N2201" s="15">
        <v>6.0</v>
      </c>
      <c r="O2201" s="16"/>
      <c r="P2201" s="17">
        <v>42813.55928240741</v>
      </c>
      <c r="Q2201" s="10" t="s">
        <v>9471</v>
      </c>
      <c r="R2201" s="10" t="s">
        <v>9472</v>
      </c>
      <c r="S2201" s="11" t="s">
        <v>9473</v>
      </c>
      <c r="T2201" s="13"/>
      <c r="U2201" s="18" t="str">
        <f>HYPERLINK("https://pbs.twimg.com/profile_images/873490837753266176/XNc8kxGR.jpg","View")</f>
        <v>View</v>
      </c>
      <c r="V2201" s="13"/>
      <c r="W2201" s="13"/>
      <c r="X2201" s="13"/>
      <c r="Y2201" s="13"/>
      <c r="Z2201" s="13"/>
    </row>
    <row r="2202">
      <c r="A2202" s="8">
        <v>43848.1372337963</v>
      </c>
      <c r="B2202" s="9" t="str">
        <f>HYPERLINK("https://twitter.com/DrThoraiya","@DrThoraiya")</f>
        <v>@DrThoraiya</v>
      </c>
      <c r="C2202" s="10" t="s">
        <v>9474</v>
      </c>
      <c r="D2202" s="10" t="s">
        <v>9475</v>
      </c>
      <c r="E2202" s="9" t="str">
        <f>HYPERLINK("https://twitter.com/DrThoraiya/status/1218447336113876992","1218447336113876992")</f>
        <v>1218447336113876992</v>
      </c>
      <c r="F2202" s="11" t="s">
        <v>9476</v>
      </c>
      <c r="G2202" s="13"/>
      <c r="H2202" s="13"/>
      <c r="I2202" s="14">
        <v>0.0</v>
      </c>
      <c r="J2202" s="14">
        <v>0.0</v>
      </c>
      <c r="K2202" s="9" t="str">
        <f>HYPERLINK("http://instagram.com","Instagram")</f>
        <v>Instagram</v>
      </c>
      <c r="L2202" s="15">
        <v>298.0</v>
      </c>
      <c r="M2202" s="15">
        <v>364.0</v>
      </c>
      <c r="N2202" s="15">
        <v>13.0</v>
      </c>
      <c r="O2202" s="16"/>
      <c r="P2202" s="17">
        <v>42162.62210648148</v>
      </c>
      <c r="Q2202" s="10" t="s">
        <v>3763</v>
      </c>
      <c r="R2202" s="10" t="s">
        <v>9477</v>
      </c>
      <c r="S2202" s="13"/>
      <c r="T2202" s="13"/>
      <c r="U2202" s="18" t="str">
        <f>HYPERLINK("https://pbs.twimg.com/profile_images/996819102319693824/LUeEfLkC.jpg","View")</f>
        <v>View</v>
      </c>
      <c r="V2202" s="13"/>
      <c r="W2202" s="13"/>
      <c r="X2202" s="13"/>
      <c r="Y2202" s="13"/>
      <c r="Z2202" s="13"/>
    </row>
    <row r="2203">
      <c r="A2203" s="8">
        <v>43848.136828703704</v>
      </c>
      <c r="B2203" s="9" t="str">
        <f>HYPERLINK("https://twitter.com/themoodcards","@themoodcards")</f>
        <v>@themoodcards</v>
      </c>
      <c r="C2203" s="10" t="s">
        <v>2534</v>
      </c>
      <c r="D2203" s="10" t="s">
        <v>9478</v>
      </c>
      <c r="E2203" s="9" t="str">
        <f>HYPERLINK("https://twitter.com/themoodcards/status/1218447190974136321","1218447190974136321")</f>
        <v>1218447190974136321</v>
      </c>
      <c r="F2203" s="11" t="s">
        <v>9479</v>
      </c>
      <c r="G2203" s="13"/>
      <c r="H2203" s="13"/>
      <c r="I2203" s="14">
        <v>0.0</v>
      </c>
      <c r="J2203" s="14">
        <v>0.0</v>
      </c>
      <c r="K2203" s="9" t="str">
        <f>HYPERLINK("http://twitter.com/#!/download/ipad","Twitter for iPad")</f>
        <v>Twitter for iPad</v>
      </c>
      <c r="L2203" s="15">
        <v>20059.0</v>
      </c>
      <c r="M2203" s="15">
        <v>6081.0</v>
      </c>
      <c r="N2203" s="15">
        <v>816.0</v>
      </c>
      <c r="O2203" s="16"/>
      <c r="P2203" s="17">
        <v>39867.74195601852</v>
      </c>
      <c r="Q2203" s="10" t="s">
        <v>2537</v>
      </c>
      <c r="R2203" s="10" t="s">
        <v>2538</v>
      </c>
      <c r="S2203" s="11" t="s">
        <v>2539</v>
      </c>
      <c r="T2203" s="13"/>
      <c r="U2203" s="18" t="str">
        <f>HYPERLINK("https://pbs.twimg.com/profile_images/1090900502332743681/QR-roEM5.jpg","View")</f>
        <v>View</v>
      </c>
      <c r="V2203" s="13"/>
      <c r="W2203" s="13"/>
      <c r="X2203" s="13"/>
      <c r="Y2203" s="13"/>
      <c r="Z2203" s="13"/>
    </row>
    <row r="2204">
      <c r="A2204" s="8">
        <v>43848.13613425926</v>
      </c>
      <c r="B2204" s="9" t="str">
        <f>HYPERLINK("https://twitter.com/ChristinaBooks","@ChristinaBooks")</f>
        <v>@ChristinaBooks</v>
      </c>
      <c r="C2204" s="10" t="s">
        <v>9480</v>
      </c>
      <c r="D2204" s="10" t="s">
        <v>9481</v>
      </c>
      <c r="E2204" s="9" t="str">
        <f>HYPERLINK("https://twitter.com/ChristinaBooks/status/1218446938577698817","1218446938577698817")</f>
        <v>1218446938577698817</v>
      </c>
      <c r="F2204" s="13"/>
      <c r="G2204" s="11" t="s">
        <v>9482</v>
      </c>
      <c r="H2204" s="13"/>
      <c r="I2204" s="14">
        <v>0.0</v>
      </c>
      <c r="J2204" s="14">
        <v>0.0</v>
      </c>
      <c r="K2204" s="9" t="str">
        <f t="shared" ref="K2204:K2205" si="279">HYPERLINK("https://mobile.twitter.com","Twitter Web App")</f>
        <v>Twitter Web App</v>
      </c>
      <c r="L2204" s="15">
        <v>2915.0</v>
      </c>
      <c r="M2204" s="15">
        <v>2188.0</v>
      </c>
      <c r="N2204" s="15">
        <v>171.0</v>
      </c>
      <c r="O2204" s="16"/>
      <c r="P2204" s="17">
        <v>40075.11299768518</v>
      </c>
      <c r="Q2204" s="10" t="s">
        <v>1547</v>
      </c>
      <c r="R2204" s="10" t="s">
        <v>9483</v>
      </c>
      <c r="S2204" s="11" t="s">
        <v>9484</v>
      </c>
      <c r="T2204" s="13"/>
      <c r="U2204" s="18" t="str">
        <f>HYPERLINK("https://pbs.twimg.com/profile_images/1376559056/39PORTRAIT.2011.JPG","View")</f>
        <v>View</v>
      </c>
      <c r="V2204" s="13"/>
      <c r="W2204" s="13"/>
      <c r="X2204" s="13"/>
      <c r="Y2204" s="13"/>
      <c r="Z2204" s="13"/>
    </row>
    <row r="2205">
      <c r="A2205" s="8">
        <v>43848.13606481481</v>
      </c>
      <c r="B2205" s="9" t="str">
        <f>HYPERLINK("https://twitter.com/TheLolaBohemia","@TheLolaBohemia")</f>
        <v>@TheLolaBohemia</v>
      </c>
      <c r="C2205" s="10" t="s">
        <v>9485</v>
      </c>
      <c r="D2205" s="10" t="s">
        <v>9486</v>
      </c>
      <c r="E2205" s="9" t="str">
        <f>HYPERLINK("https://twitter.com/TheLolaBohemia/status/1218446915546812416","1218446915546812416")</f>
        <v>1218446915546812416</v>
      </c>
      <c r="F2205" s="13"/>
      <c r="G2205" s="13"/>
      <c r="H2205" s="13"/>
      <c r="I2205" s="14">
        <v>0.0</v>
      </c>
      <c r="J2205" s="14">
        <v>4.0</v>
      </c>
      <c r="K2205" s="9" t="str">
        <f t="shared" si="279"/>
        <v>Twitter Web App</v>
      </c>
      <c r="L2205" s="15">
        <v>2124.0</v>
      </c>
      <c r="M2205" s="15">
        <v>512.0</v>
      </c>
      <c r="N2205" s="15">
        <v>49.0</v>
      </c>
      <c r="O2205" s="16"/>
      <c r="P2205" s="17">
        <v>40434.8641550926</v>
      </c>
      <c r="Q2205" s="10" t="s">
        <v>4493</v>
      </c>
      <c r="R2205" s="10" t="s">
        <v>9487</v>
      </c>
      <c r="S2205" s="11" t="s">
        <v>9488</v>
      </c>
      <c r="T2205" s="13"/>
      <c r="U2205" s="18" t="str">
        <f>HYPERLINK("https://pbs.twimg.com/profile_images/1089719100832665602/GONbl4--.jpg","View")</f>
        <v>View</v>
      </c>
      <c r="V2205" s="13"/>
      <c r="W2205" s="13"/>
      <c r="X2205" s="13"/>
      <c r="Y2205" s="13"/>
      <c r="Z2205" s="13"/>
    </row>
    <row r="2206">
      <c r="A2206" s="8">
        <v>43848.13481481481</v>
      </c>
      <c r="B2206" s="9" t="str">
        <f>HYPERLINK("https://twitter.com/RoslynByfield","@RoslynByfield")</f>
        <v>@RoslynByfield</v>
      </c>
      <c r="C2206" s="10" t="s">
        <v>2571</v>
      </c>
      <c r="D2206" s="10" t="s">
        <v>9489</v>
      </c>
      <c r="E2206" s="9" t="str">
        <f>HYPERLINK("https://twitter.com/RoslynByfield/status/1218446460817231873","1218446460817231873")</f>
        <v>1218446460817231873</v>
      </c>
      <c r="F2206" s="11" t="s">
        <v>9490</v>
      </c>
      <c r="G2206" s="13"/>
      <c r="H2206" s="13"/>
      <c r="I2206" s="14">
        <v>3.0</v>
      </c>
      <c r="J2206" s="14">
        <v>2.0</v>
      </c>
      <c r="K2206" s="9" t="str">
        <f>HYPERLINK("http://twitter.com","Twitter Web Client")</f>
        <v>Twitter Web Client</v>
      </c>
      <c r="L2206" s="15">
        <v>1570.0</v>
      </c>
      <c r="M2206" s="15">
        <v>1016.0</v>
      </c>
      <c r="N2206" s="15">
        <v>107.0</v>
      </c>
      <c r="O2206" s="16"/>
      <c r="P2206" s="17">
        <v>40899.16662037037</v>
      </c>
      <c r="Q2206" s="10" t="s">
        <v>2102</v>
      </c>
      <c r="R2206" s="10" t="s">
        <v>2574</v>
      </c>
      <c r="S2206" s="11" t="s">
        <v>2575</v>
      </c>
      <c r="T2206" s="13"/>
      <c r="U2206" s="18" t="str">
        <f>HYPERLINK("https://pbs.twimg.com/profile_images/378800000062366106/1c94f76f02ffc96b5799f6990c289070.jpeg","View")</f>
        <v>View</v>
      </c>
      <c r="V2206" s="13"/>
      <c r="W2206" s="13"/>
      <c r="X2206" s="13"/>
      <c r="Y2206" s="13"/>
      <c r="Z2206" s="13"/>
    </row>
    <row r="2207">
      <c r="A2207" s="8">
        <v>43848.13416666667</v>
      </c>
      <c r="B2207" s="9" t="str">
        <f>HYPERLINK("https://twitter.com/grouptherapy33","@grouptherapy33")</f>
        <v>@grouptherapy33</v>
      </c>
      <c r="C2207" s="10" t="s">
        <v>831</v>
      </c>
      <c r="D2207" s="10" t="s">
        <v>9491</v>
      </c>
      <c r="E2207" s="9" t="str">
        <f>HYPERLINK("https://twitter.com/grouptherapy33/status/1218446227643281408","1218446227643281408")</f>
        <v>1218446227643281408</v>
      </c>
      <c r="F2207" s="13"/>
      <c r="G2207" s="13"/>
      <c r="H2207" s="13"/>
      <c r="I2207" s="14">
        <v>1.0</v>
      </c>
      <c r="J2207" s="14">
        <v>0.0</v>
      </c>
      <c r="K2207" s="9" t="str">
        <f>HYPERLINK("http://www.DynamicTweets.com","Dynamic Tweets")</f>
        <v>Dynamic Tweets</v>
      </c>
      <c r="L2207" s="15">
        <v>4053.0</v>
      </c>
      <c r="M2207" s="15">
        <v>3517.0</v>
      </c>
      <c r="N2207" s="15">
        <v>74.0</v>
      </c>
      <c r="O2207" s="16"/>
      <c r="P2207" s="17">
        <v>42375.45542824074</v>
      </c>
      <c r="Q2207" s="13"/>
      <c r="R2207" s="13"/>
      <c r="S2207" s="11" t="s">
        <v>833</v>
      </c>
      <c r="T2207" s="13"/>
      <c r="U2207" s="18" t="str">
        <f>HYPERLINK("https://pbs.twimg.com/profile_images/773354507157671941/wE10yy8j.jpg","View")</f>
        <v>View</v>
      </c>
      <c r="V2207" s="13"/>
      <c r="W2207" s="13"/>
      <c r="X2207" s="13"/>
      <c r="Y2207" s="13"/>
      <c r="Z2207" s="13"/>
    </row>
    <row r="2208">
      <c r="A2208" s="8">
        <v>43848.13348379629</v>
      </c>
      <c r="B2208" s="9" t="str">
        <f>HYPERLINK("https://twitter.com/joeybtait","@joeybtait")</f>
        <v>@joeybtait</v>
      </c>
      <c r="C2208" s="10" t="s">
        <v>9492</v>
      </c>
      <c r="D2208" s="10" t="s">
        <v>9493</v>
      </c>
      <c r="E2208" s="9" t="str">
        <f>HYPERLINK("https://twitter.com/joeybtait/status/1218445976249171968","1218445976249171968")</f>
        <v>1218445976249171968</v>
      </c>
      <c r="F2208" s="11" t="s">
        <v>9494</v>
      </c>
      <c r="G2208" s="13"/>
      <c r="H2208" s="13"/>
      <c r="I2208" s="14">
        <v>3.0</v>
      </c>
      <c r="J2208" s="14">
        <v>2.0</v>
      </c>
      <c r="K2208" s="9" t="str">
        <f>HYPERLINK("http://twitter.com/download/iphone","Twitter for iPhone")</f>
        <v>Twitter for iPhone</v>
      </c>
      <c r="L2208" s="15">
        <v>402.0</v>
      </c>
      <c r="M2208" s="15">
        <v>1444.0</v>
      </c>
      <c r="N2208" s="15">
        <v>6.0</v>
      </c>
      <c r="O2208" s="16"/>
      <c r="P2208" s="17">
        <v>42710.69608796296</v>
      </c>
      <c r="Q2208" s="10" t="s">
        <v>9495</v>
      </c>
      <c r="R2208" s="10" t="s">
        <v>9496</v>
      </c>
      <c r="S2208" s="13"/>
      <c r="T2208" s="13"/>
      <c r="U2208" s="18" t="str">
        <f>HYPERLINK("https://pbs.twimg.com/profile_images/806258273611612161/jLsu8L7D.jpg","View")</f>
        <v>View</v>
      </c>
      <c r="V2208" s="13"/>
      <c r="W2208" s="13"/>
      <c r="X2208" s="13"/>
      <c r="Y2208" s="13"/>
      <c r="Z2208" s="13"/>
    </row>
    <row r="2209">
      <c r="A2209" s="8">
        <v>43848.13333333333</v>
      </c>
      <c r="B2209" s="9" t="str">
        <f>HYPERLINK("https://twitter.com/ChatTogether","@ChatTogether")</f>
        <v>@ChatTogether</v>
      </c>
      <c r="C2209" s="10" t="s">
        <v>2326</v>
      </c>
      <c r="D2209" s="10" t="s">
        <v>5903</v>
      </c>
      <c r="E2209" s="9" t="str">
        <f>HYPERLINK("https://twitter.com/ChatTogether/status/1218445923409432576","1218445923409432576")</f>
        <v>1218445923409432576</v>
      </c>
      <c r="F2209" s="11" t="s">
        <v>5904</v>
      </c>
      <c r="G2209" s="13"/>
      <c r="H2209" s="13"/>
      <c r="I2209" s="14">
        <v>1.0</v>
      </c>
      <c r="J2209" s="14">
        <v>0.0</v>
      </c>
      <c r="K2209" s="9" t="str">
        <f>HYPERLINK("https://buffer.com","Buffer")</f>
        <v>Buffer</v>
      </c>
      <c r="L2209" s="15">
        <v>1387.0</v>
      </c>
      <c r="M2209" s="15">
        <v>1569.0</v>
      </c>
      <c r="N2209" s="15">
        <v>55.0</v>
      </c>
      <c r="O2209" s="16"/>
      <c r="P2209" s="17">
        <v>41801.33769675926</v>
      </c>
      <c r="Q2209" s="10" t="s">
        <v>2329</v>
      </c>
      <c r="R2209" s="10" t="s">
        <v>2330</v>
      </c>
      <c r="S2209" s="11" t="s">
        <v>2331</v>
      </c>
      <c r="T2209" s="13"/>
      <c r="U2209" s="18" t="str">
        <f>HYPERLINK("https://pbs.twimg.com/profile_images/479725427993219072/BI6BlCBV.png","View")</f>
        <v>View</v>
      </c>
      <c r="V2209" s="13"/>
      <c r="W2209" s="13"/>
      <c r="X2209" s="13"/>
      <c r="Y2209" s="13"/>
      <c r="Z2209" s="13"/>
    </row>
    <row r="2210">
      <c r="A2210" s="8">
        <v>43848.132361111115</v>
      </c>
      <c r="B2210" s="9" t="str">
        <f>HYPERLINK("https://twitter.com/BuMindfulness","@BuMindfulness")</f>
        <v>@BuMindfulness</v>
      </c>
      <c r="C2210" s="10" t="s">
        <v>9497</v>
      </c>
      <c r="D2210" s="10" t="s">
        <v>9498</v>
      </c>
      <c r="E2210" s="9" t="str">
        <f>HYPERLINK("https://twitter.com/BuMindfulness/status/1218445571603816448","1218445571603816448")</f>
        <v>1218445571603816448</v>
      </c>
      <c r="F2210" s="13"/>
      <c r="G2210" s="11" t="s">
        <v>9499</v>
      </c>
      <c r="H2210" s="13"/>
      <c r="I2210" s="14">
        <v>1.0</v>
      </c>
      <c r="J2210" s="14">
        <v>2.0</v>
      </c>
      <c r="K2210" s="9" t="str">
        <f>HYPERLINK("http://twitter.com/download/iphone","Twitter for iPhone")</f>
        <v>Twitter for iPhone</v>
      </c>
      <c r="L2210" s="15">
        <v>2.0</v>
      </c>
      <c r="M2210" s="15">
        <v>13.0</v>
      </c>
      <c r="N2210" s="15">
        <v>0.0</v>
      </c>
      <c r="O2210" s="16"/>
      <c r="P2210" s="17">
        <v>43843.343993055554</v>
      </c>
      <c r="Q2210" s="10" t="s">
        <v>9500</v>
      </c>
      <c r="R2210" s="10" t="s">
        <v>9501</v>
      </c>
      <c r="S2210" s="11" t="s">
        <v>9502</v>
      </c>
      <c r="T2210" s="13"/>
      <c r="U2210" s="18" t="str">
        <f>HYPERLINK("https://pbs.twimg.com/profile_images/1216711269883043840/NOZyJc1l.jpg","View")</f>
        <v>View</v>
      </c>
      <c r="V2210" s="13"/>
      <c r="W2210" s="13"/>
      <c r="X2210" s="13"/>
      <c r="Y2210" s="13"/>
      <c r="Z2210" s="13"/>
    </row>
    <row r="2211">
      <c r="A2211" s="8">
        <v>43848.13197916667</v>
      </c>
      <c r="B2211" s="9" t="str">
        <f>HYPERLINK("https://twitter.com/Evelyn_Marinoff","@Evelyn_Marinoff")</f>
        <v>@Evelyn_Marinoff</v>
      </c>
      <c r="C2211" s="10" t="s">
        <v>9503</v>
      </c>
      <c r="D2211" s="10" t="s">
        <v>9504</v>
      </c>
      <c r="E2211" s="9" t="str">
        <f>HYPERLINK("https://twitter.com/Evelyn_Marinoff/status/1218445431505592320","1218445431505592320")</f>
        <v>1218445431505592320</v>
      </c>
      <c r="F2211" s="11" t="s">
        <v>9505</v>
      </c>
      <c r="G2211" s="13"/>
      <c r="H2211" s="13"/>
      <c r="I2211" s="14">
        <v>0.0</v>
      </c>
      <c r="J2211" s="14">
        <v>0.0</v>
      </c>
      <c r="K2211" s="9" t="str">
        <f>HYPERLINK("https://www.hootsuite.com","Hootsuite Inc.")</f>
        <v>Hootsuite Inc.</v>
      </c>
      <c r="L2211" s="15">
        <v>7815.0</v>
      </c>
      <c r="M2211" s="15">
        <v>6686.0</v>
      </c>
      <c r="N2211" s="15">
        <v>99.0</v>
      </c>
      <c r="O2211" s="16"/>
      <c r="P2211" s="17">
        <v>41752.8540625</v>
      </c>
      <c r="Q2211" s="10" t="s">
        <v>9506</v>
      </c>
      <c r="R2211" s="10" t="s">
        <v>9507</v>
      </c>
      <c r="S2211" s="11" t="s">
        <v>9508</v>
      </c>
      <c r="T2211" s="13"/>
      <c r="U2211" s="18" t="str">
        <f>HYPERLINK("https://pbs.twimg.com/profile_images/940681618343292929/lJIPcmfZ.jpg","View")</f>
        <v>View</v>
      </c>
      <c r="V2211" s="13"/>
      <c r="W2211" s="13"/>
      <c r="X2211" s="13"/>
      <c r="Y2211" s="13"/>
      <c r="Z2211" s="13"/>
    </row>
    <row r="2212">
      <c r="A2212" s="8">
        <v>43848.13128472222</v>
      </c>
      <c r="B2212" s="9" t="str">
        <f>HYPERLINK("https://twitter.com/vickythompson28","@vickythompson28")</f>
        <v>@vickythompson28</v>
      </c>
      <c r="C2212" s="10" t="s">
        <v>9509</v>
      </c>
      <c r="D2212" s="10" t="s">
        <v>9205</v>
      </c>
      <c r="E2212" s="9" t="str">
        <f>HYPERLINK("https://twitter.com/vickythompson28/status/1218445182841974784","1218445182841974784")</f>
        <v>1218445182841974784</v>
      </c>
      <c r="F2212" s="11" t="s">
        <v>9510</v>
      </c>
      <c r="G2212" s="11" t="s">
        <v>9511</v>
      </c>
      <c r="H2212" s="13"/>
      <c r="I2212" s="14">
        <v>0.0</v>
      </c>
      <c r="J2212" s="14">
        <v>3.0</v>
      </c>
      <c r="K2212" s="9" t="str">
        <f>HYPERLINK("http://dynamicsignal.com/","Dynamic Signal")</f>
        <v>Dynamic Signal</v>
      </c>
      <c r="L2212" s="15">
        <v>299.0</v>
      </c>
      <c r="M2212" s="15">
        <v>551.0</v>
      </c>
      <c r="N2212" s="15">
        <v>3.0</v>
      </c>
      <c r="O2212" s="16"/>
      <c r="P2212" s="17">
        <v>43670.26730324074</v>
      </c>
      <c r="Q2212" s="10" t="s">
        <v>1024</v>
      </c>
      <c r="R2212" s="10" t="s">
        <v>9512</v>
      </c>
      <c r="S2212" s="13"/>
      <c r="T2212" s="13"/>
      <c r="U2212" s="18" t="str">
        <f>HYPERLINK("https://pbs.twimg.com/profile_images/1183837606842376192/XfsQ_2Cm.jpg","View")</f>
        <v>View</v>
      </c>
      <c r="V2212" s="13"/>
      <c r="W2212" s="13"/>
      <c r="X2212" s="13"/>
      <c r="Y2212" s="13"/>
      <c r="Z2212" s="13"/>
    </row>
    <row r="2213">
      <c r="A2213" s="8">
        <v>43848.12993055556</v>
      </c>
      <c r="B2213" s="9" t="str">
        <f>HYPERLINK("https://twitter.com/LoftPhysics","@LoftPhysics")</f>
        <v>@LoftPhysics</v>
      </c>
      <c r="C2213" s="10" t="s">
        <v>9513</v>
      </c>
      <c r="D2213" s="10" t="s">
        <v>9514</v>
      </c>
      <c r="E2213" s="9" t="str">
        <f>HYPERLINK("https://twitter.com/LoftPhysics/status/1218444692066643968","1218444692066643968")</f>
        <v>1218444692066643968</v>
      </c>
      <c r="F2213" s="13"/>
      <c r="G2213" s="13"/>
      <c r="H2213" s="13"/>
      <c r="I2213" s="14">
        <v>0.0</v>
      </c>
      <c r="J2213" s="14">
        <v>3.0</v>
      </c>
      <c r="K2213" s="9" t="str">
        <f>HYPERLINK("http://twitter.com/download/android","Twitter for Android")</f>
        <v>Twitter for Android</v>
      </c>
      <c r="L2213" s="15">
        <v>1385.0</v>
      </c>
      <c r="M2213" s="15">
        <v>2185.0</v>
      </c>
      <c r="N2213" s="15">
        <v>18.0</v>
      </c>
      <c r="O2213" s="16"/>
      <c r="P2213" s="17">
        <v>41876.42420138889</v>
      </c>
      <c r="Q2213" s="10" t="s">
        <v>95</v>
      </c>
      <c r="R2213" s="10" t="s">
        <v>9515</v>
      </c>
      <c r="S2213" s="13"/>
      <c r="T2213" s="13"/>
      <c r="U2213" s="18" t="str">
        <f>HYPERLINK("https://pbs.twimg.com/profile_images/960429570016075777/_u4fSdgh.jpg","View")</f>
        <v>View</v>
      </c>
      <c r="V2213" s="13"/>
      <c r="W2213" s="13"/>
      <c r="X2213" s="13"/>
      <c r="Y2213" s="13"/>
      <c r="Z2213" s="13"/>
    </row>
    <row r="2214">
      <c r="A2214" s="8">
        <v>43848.12988425926</v>
      </c>
      <c r="B2214" s="9" t="str">
        <f>HYPERLINK("https://twitter.com/ADPMentalHealth","@ADPMentalHealth")</f>
        <v>@ADPMentalHealth</v>
      </c>
      <c r="C2214" s="10" t="s">
        <v>9516</v>
      </c>
      <c r="D2214" s="10" t="s">
        <v>9517</v>
      </c>
      <c r="E2214" s="9" t="str">
        <f>HYPERLINK("https://twitter.com/ADPMentalHealth/status/1218444672038776834","1218444672038776834")</f>
        <v>1218444672038776834</v>
      </c>
      <c r="F2214" s="13"/>
      <c r="G2214" s="11" t="s">
        <v>9518</v>
      </c>
      <c r="H2214" s="13"/>
      <c r="I2214" s="14">
        <v>1.0</v>
      </c>
      <c r="J2214" s="14">
        <v>0.0</v>
      </c>
      <c r="K2214" s="9" t="str">
        <f>HYPERLINK("https://buffer.com","Buffer")</f>
        <v>Buffer</v>
      </c>
      <c r="L2214" s="15">
        <v>1176.0</v>
      </c>
      <c r="M2214" s="15">
        <v>1672.0</v>
      </c>
      <c r="N2214" s="15">
        <v>6.0</v>
      </c>
      <c r="O2214" s="16"/>
      <c r="P2214" s="17">
        <v>43473.45048611111</v>
      </c>
      <c r="Q2214" s="10" t="s">
        <v>9519</v>
      </c>
      <c r="R2214" s="10" t="s">
        <v>9520</v>
      </c>
      <c r="S2214" s="11" t="s">
        <v>9521</v>
      </c>
      <c r="T2214" s="13"/>
      <c r="U2214" s="18" t="str">
        <f>HYPERLINK("https://pbs.twimg.com/profile_images/1083383797356421122/Y86svn4y.jpg","View")</f>
        <v>View</v>
      </c>
      <c r="V2214" s="13"/>
      <c r="W2214" s="13"/>
      <c r="X2214" s="13"/>
      <c r="Y2214" s="13"/>
      <c r="Z2214" s="13"/>
    </row>
    <row r="2215">
      <c r="A2215" s="8">
        <v>43848.129652777774</v>
      </c>
      <c r="B2215" s="9" t="str">
        <f>HYPERLINK("https://twitter.com/AFCBDad","@AFCBDad")</f>
        <v>@AFCBDad</v>
      </c>
      <c r="C2215" s="10" t="s">
        <v>9522</v>
      </c>
      <c r="D2215" s="10" t="s">
        <v>9523</v>
      </c>
      <c r="E2215" s="9" t="str">
        <f>HYPERLINK("https://twitter.com/AFCBDad/status/1218444588618342401","1218444588618342401")</f>
        <v>1218444588618342401</v>
      </c>
      <c r="F2215" s="11" t="s">
        <v>7941</v>
      </c>
      <c r="G2215" s="11" t="s">
        <v>9524</v>
      </c>
      <c r="H2215" s="13"/>
      <c r="I2215" s="14">
        <v>4.0</v>
      </c>
      <c r="J2215" s="14">
        <v>10.0</v>
      </c>
      <c r="K2215" s="9" t="str">
        <f>HYPERLINK("http://twitter.com/download/iphone","Twitter for iPhone")</f>
        <v>Twitter for iPhone</v>
      </c>
      <c r="L2215" s="15">
        <v>630.0</v>
      </c>
      <c r="M2215" s="15">
        <v>560.0</v>
      </c>
      <c r="N2215" s="15">
        <v>27.0</v>
      </c>
      <c r="O2215" s="16"/>
      <c r="P2215" s="17">
        <v>41872.39063657408</v>
      </c>
      <c r="Q2215" s="13"/>
      <c r="R2215" s="10" t="s">
        <v>9525</v>
      </c>
      <c r="S2215" s="13"/>
      <c r="T2215" s="13"/>
      <c r="U2215" s="18" t="str">
        <f>HYPERLINK("https://pbs.twimg.com/profile_images/929827253940342784/PzXWTp0F.jpg","View")</f>
        <v>View</v>
      </c>
      <c r="V2215" s="13"/>
      <c r="W2215" s="13"/>
      <c r="X2215" s="13"/>
      <c r="Y2215" s="13"/>
      <c r="Z2215" s="13"/>
    </row>
    <row r="2216">
      <c r="A2216" s="8">
        <v>43848.12920138889</v>
      </c>
      <c r="B2216" s="9" t="str">
        <f>HYPERLINK("https://twitter.com/thebadhabitkick","@thebadhabitkick")</f>
        <v>@thebadhabitkick</v>
      </c>
      <c r="C2216" s="10" t="s">
        <v>5620</v>
      </c>
      <c r="D2216" s="10" t="s">
        <v>9526</v>
      </c>
      <c r="E2216" s="9" t="str">
        <f>HYPERLINK("https://twitter.com/thebadhabitkick/status/1218444426722390017","1218444426722390017")</f>
        <v>1218444426722390017</v>
      </c>
      <c r="F2216" s="13"/>
      <c r="G2216" s="11" t="s">
        <v>9527</v>
      </c>
      <c r="H2216" s="13"/>
      <c r="I2216" s="14">
        <v>0.0</v>
      </c>
      <c r="J2216" s="14">
        <v>0.0</v>
      </c>
      <c r="K2216" s="9" t="str">
        <f>HYPERLINK("https://buffer.com","Buffer")</f>
        <v>Buffer</v>
      </c>
      <c r="L2216" s="15">
        <v>25.0</v>
      </c>
      <c r="M2216" s="15">
        <v>103.0</v>
      </c>
      <c r="N2216" s="15">
        <v>0.0</v>
      </c>
      <c r="O2216" s="16"/>
      <c r="P2216" s="17">
        <v>43576.15421296297</v>
      </c>
      <c r="Q2216" s="13"/>
      <c r="R2216" s="10" t="s">
        <v>5623</v>
      </c>
      <c r="S2216" s="11" t="s">
        <v>5624</v>
      </c>
      <c r="T2216" s="13"/>
      <c r="U2216" s="18" t="str">
        <f>HYPERLINK("https://pbs.twimg.com/profile_images/1139973852971315201/iXHCxw6c.png","View")</f>
        <v>View</v>
      </c>
      <c r="V2216" s="13"/>
      <c r="W2216" s="13"/>
      <c r="X2216" s="13"/>
      <c r="Y2216" s="13"/>
      <c r="Z2216" s="13"/>
    </row>
    <row r="2217">
      <c r="A2217" s="8">
        <v>43848.12903935185</v>
      </c>
      <c r="B2217" s="9" t="str">
        <f>HYPERLINK("https://twitter.com/lifeloomstudio","@lifeloomstudio")</f>
        <v>@lifeloomstudio</v>
      </c>
      <c r="C2217" s="10" t="s">
        <v>9528</v>
      </c>
      <c r="D2217" s="10" t="s">
        <v>9529</v>
      </c>
      <c r="E2217" s="9" t="str">
        <f>HYPERLINK("https://twitter.com/lifeloomstudio/status/1218444365854658560","1218444365854658560")</f>
        <v>1218444365854658560</v>
      </c>
      <c r="F2217" s="13"/>
      <c r="G2217" s="13"/>
      <c r="H2217" s="13"/>
      <c r="I2217" s="14">
        <v>0.0</v>
      </c>
      <c r="J2217" s="14">
        <v>3.0</v>
      </c>
      <c r="K2217" s="9" t="str">
        <f>HYPERLINK("http://twitter.com/download/android","Twitter for Android")</f>
        <v>Twitter for Android</v>
      </c>
      <c r="L2217" s="15">
        <v>257.0</v>
      </c>
      <c r="M2217" s="15">
        <v>617.0</v>
      </c>
      <c r="N2217" s="15">
        <v>0.0</v>
      </c>
      <c r="O2217" s="16"/>
      <c r="P2217" s="17">
        <v>43592.48959490741</v>
      </c>
      <c r="Q2217" s="10" t="s">
        <v>9530</v>
      </c>
      <c r="R2217" s="10" t="s">
        <v>9531</v>
      </c>
      <c r="S2217" s="11" t="s">
        <v>9532</v>
      </c>
      <c r="T2217" s="13"/>
      <c r="U2217" s="18" t="str">
        <f>HYPERLINK("https://pbs.twimg.com/profile_images/1207665310863679488/6laowtae.jpg","View")</f>
        <v>View</v>
      </c>
      <c r="V2217" s="13"/>
      <c r="W2217" s="13"/>
      <c r="X2217" s="13"/>
      <c r="Y2217" s="13"/>
      <c r="Z2217" s="13"/>
    </row>
    <row r="2218">
      <c r="A2218" s="8">
        <v>43848.12888888889</v>
      </c>
      <c r="B2218" s="9" t="str">
        <f>HYPERLINK("https://twitter.com/Healthyhappy50","@Healthyhappy50")</f>
        <v>@Healthyhappy50</v>
      </c>
      <c r="C2218" s="10" t="s">
        <v>7423</v>
      </c>
      <c r="D2218" s="10" t="s">
        <v>9533</v>
      </c>
      <c r="E2218" s="9" t="str">
        <f>HYPERLINK("https://twitter.com/Healthyhappy50/status/1218444312519827456","1218444312519827456")</f>
        <v>1218444312519827456</v>
      </c>
      <c r="F2218" s="11" t="s">
        <v>9534</v>
      </c>
      <c r="G2218" s="11" t="s">
        <v>9535</v>
      </c>
      <c r="H2218" s="13"/>
      <c r="I2218" s="14">
        <v>1.0</v>
      </c>
      <c r="J2218" s="14">
        <v>9.0</v>
      </c>
      <c r="K2218" s="9" t="str">
        <f>HYPERLINK("http://twitter.com/download/iphone","Twitter for iPhone")</f>
        <v>Twitter for iPhone</v>
      </c>
      <c r="L2218" s="15">
        <v>3919.0</v>
      </c>
      <c r="M2218" s="15">
        <v>2198.0</v>
      </c>
      <c r="N2218" s="15">
        <v>130.0</v>
      </c>
      <c r="O2218" s="16"/>
      <c r="P2218" s="17">
        <v>42309.40708333333</v>
      </c>
      <c r="Q2218" s="10" t="s">
        <v>7427</v>
      </c>
      <c r="R2218" s="10" t="s">
        <v>7428</v>
      </c>
      <c r="S2218" s="11" t="s">
        <v>7429</v>
      </c>
      <c r="T2218" s="13"/>
      <c r="U2218" s="18" t="str">
        <f>HYPERLINK("https://pbs.twimg.com/profile_images/1179131879460626439/AKCCgQRC.jpg","View")</f>
        <v>View</v>
      </c>
      <c r="V2218" s="13"/>
      <c r="W2218" s="13"/>
      <c r="X2218" s="13"/>
      <c r="Y2218" s="13"/>
      <c r="Z2218" s="13"/>
    </row>
    <row r="2219">
      <c r="A2219" s="8">
        <v>43848.12741898149</v>
      </c>
      <c r="B2219" s="9" t="str">
        <f>HYPERLINK("https://twitter.com/bipolarindia","@bipolarindia")</f>
        <v>@bipolarindia</v>
      </c>
      <c r="C2219" s="10" t="s">
        <v>9536</v>
      </c>
      <c r="D2219" s="10" t="s">
        <v>9537</v>
      </c>
      <c r="E2219" s="9" t="str">
        <f>HYPERLINK("https://twitter.com/bipolarindia/status/1218443781378170880","1218443781378170880")</f>
        <v>1218443781378170880</v>
      </c>
      <c r="F2219" s="11" t="s">
        <v>9538</v>
      </c>
      <c r="G2219" s="11" t="s">
        <v>9539</v>
      </c>
      <c r="H2219" s="13"/>
      <c r="I2219" s="14">
        <v>0.0</v>
      </c>
      <c r="J2219" s="14">
        <v>0.0</v>
      </c>
      <c r="K2219" s="9" t="str">
        <f>HYPERLINK("https://mobile.twitter.com","Twitter Web App")</f>
        <v>Twitter Web App</v>
      </c>
      <c r="L2219" s="15">
        <v>1009.0</v>
      </c>
      <c r="M2219" s="15">
        <v>1223.0</v>
      </c>
      <c r="N2219" s="15">
        <v>4.0</v>
      </c>
      <c r="O2219" s="16"/>
      <c r="P2219" s="17">
        <v>41661.24837962963</v>
      </c>
      <c r="Q2219" s="10" t="s">
        <v>35</v>
      </c>
      <c r="R2219" s="10" t="s">
        <v>9540</v>
      </c>
      <c r="S2219" s="11" t="s">
        <v>9541</v>
      </c>
      <c r="T2219" s="13"/>
      <c r="U2219" s="18" t="str">
        <f>HYPERLINK("https://pbs.twimg.com/profile_images/1066330439944757249/_lTovno5.jpg","View")</f>
        <v>View</v>
      </c>
      <c r="V2219" s="13"/>
      <c r="W2219" s="13"/>
      <c r="X2219" s="13"/>
      <c r="Y2219" s="13"/>
      <c r="Z2219" s="13"/>
    </row>
    <row r="2220">
      <c r="A2220" s="8">
        <v>43848.12708333333</v>
      </c>
      <c r="B2220" s="9" t="str">
        <f>HYPERLINK("https://twitter.com/kate_grosvenor","@kate_grosvenor")</f>
        <v>@kate_grosvenor</v>
      </c>
      <c r="C2220" s="10" t="s">
        <v>9188</v>
      </c>
      <c r="D2220" s="10" t="s">
        <v>9542</v>
      </c>
      <c r="E2220" s="9" t="str">
        <f>HYPERLINK("https://twitter.com/kate_grosvenor/status/1218443660825710597","1218443660825710597")</f>
        <v>1218443660825710597</v>
      </c>
      <c r="F2220" s="13"/>
      <c r="G2220" s="13"/>
      <c r="H2220" s="13"/>
      <c r="I2220" s="14">
        <v>0.0</v>
      </c>
      <c r="J2220" s="14">
        <v>1.0</v>
      </c>
      <c r="K2220" s="9" t="str">
        <f>HYPERLINK("http://twitter.com/download/iphone","Twitter for iPhone")</f>
        <v>Twitter for iPhone</v>
      </c>
      <c r="L2220" s="15">
        <v>202.0</v>
      </c>
      <c r="M2220" s="15">
        <v>534.0</v>
      </c>
      <c r="N2220" s="15">
        <v>4.0</v>
      </c>
      <c r="O2220" s="16"/>
      <c r="P2220" s="17">
        <v>43248.34829861111</v>
      </c>
      <c r="Q2220" s="10" t="s">
        <v>1324</v>
      </c>
      <c r="R2220" s="10" t="s">
        <v>9190</v>
      </c>
      <c r="S2220" s="11" t="s">
        <v>9191</v>
      </c>
      <c r="T2220" s="13"/>
      <c r="U2220" s="18" t="str">
        <f>HYPERLINK("https://pbs.twimg.com/profile_images/1214876684752695296/caFuj_Y6.jpg","View")</f>
        <v>View</v>
      </c>
      <c r="V2220" s="13"/>
      <c r="W2220" s="13"/>
      <c r="X2220" s="13"/>
      <c r="Y2220" s="13"/>
      <c r="Z2220" s="13"/>
    </row>
    <row r="2221">
      <c r="A2221" s="8">
        <v>43848.125914351855</v>
      </c>
      <c r="B2221" s="9" t="str">
        <f>HYPERLINK("https://twitter.com/DrTinarae","@DrTinarae")</f>
        <v>@DrTinarae</v>
      </c>
      <c r="C2221" s="10" t="s">
        <v>5644</v>
      </c>
      <c r="D2221" s="10" t="s">
        <v>9543</v>
      </c>
      <c r="E2221" s="9" t="str">
        <f>HYPERLINK("https://twitter.com/DrTinarae/status/1218443234483097600","1218443234483097600")</f>
        <v>1218443234483097600</v>
      </c>
      <c r="F2221" s="13"/>
      <c r="G2221" s="11" t="s">
        <v>9544</v>
      </c>
      <c r="H2221" s="13"/>
      <c r="I2221" s="14">
        <v>0.0</v>
      </c>
      <c r="J2221" s="14">
        <v>19.0</v>
      </c>
      <c r="K2221" s="9" t="str">
        <f>HYPERLINK("http://twitter.com/download/android","Twitter for Android")</f>
        <v>Twitter for Android</v>
      </c>
      <c r="L2221" s="15">
        <v>1204.0</v>
      </c>
      <c r="M2221" s="15">
        <v>982.0</v>
      </c>
      <c r="N2221" s="15">
        <v>3.0</v>
      </c>
      <c r="O2221" s="16"/>
      <c r="P2221" s="17">
        <v>42677.485555555555</v>
      </c>
      <c r="Q2221" s="10" t="s">
        <v>5648</v>
      </c>
      <c r="R2221" s="10" t="s">
        <v>5649</v>
      </c>
      <c r="S2221" s="13"/>
      <c r="T2221" s="13"/>
      <c r="U2221" s="18" t="str">
        <f>HYPERLINK("https://pbs.twimg.com/profile_images/1180837876889726977/p7Tifm1P.jpg","View")</f>
        <v>View</v>
      </c>
      <c r="V2221" s="13"/>
      <c r="W2221" s="13"/>
      <c r="X2221" s="13"/>
      <c r="Y2221" s="13"/>
      <c r="Z2221" s="13"/>
    </row>
    <row r="2222">
      <c r="A2222" s="8">
        <v>43848.125821759255</v>
      </c>
      <c r="B2222" s="9" t="str">
        <f>HYPERLINK("https://twitter.com/ZenForceVets","@ZenForceVets")</f>
        <v>@ZenForceVets</v>
      </c>
      <c r="C2222" s="10" t="s">
        <v>9545</v>
      </c>
      <c r="D2222" s="10" t="s">
        <v>9546</v>
      </c>
      <c r="E2222" s="9" t="str">
        <f>HYPERLINK("https://twitter.com/ZenForceVets/status/1218443201356365824","1218443201356365824")</f>
        <v>1218443201356365824</v>
      </c>
      <c r="F2222" s="11" t="s">
        <v>9547</v>
      </c>
      <c r="G2222" s="13"/>
      <c r="H2222" s="13"/>
      <c r="I2222" s="14">
        <v>0.0</v>
      </c>
      <c r="J2222" s="14">
        <v>0.0</v>
      </c>
      <c r="K2222" s="9" t="str">
        <f>HYPERLINK("https://ifttt.com","IFTTT")</f>
        <v>IFTTT</v>
      </c>
      <c r="L2222" s="15">
        <v>459.0</v>
      </c>
      <c r="M2222" s="15">
        <v>886.0</v>
      </c>
      <c r="N2222" s="15">
        <v>5.0</v>
      </c>
      <c r="O2222" s="16"/>
      <c r="P2222" s="17">
        <v>43358.88569444444</v>
      </c>
      <c r="Q2222" s="11" t="s">
        <v>9548</v>
      </c>
      <c r="R2222" s="10" t="s">
        <v>9549</v>
      </c>
      <c r="S2222" s="11" t="s">
        <v>9550</v>
      </c>
      <c r="T2222" s="13"/>
      <c r="U2222" s="18" t="str">
        <f>HYPERLINK("https://pbs.twimg.com/profile_images/1177694650083299328/rj7WHUKG.jpg","View")</f>
        <v>View</v>
      </c>
      <c r="V2222" s="13"/>
      <c r="W2222" s="13"/>
      <c r="X2222" s="13"/>
      <c r="Y2222" s="13"/>
      <c r="Z2222" s="13"/>
    </row>
    <row r="2223">
      <c r="A2223" s="8">
        <v>43848.125706018516</v>
      </c>
      <c r="B2223" s="9" t="str">
        <f>HYPERLINK("https://twitter.com/SolentMind","@SolentMind")</f>
        <v>@SolentMind</v>
      </c>
      <c r="C2223" s="10" t="s">
        <v>9551</v>
      </c>
      <c r="D2223" s="10" t="s">
        <v>9552</v>
      </c>
      <c r="E2223" s="9" t="str">
        <f>HYPERLINK("https://twitter.com/SolentMind/status/1218443160738811904","1218443160738811904")</f>
        <v>1218443160738811904</v>
      </c>
      <c r="F2223" s="13"/>
      <c r="G2223" s="11" t="s">
        <v>9553</v>
      </c>
      <c r="H2223" s="13"/>
      <c r="I2223" s="14">
        <v>4.0</v>
      </c>
      <c r="J2223" s="14">
        <v>5.0</v>
      </c>
      <c r="K2223" s="9" t="str">
        <f>HYPERLINK("https://buffer.com","Buffer")</f>
        <v>Buffer</v>
      </c>
      <c r="L2223" s="15">
        <v>3441.0</v>
      </c>
      <c r="M2223" s="15">
        <v>323.0</v>
      </c>
      <c r="N2223" s="15">
        <v>64.0</v>
      </c>
      <c r="O2223" s="16"/>
      <c r="P2223" s="17">
        <v>41232.22188657407</v>
      </c>
      <c r="Q2223" s="10" t="s">
        <v>9554</v>
      </c>
      <c r="R2223" s="10" t="s">
        <v>9555</v>
      </c>
      <c r="S2223" s="11" t="s">
        <v>9556</v>
      </c>
      <c r="T2223" s="13"/>
      <c r="U2223" s="18" t="str">
        <f>HYPERLINK("https://pbs.twimg.com/profile_images/1130427859200290816/HYbciwPa.png","View")</f>
        <v>View</v>
      </c>
      <c r="V2223" s="13"/>
      <c r="W2223" s="13"/>
      <c r="X2223" s="13"/>
      <c r="Y2223" s="13"/>
      <c r="Z2223" s="13"/>
    </row>
    <row r="2224">
      <c r="A2224" s="8">
        <v>43848.12513888889</v>
      </c>
      <c r="B2224" s="9" t="str">
        <f>HYPERLINK("https://twitter.com/mymhsecrets","@mymhsecrets")</f>
        <v>@mymhsecrets</v>
      </c>
      <c r="C2224" s="10" t="s">
        <v>9557</v>
      </c>
      <c r="D2224" s="10" t="s">
        <v>9558</v>
      </c>
      <c r="E2224" s="9" t="str">
        <f>HYPERLINK("https://twitter.com/mymhsecrets/status/1218442953678565376","1218442953678565376")</f>
        <v>1218442953678565376</v>
      </c>
      <c r="F2224" s="11" t="s">
        <v>9559</v>
      </c>
      <c r="G2224" s="13"/>
      <c r="H2224" s="13"/>
      <c r="I2224" s="14">
        <v>0.0</v>
      </c>
      <c r="J2224" s="14">
        <v>0.0</v>
      </c>
      <c r="K2224" s="9" t="str">
        <f>HYPERLINK("https://ifttt.com","IFTTT")</f>
        <v>IFTTT</v>
      </c>
      <c r="L2224" s="15">
        <v>138.0</v>
      </c>
      <c r="M2224" s="15">
        <v>39.0</v>
      </c>
      <c r="N2224" s="15">
        <v>23.0</v>
      </c>
      <c r="O2224" s="16"/>
      <c r="P2224" s="17">
        <v>42219.75678240741</v>
      </c>
      <c r="Q2224" s="13"/>
      <c r="R2224" s="10" t="s">
        <v>9560</v>
      </c>
      <c r="S2224" s="11" t="s">
        <v>9561</v>
      </c>
      <c r="T2224" s="13"/>
      <c r="U2224" s="18" t="str">
        <f>HYPERLINK("https://pbs.twimg.com/profile_images/637312715573170177/4pwaCLHp.jpg","View")</f>
        <v>View</v>
      </c>
      <c r="V2224" s="13"/>
      <c r="W2224" s="13"/>
      <c r="X2224" s="13"/>
      <c r="Y2224" s="13"/>
      <c r="Z2224" s="13"/>
    </row>
    <row r="2225">
      <c r="A2225" s="8">
        <v>43848.124930555554</v>
      </c>
      <c r="B2225" s="9" t="str">
        <f>HYPERLINK("https://twitter.com/sircar1981","@sircar1981")</f>
        <v>@sircar1981</v>
      </c>
      <c r="C2225" s="10" t="s">
        <v>9562</v>
      </c>
      <c r="D2225" s="10" t="s">
        <v>9563</v>
      </c>
      <c r="E2225" s="9" t="str">
        <f>HYPERLINK("https://twitter.com/sircar1981/status/1218442877497270272","1218442877497270272")</f>
        <v>1218442877497270272</v>
      </c>
      <c r="F2225" s="10" t="s">
        <v>9564</v>
      </c>
      <c r="G2225" s="13"/>
      <c r="H2225" s="13"/>
      <c r="I2225" s="14">
        <v>0.0</v>
      </c>
      <c r="J2225" s="14">
        <v>0.0</v>
      </c>
      <c r="K2225" s="9" t="str">
        <f>HYPERLINK("http://twitter.com/download/android","Twitter for Android")</f>
        <v>Twitter for Android</v>
      </c>
      <c r="L2225" s="15">
        <v>103.0</v>
      </c>
      <c r="M2225" s="15">
        <v>654.0</v>
      </c>
      <c r="N2225" s="15">
        <v>0.0</v>
      </c>
      <c r="O2225" s="16"/>
      <c r="P2225" s="17">
        <v>42961.1637037037</v>
      </c>
      <c r="Q2225" s="10" t="s">
        <v>1513</v>
      </c>
      <c r="R2225" s="10" t="s">
        <v>9565</v>
      </c>
      <c r="S2225" s="11" t="s">
        <v>9566</v>
      </c>
      <c r="T2225" s="13"/>
      <c r="U2225" s="18" t="str">
        <f>HYPERLINK("https://pbs.twimg.com/profile_images/1214422655853420544/T1cl7b_Z.jpg","View")</f>
        <v>View</v>
      </c>
      <c r="V2225" s="13"/>
      <c r="W2225" s="13"/>
      <c r="X2225" s="13"/>
      <c r="Y2225" s="13"/>
      <c r="Z2225" s="13"/>
    </row>
    <row r="2226">
      <c r="A2226" s="8">
        <v>43848.12440972222</v>
      </c>
      <c r="B2226" s="9" t="str">
        <f>HYPERLINK("https://twitter.com/TheHashtagIn","@TheHashtagIn")</f>
        <v>@TheHashtagIn</v>
      </c>
      <c r="C2226" s="10" t="s">
        <v>9238</v>
      </c>
      <c r="D2226" s="10" t="s">
        <v>9567</v>
      </c>
      <c r="E2226" s="9" t="str">
        <f>HYPERLINK("https://twitter.com/TheHashtagIn/status/1218442689194184706","1218442689194184706")</f>
        <v>1218442689194184706</v>
      </c>
      <c r="F2226" s="11" t="s">
        <v>9568</v>
      </c>
      <c r="G2226" s="13"/>
      <c r="H2226" s="13"/>
      <c r="I2226" s="14">
        <v>0.0</v>
      </c>
      <c r="J2226" s="14">
        <v>0.0</v>
      </c>
      <c r="K2226" s="9" t="str">
        <f>HYPERLINK("http://instagram.com","Instagram")</f>
        <v>Instagram</v>
      </c>
      <c r="L2226" s="15">
        <v>337.0</v>
      </c>
      <c r="M2226" s="15">
        <v>67.0</v>
      </c>
      <c r="N2226" s="15">
        <v>5.0</v>
      </c>
      <c r="O2226" s="16"/>
      <c r="P2226" s="17">
        <v>40143.25813657408</v>
      </c>
      <c r="Q2226" s="10" t="s">
        <v>9241</v>
      </c>
      <c r="R2226" s="10" t="s">
        <v>9242</v>
      </c>
      <c r="S2226" s="11" t="s">
        <v>9243</v>
      </c>
      <c r="T2226" s="13"/>
      <c r="U2226" s="18" t="str">
        <f>HYPERLINK("https://pbs.twimg.com/profile_images/1211688305978294276/bhjGBhX5.jpg","View")</f>
        <v>View</v>
      </c>
      <c r="V2226" s="13"/>
      <c r="W2226" s="13"/>
      <c r="X2226" s="13"/>
      <c r="Y2226" s="13"/>
      <c r="Z2226" s="13"/>
    </row>
    <row r="2227">
      <c r="A2227" s="8">
        <v>43848.12328703704</v>
      </c>
      <c r="B2227" s="9" t="str">
        <f>HYPERLINK("https://twitter.com/Justagirl2017x","@Justagirl2017x")</f>
        <v>@Justagirl2017x</v>
      </c>
      <c r="C2227" s="10" t="s">
        <v>9569</v>
      </c>
      <c r="D2227" s="10" t="s">
        <v>9570</v>
      </c>
      <c r="E2227" s="9" t="str">
        <f>HYPERLINK("https://twitter.com/Justagirl2017x/status/1218442283940487168","1218442283940487168")</f>
        <v>1218442283940487168</v>
      </c>
      <c r="F2227" s="10" t="s">
        <v>9571</v>
      </c>
      <c r="G2227" s="13"/>
      <c r="H2227" s="13"/>
      <c r="I2227" s="14">
        <v>5.0</v>
      </c>
      <c r="J2227" s="14">
        <v>11.0</v>
      </c>
      <c r="K2227" s="9" t="str">
        <f>HYPERLINK("http://twitter.com/download/android","Twitter for Android")</f>
        <v>Twitter for Android</v>
      </c>
      <c r="L2227" s="15">
        <v>2320.0</v>
      </c>
      <c r="M2227" s="15">
        <v>3908.0</v>
      </c>
      <c r="N2227" s="15">
        <v>32.0</v>
      </c>
      <c r="O2227" s="16"/>
      <c r="P2227" s="17">
        <v>42816.53173611111</v>
      </c>
      <c r="Q2227" s="10" t="s">
        <v>9572</v>
      </c>
      <c r="R2227" s="10" t="s">
        <v>9573</v>
      </c>
      <c r="S2227" s="11" t="s">
        <v>9574</v>
      </c>
      <c r="T2227" s="13"/>
      <c r="U2227" s="18" t="str">
        <f>HYPERLINK("https://pbs.twimg.com/profile_images/1210204734285664258/pyYKem5R.jpg","View")</f>
        <v>View</v>
      </c>
      <c r="V2227" s="13"/>
      <c r="W2227" s="13"/>
      <c r="X2227" s="13"/>
      <c r="Y2227" s="13"/>
      <c r="Z2227" s="13"/>
    </row>
    <row r="2228">
      <c r="A2228" s="8">
        <v>43848.12295138889</v>
      </c>
      <c r="B2228" s="9" t="str">
        <f>HYPERLINK("https://twitter.com/nrmentalhealth","@nrmentalhealth")</f>
        <v>@nrmentalhealth</v>
      </c>
      <c r="C2228" s="10" t="s">
        <v>4839</v>
      </c>
      <c r="D2228" s="10" t="s">
        <v>9575</v>
      </c>
      <c r="E2228" s="9" t="str">
        <f>HYPERLINK("https://twitter.com/nrmentalhealth/status/1218442162741960704","1218442162741960704")</f>
        <v>1218442162741960704</v>
      </c>
      <c r="F2228" s="11" t="s">
        <v>9576</v>
      </c>
      <c r="G2228" s="13"/>
      <c r="H2228" s="13"/>
      <c r="I2228" s="14">
        <v>0.0</v>
      </c>
      <c r="J2228" s="14">
        <v>6.0</v>
      </c>
      <c r="K2228" s="9" t="str">
        <f t="shared" ref="K2228:K2229" si="280">HYPERLINK("http://twitter.com/download/iphone","Twitter for iPhone")</f>
        <v>Twitter for iPhone</v>
      </c>
      <c r="L2228" s="15">
        <v>12699.0</v>
      </c>
      <c r="M2228" s="15">
        <v>5908.0</v>
      </c>
      <c r="N2228" s="15">
        <v>107.0</v>
      </c>
      <c r="O2228" s="16"/>
      <c r="P2228" s="17">
        <v>42861.156875</v>
      </c>
      <c r="Q2228" s="10" t="s">
        <v>4842</v>
      </c>
      <c r="R2228" s="10" t="s">
        <v>4843</v>
      </c>
      <c r="S2228" s="13"/>
      <c r="T2228" s="13"/>
      <c r="U2228" s="18" t="str">
        <f>HYPERLINK("https://pbs.twimg.com/profile_images/860778979019694080/J1zhUtG3.jpg","View")</f>
        <v>View</v>
      </c>
      <c r="V2228" s="13"/>
      <c r="W2228" s="13"/>
      <c r="X2228" s="13"/>
      <c r="Y2228" s="13"/>
      <c r="Z2228" s="13"/>
    </row>
    <row r="2229">
      <c r="A2229" s="8">
        <v>43848.12280092592</v>
      </c>
      <c r="B2229" s="9" t="str">
        <f>HYPERLINK("https://twitter.com/didimissit","@didimissit")</f>
        <v>@didimissit</v>
      </c>
      <c r="C2229" s="10" t="s">
        <v>9577</v>
      </c>
      <c r="D2229" s="10" t="s">
        <v>9578</v>
      </c>
      <c r="E2229" s="9" t="str">
        <f>HYPERLINK("https://twitter.com/didimissit/status/1218442105456091136","1218442105456091136")</f>
        <v>1218442105456091136</v>
      </c>
      <c r="F2229" s="11" t="s">
        <v>9579</v>
      </c>
      <c r="G2229" s="13"/>
      <c r="H2229" s="13"/>
      <c r="I2229" s="14">
        <v>0.0</v>
      </c>
      <c r="J2229" s="14">
        <v>2.0</v>
      </c>
      <c r="K2229" s="9" t="str">
        <f t="shared" si="280"/>
        <v>Twitter for iPhone</v>
      </c>
      <c r="L2229" s="15">
        <v>922.0</v>
      </c>
      <c r="M2229" s="15">
        <v>1008.0</v>
      </c>
      <c r="N2229" s="15">
        <v>14.0</v>
      </c>
      <c r="O2229" s="16"/>
      <c r="P2229" s="17">
        <v>40724.60879629629</v>
      </c>
      <c r="Q2229" s="10" t="s">
        <v>9580</v>
      </c>
      <c r="R2229" s="10" t="s">
        <v>9581</v>
      </c>
      <c r="S2229" s="13"/>
      <c r="T2229" s="13"/>
      <c r="U2229" s="18" t="str">
        <f>HYPERLINK("https://pbs.twimg.com/profile_images/1136372720130617345/R_ORcGRL.jpg","View")</f>
        <v>View</v>
      </c>
      <c r="V2229" s="13"/>
      <c r="W2229" s="13"/>
      <c r="X2229" s="13"/>
      <c r="Y2229" s="13"/>
      <c r="Z2229" s="13"/>
    </row>
    <row r="2230">
      <c r="A2230" s="8">
        <v>43848.12158564814</v>
      </c>
      <c r="B2230" s="9" t="str">
        <f>HYPERLINK("https://twitter.com/RachelintheOC","@RachelintheOC")</f>
        <v>@RachelintheOC</v>
      </c>
      <c r="C2230" s="10" t="s">
        <v>518</v>
      </c>
      <c r="D2230" s="10" t="s">
        <v>9582</v>
      </c>
      <c r="E2230" s="9" t="str">
        <f>HYPERLINK("https://twitter.com/RachelintheOC/status/1218441665838551040","1218441665838551040")</f>
        <v>1218441665838551040</v>
      </c>
      <c r="F2230" s="13"/>
      <c r="G2230" s="11" t="s">
        <v>9583</v>
      </c>
      <c r="H2230" s="13"/>
      <c r="I2230" s="14">
        <v>5.0</v>
      </c>
      <c r="J2230" s="14">
        <v>18.0</v>
      </c>
      <c r="K2230" s="9" t="str">
        <f t="shared" ref="K2230:K2231" si="281">HYPERLINK("https://www.hootsuite.com","Hootsuite Inc.")</f>
        <v>Hootsuite Inc.</v>
      </c>
      <c r="L2230" s="15">
        <v>112774.0</v>
      </c>
      <c r="M2230" s="15">
        <v>24616.0</v>
      </c>
      <c r="N2230" s="15">
        <v>3434.0</v>
      </c>
      <c r="O2230" s="21" t="s">
        <v>522</v>
      </c>
      <c r="P2230" s="17">
        <v>39881.65377314815</v>
      </c>
      <c r="Q2230" s="10" t="s">
        <v>523</v>
      </c>
      <c r="R2230" s="10" t="s">
        <v>524</v>
      </c>
      <c r="S2230" s="11" t="s">
        <v>525</v>
      </c>
      <c r="T2230" s="13"/>
      <c r="U2230" s="18" t="str">
        <f>HYPERLINK("https://pbs.twimg.com/profile_images/1214299608098070529/wwDAyjH7.jpg","View")</f>
        <v>View</v>
      </c>
      <c r="V2230" s="13"/>
      <c r="W2230" s="13"/>
      <c r="X2230" s="13"/>
      <c r="Y2230" s="13"/>
      <c r="Z2230" s="13"/>
    </row>
    <row r="2231">
      <c r="A2231" s="8">
        <v>43848.12157407407</v>
      </c>
      <c r="B2231" s="9" t="str">
        <f>HYPERLINK("https://twitter.com/ShopFirstAid","@ShopFirstAid")</f>
        <v>@ShopFirstAid</v>
      </c>
      <c r="C2231" s="10" t="s">
        <v>9584</v>
      </c>
      <c r="D2231" s="10" t="s">
        <v>9585</v>
      </c>
      <c r="E2231" s="9" t="str">
        <f>HYPERLINK("https://twitter.com/ShopFirstAid/status/1218441661623259136","1218441661623259136")</f>
        <v>1218441661623259136</v>
      </c>
      <c r="F2231" s="11" t="s">
        <v>9586</v>
      </c>
      <c r="G2231" s="11" t="s">
        <v>9587</v>
      </c>
      <c r="H2231" s="13"/>
      <c r="I2231" s="14">
        <v>2.0</v>
      </c>
      <c r="J2231" s="14">
        <v>5.0</v>
      </c>
      <c r="K2231" s="9" t="str">
        <f t="shared" si="281"/>
        <v>Hootsuite Inc.</v>
      </c>
      <c r="L2231" s="15">
        <v>1908.0</v>
      </c>
      <c r="M2231" s="15">
        <v>3240.0</v>
      </c>
      <c r="N2231" s="15">
        <v>89.0</v>
      </c>
      <c r="O2231" s="16"/>
      <c r="P2231" s="17">
        <v>41674.301157407404</v>
      </c>
      <c r="Q2231" s="10" t="s">
        <v>9588</v>
      </c>
      <c r="R2231" s="10" t="s">
        <v>9589</v>
      </c>
      <c r="S2231" s="11" t="s">
        <v>9590</v>
      </c>
      <c r="T2231" s="13"/>
      <c r="U2231" s="18" t="str">
        <f>HYPERLINK("https://pbs.twimg.com/profile_images/430678308234067968/49ZEjjZK.jpeg","View")</f>
        <v>View</v>
      </c>
      <c r="V2231" s="13"/>
      <c r="W2231" s="13"/>
      <c r="X2231" s="13"/>
      <c r="Y2231" s="13"/>
      <c r="Z2231" s="13"/>
    </row>
    <row r="2232">
      <c r="A2232" s="8">
        <v>43848.12148148148</v>
      </c>
      <c r="B2232" s="9" t="str">
        <f>HYPERLINK("https://twitter.com/thesecretpsych","@thesecretpsych")</f>
        <v>@thesecretpsych</v>
      </c>
      <c r="C2232" s="10" t="s">
        <v>9591</v>
      </c>
      <c r="D2232" s="10" t="s">
        <v>9592</v>
      </c>
      <c r="E2232" s="9" t="str">
        <f>HYPERLINK("https://twitter.com/thesecretpsych/status/1218441628672839680","1218441628672839680")</f>
        <v>1218441628672839680</v>
      </c>
      <c r="F2232" s="13"/>
      <c r="G2232" s="13"/>
      <c r="H2232" s="13"/>
      <c r="I2232" s="14">
        <v>0.0</v>
      </c>
      <c r="J2232" s="14">
        <v>3.0</v>
      </c>
      <c r="K2232" s="9" t="str">
        <f t="shared" ref="K2232:K2233" si="282">HYPERLINK("http://twitter.com/download/iphone","Twitter for iPhone")</f>
        <v>Twitter for iPhone</v>
      </c>
      <c r="L2232" s="15">
        <v>2789.0</v>
      </c>
      <c r="M2232" s="15">
        <v>3397.0</v>
      </c>
      <c r="N2232" s="15">
        <v>19.0</v>
      </c>
      <c r="O2232" s="16"/>
      <c r="P2232" s="17">
        <v>42675.37391203704</v>
      </c>
      <c r="Q2232" s="10" t="s">
        <v>9593</v>
      </c>
      <c r="R2232" s="10" t="s">
        <v>9594</v>
      </c>
      <c r="S2232" s="11" t="s">
        <v>9595</v>
      </c>
      <c r="T2232" s="13"/>
      <c r="U2232" s="18" t="str">
        <f>HYPERLINK("https://pbs.twimg.com/profile_images/1045460477004853248/9SzQ2712.jpg","View")</f>
        <v>View</v>
      </c>
      <c r="V2232" s="13"/>
      <c r="W2232" s="13"/>
      <c r="X2232" s="13"/>
      <c r="Y2232" s="13"/>
      <c r="Z2232" s="13"/>
    </row>
    <row r="2233">
      <c r="A2233" s="8">
        <v>43848.12128472222</v>
      </c>
      <c r="B2233" s="9" t="str">
        <f>HYPERLINK("https://twitter.com/hoops46","@hoops46")</f>
        <v>@hoops46</v>
      </c>
      <c r="C2233" s="10" t="s">
        <v>6519</v>
      </c>
      <c r="D2233" s="10" t="s">
        <v>9596</v>
      </c>
      <c r="E2233" s="9" t="str">
        <f>HYPERLINK("https://twitter.com/hoops46/status/1218441559399682048","1218441559399682048")</f>
        <v>1218441559399682048</v>
      </c>
      <c r="F2233" s="13"/>
      <c r="G2233" s="11" t="s">
        <v>9597</v>
      </c>
      <c r="H2233" s="13"/>
      <c r="I2233" s="14">
        <v>5.0</v>
      </c>
      <c r="J2233" s="14">
        <v>9.0</v>
      </c>
      <c r="K2233" s="9" t="str">
        <f t="shared" si="282"/>
        <v>Twitter for iPhone</v>
      </c>
      <c r="L2233" s="15">
        <v>1405.0</v>
      </c>
      <c r="M2233" s="15">
        <v>1265.0</v>
      </c>
      <c r="N2233" s="15">
        <v>19.0</v>
      </c>
      <c r="O2233" s="16"/>
      <c r="P2233" s="17">
        <v>40836.671631944446</v>
      </c>
      <c r="Q2233" s="10" t="s">
        <v>161</v>
      </c>
      <c r="R2233" s="10" t="s">
        <v>6523</v>
      </c>
      <c r="S2233" s="13"/>
      <c r="T2233" s="13"/>
      <c r="U2233" s="18" t="str">
        <f>HYPERLINK("https://pbs.twimg.com/profile_images/1213594163276582915/SvUecVsS.jpg","View")</f>
        <v>View</v>
      </c>
      <c r="V2233" s="13"/>
      <c r="W2233" s="13"/>
      <c r="X2233" s="13"/>
      <c r="Y2233" s="13"/>
      <c r="Z2233" s="13"/>
    </row>
    <row r="2234">
      <c r="A2234" s="8">
        <v>43848.12111111111</v>
      </c>
      <c r="B2234" s="9" t="str">
        <f>HYPERLINK("https://twitter.com/ndeanka1980","@ndeanka1980")</f>
        <v>@ndeanka1980</v>
      </c>
      <c r="C2234" s="10" t="s">
        <v>9598</v>
      </c>
      <c r="D2234" s="10" t="s">
        <v>238</v>
      </c>
      <c r="E2234" s="9" t="str">
        <f>HYPERLINK("https://twitter.com/ndeanka1980/status/1218441496099201024","1218441496099201024")</f>
        <v>1218441496099201024</v>
      </c>
      <c r="F2234" s="13"/>
      <c r="G2234" s="13"/>
      <c r="H2234" s="13"/>
      <c r="I2234" s="14">
        <v>0.0</v>
      </c>
      <c r="J2234" s="14">
        <v>0.0</v>
      </c>
      <c r="K2234" s="9" t="str">
        <f t="shared" ref="K2234:K2235" si="283">HYPERLINK("http://twitter.com/download/android","Twitter for Android")</f>
        <v>Twitter for Android</v>
      </c>
      <c r="L2234" s="15">
        <v>2.0</v>
      </c>
      <c r="M2234" s="15">
        <v>149.0</v>
      </c>
      <c r="N2234" s="15">
        <v>0.0</v>
      </c>
      <c r="O2234" s="16"/>
      <c r="P2234" s="17">
        <v>42421.494363425925</v>
      </c>
      <c r="Q2234" s="10" t="s">
        <v>5190</v>
      </c>
      <c r="R2234" s="13"/>
      <c r="S2234" s="13"/>
      <c r="T2234" s="13"/>
      <c r="U2234" s="18" t="str">
        <f>HYPERLINK("https://pbs.twimg.com/profile_images/956870328432644097/pyCZLgoj.jpg","View")</f>
        <v>View</v>
      </c>
      <c r="V2234" s="13"/>
      <c r="W2234" s="13"/>
      <c r="X2234" s="13"/>
      <c r="Y2234" s="13"/>
      <c r="Z2234" s="13"/>
    </row>
    <row r="2235">
      <c r="A2235" s="8">
        <v>43848.11954861111</v>
      </c>
      <c r="B2235" s="9" t="str">
        <f>HYPERLINK("https://twitter.com/wherameye","@wherameye")</f>
        <v>@wherameye</v>
      </c>
      <c r="C2235" s="10" t="s">
        <v>9599</v>
      </c>
      <c r="D2235" s="10" t="s">
        <v>9600</v>
      </c>
      <c r="E2235" s="9" t="str">
        <f>HYPERLINK("https://twitter.com/wherameye/status/1218440927393480704","1218440927393480704")</f>
        <v>1218440927393480704</v>
      </c>
      <c r="F2235" s="13"/>
      <c r="G2235" s="13"/>
      <c r="H2235" s="13"/>
      <c r="I2235" s="14">
        <v>0.0</v>
      </c>
      <c r="J2235" s="14">
        <v>1.0</v>
      </c>
      <c r="K2235" s="9" t="str">
        <f t="shared" si="283"/>
        <v>Twitter for Android</v>
      </c>
      <c r="L2235" s="15">
        <v>61.0</v>
      </c>
      <c r="M2235" s="15">
        <v>50.0</v>
      </c>
      <c r="N2235" s="15">
        <v>1.0</v>
      </c>
      <c r="O2235" s="16"/>
      <c r="P2235" s="17">
        <v>41337.54708333333</v>
      </c>
      <c r="Q2235" s="10" t="s">
        <v>9601</v>
      </c>
      <c r="R2235" s="10" t="s">
        <v>9602</v>
      </c>
      <c r="S2235" s="13"/>
      <c r="T2235" s="13"/>
      <c r="U2235" s="18" t="str">
        <f>HYPERLINK("https://pbs.twimg.com/profile_images/480963281574977536/MjNmM44I.jpeg","View")</f>
        <v>View</v>
      </c>
      <c r="V2235" s="13"/>
      <c r="W2235" s="13"/>
      <c r="X2235" s="13"/>
      <c r="Y2235" s="13"/>
      <c r="Z2235" s="13"/>
    </row>
    <row r="2236">
      <c r="A2236" s="8">
        <v>43848.1189699074</v>
      </c>
      <c r="B2236" s="9" t="str">
        <f>HYPERLINK("https://twitter.com/MCRNBM","@MCRNBM")</f>
        <v>@MCRNBM</v>
      </c>
      <c r="C2236" s="10" t="s">
        <v>9603</v>
      </c>
      <c r="D2236" s="10" t="s">
        <v>9604</v>
      </c>
      <c r="E2236" s="9" t="str">
        <f>HYPERLINK("https://twitter.com/MCRNBM/status/1218440716675735552","1218440716675735552")</f>
        <v>1218440716675735552</v>
      </c>
      <c r="F2236" s="10" t="s">
        <v>9605</v>
      </c>
      <c r="G2236" s="13"/>
      <c r="H2236" s="13"/>
      <c r="I2236" s="14">
        <v>2.0</v>
      </c>
      <c r="J2236" s="14">
        <v>6.0</v>
      </c>
      <c r="K2236" s="9" t="str">
        <f>HYPERLINK("http://twitter.com/download/iphone","Twitter for iPhone")</f>
        <v>Twitter for iPhone</v>
      </c>
      <c r="L2236" s="15">
        <v>776.0</v>
      </c>
      <c r="M2236" s="15">
        <v>431.0</v>
      </c>
      <c r="N2236" s="15">
        <v>167.0</v>
      </c>
      <c r="O2236" s="16"/>
      <c r="P2236" s="17">
        <v>40981.89225694444</v>
      </c>
      <c r="Q2236" s="10" t="s">
        <v>9606</v>
      </c>
      <c r="R2236" s="10" t="s">
        <v>9607</v>
      </c>
      <c r="S2236" s="11" t="s">
        <v>9608</v>
      </c>
      <c r="T2236" s="13"/>
      <c r="U2236" s="18" t="str">
        <f>HYPERLINK("https://pbs.twimg.com/profile_images/826670818646073344/dQDuQAy9.jpg","View")</f>
        <v>View</v>
      </c>
      <c r="V2236" s="13"/>
      <c r="W2236" s="13"/>
      <c r="X2236" s="13"/>
      <c r="Y2236" s="13"/>
      <c r="Z2236" s="13"/>
    </row>
    <row r="2237">
      <c r="A2237" s="8">
        <v>43848.115902777776</v>
      </c>
      <c r="B2237" s="9" t="str">
        <f>HYPERLINK("https://twitter.com/kanikaYkashyap_","@kanikaYkashyap_")</f>
        <v>@kanikaYkashyap_</v>
      </c>
      <c r="C2237" s="10" t="s">
        <v>9609</v>
      </c>
      <c r="D2237" s="10" t="s">
        <v>9610</v>
      </c>
      <c r="E2237" s="9" t="str">
        <f>HYPERLINK("https://twitter.com/kanikaYkashyap_/status/1218439605155852288","1218439605155852288")</f>
        <v>1218439605155852288</v>
      </c>
      <c r="F2237" s="13"/>
      <c r="G2237" s="11" t="s">
        <v>9611</v>
      </c>
      <c r="H2237" s="13"/>
      <c r="I2237" s="14">
        <v>0.0</v>
      </c>
      <c r="J2237" s="14">
        <v>1.0</v>
      </c>
      <c r="K2237" s="9" t="str">
        <f>HYPERLINK("https://mobile.twitter.com","Twitter Web App")</f>
        <v>Twitter Web App</v>
      </c>
      <c r="L2237" s="15">
        <v>20.0</v>
      </c>
      <c r="M2237" s="15">
        <v>32.0</v>
      </c>
      <c r="N2237" s="15">
        <v>0.0</v>
      </c>
      <c r="O2237" s="16"/>
      <c r="P2237" s="17">
        <v>42830.06210648148</v>
      </c>
      <c r="Q2237" s="10" t="s">
        <v>9612</v>
      </c>
      <c r="R2237" s="10" t="s">
        <v>9613</v>
      </c>
      <c r="S2237" s="13"/>
      <c r="T2237" s="13"/>
      <c r="U2237" s="18" t="str">
        <f>HYPERLINK("https://pbs.twimg.com/profile_images/1172538347740258304/wuxIwSSQ.jpg","View")</f>
        <v>View</v>
      </c>
      <c r="V2237" s="13"/>
      <c r="W2237" s="13"/>
      <c r="X2237" s="13"/>
      <c r="Y2237" s="13"/>
      <c r="Z2237" s="13"/>
    </row>
    <row r="2238">
      <c r="A2238" s="8">
        <v>43848.115902777776</v>
      </c>
      <c r="B2238" s="9" t="str">
        <f>HYPERLINK("https://twitter.com/chrisabojei","@chrisabojei")</f>
        <v>@chrisabojei</v>
      </c>
      <c r="C2238" s="10" t="s">
        <v>9614</v>
      </c>
      <c r="D2238" s="10" t="s">
        <v>9615</v>
      </c>
      <c r="E2238" s="9" t="str">
        <f>HYPERLINK("https://twitter.com/chrisabojei/status/1218439605139267585","1218439605139267585")</f>
        <v>1218439605139267585</v>
      </c>
      <c r="F2238" s="13"/>
      <c r="G2238" s="11" t="s">
        <v>9616</v>
      </c>
      <c r="H2238" s="13"/>
      <c r="I2238" s="14">
        <v>1.0</v>
      </c>
      <c r="J2238" s="14">
        <v>4.0</v>
      </c>
      <c r="K2238" s="9" t="str">
        <f>HYPERLINK("http://twitter.com/download/android","Twitter for Android")</f>
        <v>Twitter for Android</v>
      </c>
      <c r="L2238" s="15">
        <v>85.0</v>
      </c>
      <c r="M2238" s="15">
        <v>165.0</v>
      </c>
      <c r="N2238" s="15">
        <v>0.0</v>
      </c>
      <c r="O2238" s="16"/>
      <c r="P2238" s="17">
        <v>41607.44189814815</v>
      </c>
      <c r="Q2238" s="10" t="s">
        <v>2557</v>
      </c>
      <c r="R2238" s="10" t="s">
        <v>9617</v>
      </c>
      <c r="S2238" s="11" t="s">
        <v>9618</v>
      </c>
      <c r="T2238" s="13"/>
      <c r="U2238" s="18" t="str">
        <f>HYPERLINK("https://pbs.twimg.com/profile_images/1189945568577101825/Rg00pr63.jpg","View")</f>
        <v>View</v>
      </c>
      <c r="V2238" s="13"/>
      <c r="W2238" s="13"/>
      <c r="X2238" s="13"/>
      <c r="Y2238" s="13"/>
      <c r="Z2238" s="13"/>
    </row>
    <row r="2239">
      <c r="A2239" s="8">
        <v>43848.1156712963</v>
      </c>
      <c r="B2239" s="9" t="str">
        <f>HYPERLINK("https://twitter.com/lumaatic","@lumaatic")</f>
        <v>@lumaatic</v>
      </c>
      <c r="C2239" s="10" t="s">
        <v>9619</v>
      </c>
      <c r="D2239" s="10" t="s">
        <v>9620</v>
      </c>
      <c r="E2239" s="9" t="str">
        <f>HYPERLINK("https://twitter.com/lumaatic/status/1218439521509019648","1218439521509019648")</f>
        <v>1218439521509019648</v>
      </c>
      <c r="F2239" s="13"/>
      <c r="G2239" s="13"/>
      <c r="H2239" s="13"/>
      <c r="I2239" s="14">
        <v>3.0</v>
      </c>
      <c r="J2239" s="14">
        <v>11.0</v>
      </c>
      <c r="K2239" s="9" t="str">
        <f>HYPERLINK("https://mobile.twitter.com","Twitter Web App")</f>
        <v>Twitter Web App</v>
      </c>
      <c r="L2239" s="15">
        <v>1908.0</v>
      </c>
      <c r="M2239" s="15">
        <v>1154.0</v>
      </c>
      <c r="N2239" s="15">
        <v>7.0</v>
      </c>
      <c r="O2239" s="16"/>
      <c r="P2239" s="17">
        <v>41808.026030092595</v>
      </c>
      <c r="Q2239" s="10" t="s">
        <v>9621</v>
      </c>
      <c r="R2239" s="10" t="s">
        <v>9622</v>
      </c>
      <c r="S2239" s="11" t="s">
        <v>9623</v>
      </c>
      <c r="T2239" s="13"/>
      <c r="U2239" s="18" t="str">
        <f>HYPERLINK("https://pbs.twimg.com/profile_images/1207634927975616513/7o4AlgnI.jpg","View")</f>
        <v>View</v>
      </c>
      <c r="V2239" s="13"/>
      <c r="W2239" s="13"/>
      <c r="X2239" s="13"/>
      <c r="Y2239" s="13"/>
      <c r="Z2239" s="13"/>
    </row>
    <row r="2240">
      <c r="A2240" s="8">
        <v>43848.11554398148</v>
      </c>
      <c r="B2240" s="9" t="str">
        <f>HYPERLINK("https://twitter.com/RisinBlueSun","@RisinBlueSun")</f>
        <v>@RisinBlueSun</v>
      </c>
      <c r="C2240" s="10" t="s">
        <v>9624</v>
      </c>
      <c r="D2240" s="10" t="s">
        <v>9625</v>
      </c>
      <c r="E2240" s="9" t="str">
        <f>HYPERLINK("https://twitter.com/RisinBlueSun/status/1218439477598834688","1218439477598834688")</f>
        <v>1218439477598834688</v>
      </c>
      <c r="F2240" s="13"/>
      <c r="G2240" s="13"/>
      <c r="H2240" s="13"/>
      <c r="I2240" s="14">
        <v>1.0</v>
      </c>
      <c r="J2240" s="14">
        <v>3.0</v>
      </c>
      <c r="K2240" s="9" t="str">
        <f>HYPERLINK("http://twitter.com/download/iphone","Twitter for iPhone")</f>
        <v>Twitter for iPhone</v>
      </c>
      <c r="L2240" s="15">
        <v>102.0</v>
      </c>
      <c r="M2240" s="15">
        <v>384.0</v>
      </c>
      <c r="N2240" s="15">
        <v>2.0</v>
      </c>
      <c r="O2240" s="16"/>
      <c r="P2240" s="17">
        <v>43818.12222222222</v>
      </c>
      <c r="Q2240" s="10" t="s">
        <v>9626</v>
      </c>
      <c r="R2240" s="10" t="s">
        <v>9627</v>
      </c>
      <c r="S2240" s="13"/>
      <c r="T2240" s="13"/>
      <c r="U2240" s="18" t="str">
        <f>HYPERLINK("https://pbs.twimg.com/profile_images/1207570462538158081/5-tQ4KWv.jpg","View")</f>
        <v>View</v>
      </c>
      <c r="V2240" s="13"/>
      <c r="W2240" s="13"/>
      <c r="X2240" s="13"/>
      <c r="Y2240" s="13"/>
      <c r="Z2240" s="13"/>
    </row>
    <row r="2241">
      <c r="A2241" s="8">
        <v>43848.115439814814</v>
      </c>
      <c r="B2241" s="9" t="str">
        <f>HYPERLINK("https://twitter.com/TtcYork","@TtcYork")</f>
        <v>@TtcYork</v>
      </c>
      <c r="C2241" s="10" t="s">
        <v>9628</v>
      </c>
      <c r="D2241" s="10" t="s">
        <v>9629</v>
      </c>
      <c r="E2241" s="9" t="str">
        <f>HYPERLINK("https://twitter.com/TtcYork/status/1218439440517017601","1218439440517017601")</f>
        <v>1218439440517017601</v>
      </c>
      <c r="F2241" s="11" t="s">
        <v>9630</v>
      </c>
      <c r="G2241" s="11" t="s">
        <v>9631</v>
      </c>
      <c r="H2241" s="13"/>
      <c r="I2241" s="14">
        <v>0.0</v>
      </c>
      <c r="J2241" s="14">
        <v>1.0</v>
      </c>
      <c r="K2241" s="9" t="str">
        <f>HYPERLINK("https://mobile.twitter.com","Twitter Web App")</f>
        <v>Twitter Web App</v>
      </c>
      <c r="L2241" s="15">
        <v>364.0</v>
      </c>
      <c r="M2241" s="15">
        <v>425.0</v>
      </c>
      <c r="N2241" s="15">
        <v>0.0</v>
      </c>
      <c r="O2241" s="16"/>
      <c r="P2241" s="17">
        <v>43605.398634259254</v>
      </c>
      <c r="Q2241" s="10" t="s">
        <v>8705</v>
      </c>
      <c r="R2241" s="10" t="s">
        <v>9632</v>
      </c>
      <c r="S2241" s="11" t="s">
        <v>9633</v>
      </c>
      <c r="T2241" s="13"/>
      <c r="U2241" s="18" t="str">
        <f>HYPERLINK("https://pbs.twimg.com/profile_images/1130466932317216769/XCU58EN-.jpg","View")</f>
        <v>View</v>
      </c>
      <c r="V2241" s="13"/>
      <c r="W2241" s="13"/>
      <c r="X2241" s="13"/>
      <c r="Y2241" s="13"/>
      <c r="Z2241" s="13"/>
    </row>
    <row r="2242">
      <c r="A2242" s="8">
        <v>43848.11482638889</v>
      </c>
      <c r="B2242" s="9" t="str">
        <f>HYPERLINK("https://twitter.com/grouptherapy33","@grouptherapy33")</f>
        <v>@grouptherapy33</v>
      </c>
      <c r="C2242" s="10" t="s">
        <v>831</v>
      </c>
      <c r="D2242" s="10" t="s">
        <v>9634</v>
      </c>
      <c r="E2242" s="9" t="str">
        <f>HYPERLINK("https://twitter.com/grouptherapy33/status/1218439216272756737","1218439216272756737")</f>
        <v>1218439216272756737</v>
      </c>
      <c r="F2242" s="13"/>
      <c r="G2242" s="13"/>
      <c r="H2242" s="13"/>
      <c r="I2242" s="14">
        <v>0.0</v>
      </c>
      <c r="J2242" s="14">
        <v>0.0</v>
      </c>
      <c r="K2242" s="9" t="str">
        <f>HYPERLINK("http://www.DynamicTweets.com","Dynamic Tweets")</f>
        <v>Dynamic Tweets</v>
      </c>
      <c r="L2242" s="15">
        <v>4053.0</v>
      </c>
      <c r="M2242" s="15">
        <v>3517.0</v>
      </c>
      <c r="N2242" s="15">
        <v>74.0</v>
      </c>
      <c r="O2242" s="16"/>
      <c r="P2242" s="17">
        <v>42375.45542824074</v>
      </c>
      <c r="Q2242" s="13"/>
      <c r="R2242" s="13"/>
      <c r="S2242" s="11" t="s">
        <v>833</v>
      </c>
      <c r="T2242" s="13"/>
      <c r="U2242" s="18" t="str">
        <f>HYPERLINK("https://pbs.twimg.com/profile_images/773354507157671941/wE10yy8j.jpg","View")</f>
        <v>View</v>
      </c>
      <c r="V2242" s="13"/>
      <c r="W2242" s="13"/>
      <c r="X2242" s="13"/>
      <c r="Y2242" s="13"/>
      <c r="Z2242" s="13"/>
    </row>
    <row r="2243">
      <c r="A2243" s="8">
        <v>43848.11458333333</v>
      </c>
      <c r="B2243" s="9" t="str">
        <f>HYPERLINK("https://twitter.com/AChVoice","@AChVoice")</f>
        <v>@AChVoice</v>
      </c>
      <c r="C2243" s="10" t="s">
        <v>2684</v>
      </c>
      <c r="D2243" s="10" t="s">
        <v>9635</v>
      </c>
      <c r="E2243" s="9" t="str">
        <f>HYPERLINK("https://twitter.com/AChVoice/status/1218439130989940736","1218439130989940736")</f>
        <v>1218439130989940736</v>
      </c>
      <c r="F2243" s="11" t="s">
        <v>9636</v>
      </c>
      <c r="G2243" s="13"/>
      <c r="H2243" s="13"/>
      <c r="I2243" s="14">
        <v>0.0</v>
      </c>
      <c r="J2243" s="14">
        <v>3.0</v>
      </c>
      <c r="K2243" s="9" t="str">
        <f>HYPERLINK("https://buffer.com","Buffer")</f>
        <v>Buffer</v>
      </c>
      <c r="L2243" s="15">
        <v>14620.0</v>
      </c>
      <c r="M2243" s="15">
        <v>12834.0</v>
      </c>
      <c r="N2243" s="15">
        <v>319.0</v>
      </c>
      <c r="O2243" s="16"/>
      <c r="P2243" s="17">
        <v>42317.35851851852</v>
      </c>
      <c r="Q2243" s="10" t="s">
        <v>542</v>
      </c>
      <c r="R2243" s="10" t="s">
        <v>2687</v>
      </c>
      <c r="S2243" s="11" t="s">
        <v>2688</v>
      </c>
      <c r="T2243" s="13"/>
      <c r="U2243" s="18" t="str">
        <f>HYPERLINK("https://pbs.twimg.com/profile_images/674894894188462080/C1s9i343.jpg","View")</f>
        <v>View</v>
      </c>
      <c r="V2243" s="13"/>
      <c r="W2243" s="13"/>
      <c r="X2243" s="13"/>
      <c r="Y2243" s="13"/>
      <c r="Z2243" s="13"/>
    </row>
    <row r="2244">
      <c r="A2244" s="8">
        <v>43848.11399305555</v>
      </c>
      <c r="B2244" s="9" t="str">
        <f>HYPERLINK("https://twitter.com/DepressionMuse","@DepressionMuse")</f>
        <v>@DepressionMuse</v>
      </c>
      <c r="C2244" s="10" t="s">
        <v>9637</v>
      </c>
      <c r="D2244" s="10" t="s">
        <v>9638</v>
      </c>
      <c r="E2244" s="9" t="str">
        <f>HYPERLINK("https://twitter.com/DepressionMuse/status/1218438914370719745","1218438914370719745")</f>
        <v>1218438914370719745</v>
      </c>
      <c r="F2244" s="13"/>
      <c r="G2244" s="13"/>
      <c r="H2244" s="13"/>
      <c r="I2244" s="14">
        <v>4.0</v>
      </c>
      <c r="J2244" s="14">
        <v>123.0</v>
      </c>
      <c r="K2244" s="9" t="str">
        <f>HYPERLINK("http://twitter.com/download/android","Twitter for Android")</f>
        <v>Twitter for Android</v>
      </c>
      <c r="L2244" s="15">
        <v>830.0</v>
      </c>
      <c r="M2244" s="15">
        <v>553.0</v>
      </c>
      <c r="N2244" s="15">
        <v>5.0</v>
      </c>
      <c r="O2244" s="16"/>
      <c r="P2244" s="17">
        <v>42474.00733796296</v>
      </c>
      <c r="Q2244" s="10" t="s">
        <v>171</v>
      </c>
      <c r="R2244" s="10" t="s">
        <v>9639</v>
      </c>
      <c r="S2244" s="11" t="s">
        <v>9640</v>
      </c>
      <c r="T2244" s="13"/>
      <c r="U2244" s="18" t="str">
        <f>HYPERLINK("https://pbs.twimg.com/profile_images/1000218463527292928/Vxcf3ztY.jpg","View")</f>
        <v>View</v>
      </c>
      <c r="V2244" s="13"/>
      <c r="W2244" s="13"/>
      <c r="X2244" s="13"/>
      <c r="Y2244" s="13"/>
      <c r="Z2244" s="13"/>
    </row>
    <row r="2245">
      <c r="A2245" s="8">
        <v>43848.11358796296</v>
      </c>
      <c r="B2245" s="9" t="str">
        <f>HYPERLINK("https://twitter.com/TtcYork","@TtcYork")</f>
        <v>@TtcYork</v>
      </c>
      <c r="C2245" s="10" t="s">
        <v>9628</v>
      </c>
      <c r="D2245" s="10" t="s">
        <v>9641</v>
      </c>
      <c r="E2245" s="9" t="str">
        <f>HYPERLINK("https://twitter.com/TtcYork/status/1218438768472068096","1218438768472068096")</f>
        <v>1218438768472068096</v>
      </c>
      <c r="F2245" s="11" t="s">
        <v>9642</v>
      </c>
      <c r="G2245" s="13"/>
      <c r="H2245" s="13"/>
      <c r="I2245" s="14">
        <v>2.0</v>
      </c>
      <c r="J2245" s="14">
        <v>3.0</v>
      </c>
      <c r="K2245" s="9" t="str">
        <f>HYPERLINK("https://mobile.twitter.com","Twitter Web App")</f>
        <v>Twitter Web App</v>
      </c>
      <c r="L2245" s="15">
        <v>364.0</v>
      </c>
      <c r="M2245" s="15">
        <v>425.0</v>
      </c>
      <c r="N2245" s="15">
        <v>0.0</v>
      </c>
      <c r="O2245" s="16"/>
      <c r="P2245" s="17">
        <v>43605.398634259254</v>
      </c>
      <c r="Q2245" s="10" t="s">
        <v>8705</v>
      </c>
      <c r="R2245" s="10" t="s">
        <v>9632</v>
      </c>
      <c r="S2245" s="11" t="s">
        <v>9633</v>
      </c>
      <c r="T2245" s="13"/>
      <c r="U2245" s="18" t="str">
        <f>HYPERLINK("https://pbs.twimg.com/profile_images/1130466932317216769/XCU58EN-.jpg","View")</f>
        <v>View</v>
      </c>
      <c r="V2245" s="13"/>
      <c r="W2245" s="13"/>
      <c r="X2245" s="13"/>
      <c r="Y2245" s="13"/>
      <c r="Z2245" s="13"/>
    </row>
    <row r="2246">
      <c r="A2246" s="8">
        <v>43848.11304398148</v>
      </c>
      <c r="B2246" s="9" t="str">
        <f>HYPERLINK("https://twitter.com/taylordanash","@taylordanash")</f>
        <v>@taylordanash</v>
      </c>
      <c r="C2246" s="10" t="s">
        <v>9643</v>
      </c>
      <c r="D2246" s="10" t="s">
        <v>9644</v>
      </c>
      <c r="E2246" s="9" t="str">
        <f>HYPERLINK("https://twitter.com/taylordanash/status/1218438571968909312","1218438571968909312")</f>
        <v>1218438571968909312</v>
      </c>
      <c r="F2246" s="11" t="s">
        <v>9645</v>
      </c>
      <c r="G2246" s="13"/>
      <c r="H2246" s="13"/>
      <c r="I2246" s="14">
        <v>1.0</v>
      </c>
      <c r="J2246" s="14">
        <v>0.0</v>
      </c>
      <c r="K2246" s="9" t="str">
        <f>HYPERLINK("http://twitter.com/download/android","Twitter for Android")</f>
        <v>Twitter for Android</v>
      </c>
      <c r="L2246" s="15">
        <v>663.0</v>
      </c>
      <c r="M2246" s="15">
        <v>1481.0</v>
      </c>
      <c r="N2246" s="15">
        <v>3.0</v>
      </c>
      <c r="O2246" s="16"/>
      <c r="P2246" s="17">
        <v>41348.38642361111</v>
      </c>
      <c r="Q2246" s="10" t="s">
        <v>9646</v>
      </c>
      <c r="R2246" s="10" t="s">
        <v>9647</v>
      </c>
      <c r="S2246" s="13"/>
      <c r="T2246" s="13"/>
      <c r="U2246" s="18" t="str">
        <f>HYPERLINK("https://pbs.twimg.com/profile_images/1182910440701120512/YoCfVgXI.jpg","View")</f>
        <v>View</v>
      </c>
      <c r="V2246" s="13"/>
      <c r="W2246" s="13"/>
      <c r="X2246" s="13"/>
      <c r="Y2246" s="13"/>
      <c r="Z2246" s="13"/>
    </row>
    <row r="2247">
      <c r="A2247" s="8">
        <v>43848.112812499996</v>
      </c>
      <c r="B2247" s="9" t="str">
        <f>HYPERLINK("https://twitter.com/DShorb","@DShorb")</f>
        <v>@DShorb</v>
      </c>
      <c r="C2247" s="10" t="s">
        <v>21</v>
      </c>
      <c r="D2247" s="10" t="s">
        <v>1134</v>
      </c>
      <c r="E2247" s="9" t="str">
        <f>HYPERLINK("https://twitter.com/DShorb/status/1218438487852179459","1218438487852179459")</f>
        <v>1218438487852179459</v>
      </c>
      <c r="F2247" s="11" t="s">
        <v>9648</v>
      </c>
      <c r="G2247" s="13"/>
      <c r="H2247" s="13"/>
      <c r="I2247" s="14">
        <v>0.0</v>
      </c>
      <c r="J2247" s="14">
        <v>0.0</v>
      </c>
      <c r="K2247" s="9" t="str">
        <f>HYPERLINK("https://www.smedian.com","Penname")</f>
        <v>Penname</v>
      </c>
      <c r="L2247" s="15">
        <v>3871.0</v>
      </c>
      <c r="M2247" s="15">
        <v>4543.0</v>
      </c>
      <c r="N2247" s="15">
        <v>185.0</v>
      </c>
      <c r="O2247" s="16"/>
      <c r="P2247" s="17">
        <v>40991.739027777774</v>
      </c>
      <c r="Q2247" s="10" t="s">
        <v>24</v>
      </c>
      <c r="R2247" s="10" t="s">
        <v>25</v>
      </c>
      <c r="S2247" s="11" t="s">
        <v>26</v>
      </c>
      <c r="T2247" s="13"/>
      <c r="U2247" s="18" t="str">
        <f>HYPERLINK("https://pbs.twimg.com/profile_images/1134459629478408192/VnPf0dlm.jpg","View")</f>
        <v>View</v>
      </c>
      <c r="V2247" s="13"/>
      <c r="W2247" s="13"/>
      <c r="X2247" s="13"/>
      <c r="Y2247" s="13"/>
      <c r="Z2247" s="13"/>
    </row>
    <row r="2248">
      <c r="A2248" s="8">
        <v>43848.111122685186</v>
      </c>
      <c r="B2248" s="9" t="str">
        <f>HYPERLINK("https://twitter.com/WizardWayKris","@WizardWayKris")</f>
        <v>@WizardWayKris</v>
      </c>
      <c r="C2248" s="10" t="s">
        <v>477</v>
      </c>
      <c r="D2248" s="10" t="s">
        <v>9649</v>
      </c>
      <c r="E2248" s="9" t="str">
        <f>HYPERLINK("https://twitter.com/WizardWayKris/status/1218437875882242048","1218437875882242048")</f>
        <v>1218437875882242048</v>
      </c>
      <c r="F2248" s="13"/>
      <c r="G2248" s="11" t="s">
        <v>9650</v>
      </c>
      <c r="H2248" s="13"/>
      <c r="I2248" s="14">
        <v>0.0</v>
      </c>
      <c r="J2248" s="14">
        <v>7.0</v>
      </c>
      <c r="K2248" s="9" t="str">
        <f>HYPERLINK("http://twitter.com/download/android","Twitter for Android")</f>
        <v>Twitter for Android</v>
      </c>
      <c r="L2248" s="15">
        <v>518.0</v>
      </c>
      <c r="M2248" s="15">
        <v>71.0</v>
      </c>
      <c r="N2248" s="15">
        <v>8.0</v>
      </c>
      <c r="O2248" s="16"/>
      <c r="P2248" s="17">
        <v>43061.02074074074</v>
      </c>
      <c r="Q2248" s="10" t="s">
        <v>480</v>
      </c>
      <c r="R2248" s="10" t="s">
        <v>481</v>
      </c>
      <c r="S2248" s="11" t="s">
        <v>482</v>
      </c>
      <c r="T2248" s="13"/>
      <c r="U2248" s="18" t="str">
        <f>HYPERLINK("https://pbs.twimg.com/profile_images/1187984236973903879/TmOBMkD2.jpg","View")</f>
        <v>View</v>
      </c>
      <c r="V2248" s="13"/>
      <c r="W2248" s="13"/>
      <c r="X2248" s="13"/>
      <c r="Y2248" s="13"/>
      <c r="Z2248" s="13"/>
    </row>
    <row r="2249">
      <c r="A2249" s="8">
        <v>43848.110555555555</v>
      </c>
      <c r="B2249" s="9" t="str">
        <f>HYPERLINK("https://twitter.com/RisinBlueSun","@RisinBlueSun")</f>
        <v>@RisinBlueSun</v>
      </c>
      <c r="C2249" s="10" t="s">
        <v>9624</v>
      </c>
      <c r="D2249" s="10" t="s">
        <v>9651</v>
      </c>
      <c r="E2249" s="9" t="str">
        <f>HYPERLINK("https://twitter.com/RisinBlueSun/status/1218437668050210816","1218437668050210816")</f>
        <v>1218437668050210816</v>
      </c>
      <c r="F2249" s="13"/>
      <c r="G2249" s="13"/>
      <c r="H2249" s="13"/>
      <c r="I2249" s="14">
        <v>0.0</v>
      </c>
      <c r="J2249" s="14">
        <v>1.0</v>
      </c>
      <c r="K2249" s="9" t="str">
        <f>HYPERLINK("http://twitter.com/download/iphone","Twitter for iPhone")</f>
        <v>Twitter for iPhone</v>
      </c>
      <c r="L2249" s="15">
        <v>102.0</v>
      </c>
      <c r="M2249" s="15">
        <v>384.0</v>
      </c>
      <c r="N2249" s="15">
        <v>2.0</v>
      </c>
      <c r="O2249" s="16"/>
      <c r="P2249" s="17">
        <v>43818.12222222222</v>
      </c>
      <c r="Q2249" s="10" t="s">
        <v>9626</v>
      </c>
      <c r="R2249" s="10" t="s">
        <v>9627</v>
      </c>
      <c r="S2249" s="13"/>
      <c r="T2249" s="13"/>
      <c r="U2249" s="18" t="str">
        <f>HYPERLINK("https://pbs.twimg.com/profile_images/1207570462538158081/5-tQ4KWv.jpg","View")</f>
        <v>View</v>
      </c>
      <c r="V2249" s="13"/>
      <c r="W2249" s="13"/>
      <c r="X2249" s="13"/>
      <c r="Y2249" s="13"/>
      <c r="Z2249" s="13"/>
    </row>
    <row r="2250">
      <c r="A2250" s="8">
        <v>43848.10951388889</v>
      </c>
      <c r="B2250" s="9" t="str">
        <f>HYPERLINK("https://twitter.com/keshkeno25","@keshkeno25")</f>
        <v>@keshkeno25</v>
      </c>
      <c r="C2250" s="10" t="s">
        <v>9652</v>
      </c>
      <c r="D2250" s="10" t="s">
        <v>238</v>
      </c>
      <c r="E2250" s="9" t="str">
        <f>HYPERLINK("https://twitter.com/keshkeno25/status/1218437290927763456","1218437290927763456")</f>
        <v>1218437290927763456</v>
      </c>
      <c r="F2250" s="13"/>
      <c r="G2250" s="13"/>
      <c r="H2250" s="13"/>
      <c r="I2250" s="14">
        <v>1.0</v>
      </c>
      <c r="J2250" s="14">
        <v>0.0</v>
      </c>
      <c r="K2250" s="9" t="str">
        <f>HYPERLINK("http://twitter.com/download/android","Twitter for Android")</f>
        <v>Twitter for Android</v>
      </c>
      <c r="L2250" s="15">
        <v>821.0</v>
      </c>
      <c r="M2250" s="15">
        <v>880.0</v>
      </c>
      <c r="N2250" s="15">
        <v>2.0</v>
      </c>
      <c r="O2250" s="16"/>
      <c r="P2250" s="17">
        <v>41129.74570601852</v>
      </c>
      <c r="Q2250" s="10" t="s">
        <v>9653</v>
      </c>
      <c r="R2250" s="10" t="s">
        <v>9654</v>
      </c>
      <c r="S2250" s="13"/>
      <c r="T2250" s="13"/>
      <c r="U2250" s="18" t="str">
        <f>HYPERLINK("https://pbs.twimg.com/profile_images/1131593628026048512/m7IhGWwS.jpg","View")</f>
        <v>View</v>
      </c>
      <c r="V2250" s="13"/>
      <c r="W2250" s="13"/>
      <c r="X2250" s="13"/>
      <c r="Y2250" s="13"/>
      <c r="Z2250" s="13"/>
    </row>
    <row r="2251">
      <c r="A2251" s="8">
        <v>43848.10946759259</v>
      </c>
      <c r="B2251" s="9" t="str">
        <f>HYPERLINK("https://twitter.com/sudesna_ghosh","@sudesna_ghosh")</f>
        <v>@sudesna_ghosh</v>
      </c>
      <c r="C2251" s="10" t="s">
        <v>32</v>
      </c>
      <c r="D2251" s="10" t="s">
        <v>9655</v>
      </c>
      <c r="E2251" s="9" t="str">
        <f>HYPERLINK("https://twitter.com/sudesna_ghosh/status/1218437277069692929","1218437277069692929")</f>
        <v>1218437277069692929</v>
      </c>
      <c r="F2251" s="11" t="s">
        <v>34</v>
      </c>
      <c r="G2251" s="13"/>
      <c r="H2251" s="13"/>
      <c r="I2251" s="14">
        <v>0.0</v>
      </c>
      <c r="J2251" s="14">
        <v>0.0</v>
      </c>
      <c r="K2251" s="9" t="str">
        <f>HYPERLINK("http://twitter.com/download/iphone","Twitter for iPhone")</f>
        <v>Twitter for iPhone</v>
      </c>
      <c r="L2251" s="15">
        <v>2504.0</v>
      </c>
      <c r="M2251" s="15">
        <v>884.0</v>
      </c>
      <c r="N2251" s="15">
        <v>84.0</v>
      </c>
      <c r="O2251" s="16"/>
      <c r="P2251" s="17">
        <v>42769.487905092596</v>
      </c>
      <c r="Q2251" s="10" t="s">
        <v>35</v>
      </c>
      <c r="R2251" s="10" t="s">
        <v>36</v>
      </c>
      <c r="S2251" s="11" t="s">
        <v>37</v>
      </c>
      <c r="T2251" s="13"/>
      <c r="U2251" s="18" t="str">
        <f>HYPERLINK("https://pbs.twimg.com/profile_images/1072880835966038018/DJj_vldD.jpg","View")</f>
        <v>View</v>
      </c>
      <c r="V2251" s="13"/>
      <c r="W2251" s="13"/>
      <c r="X2251" s="13"/>
      <c r="Y2251" s="13"/>
      <c r="Z2251" s="13"/>
    </row>
    <row r="2252">
      <c r="A2252" s="8">
        <v>43848.10832175926</v>
      </c>
      <c r="B2252" s="9" t="str">
        <f>HYPERLINK("https://twitter.com/JakeTalbott_","@JakeTalbott_")</f>
        <v>@JakeTalbott_</v>
      </c>
      <c r="C2252" s="10" t="s">
        <v>5684</v>
      </c>
      <c r="D2252" s="10" t="s">
        <v>9656</v>
      </c>
      <c r="E2252" s="9" t="str">
        <f>HYPERLINK("https://twitter.com/JakeTalbott_/status/1218436861548548097","1218436861548548097")</f>
        <v>1218436861548548097</v>
      </c>
      <c r="F2252" s="13"/>
      <c r="G2252" s="13"/>
      <c r="H2252" s="13"/>
      <c r="I2252" s="14">
        <v>0.0</v>
      </c>
      <c r="J2252" s="14">
        <v>0.0</v>
      </c>
      <c r="K2252" s="9" t="str">
        <f>HYPERLINK("http://twitter.com/download/android","Twitter for Android")</f>
        <v>Twitter for Android</v>
      </c>
      <c r="L2252" s="15">
        <v>5.0</v>
      </c>
      <c r="M2252" s="15">
        <v>153.0</v>
      </c>
      <c r="N2252" s="15">
        <v>0.0</v>
      </c>
      <c r="O2252" s="16"/>
      <c r="P2252" s="17">
        <v>43793.21021990741</v>
      </c>
      <c r="Q2252" s="13"/>
      <c r="R2252" s="10" t="s">
        <v>9657</v>
      </c>
      <c r="S2252" s="13"/>
      <c r="T2252" s="13"/>
      <c r="U2252" s="18" t="str">
        <f>HYPERLINK("https://pbs.twimg.com/profile_images/1217844337519755264/_J9Osako.jpg","View")</f>
        <v>View</v>
      </c>
      <c r="V2252" s="13"/>
      <c r="W2252" s="13"/>
      <c r="X2252" s="13"/>
      <c r="Y2252" s="13"/>
      <c r="Z2252" s="13"/>
    </row>
    <row r="2253">
      <c r="A2253" s="8">
        <v>43848.108298611114</v>
      </c>
      <c r="B2253" s="9" t="str">
        <f>HYPERLINK("https://twitter.com/zheljka","@zheljka")</f>
        <v>@zheljka</v>
      </c>
      <c r="C2253" s="10" t="s">
        <v>9658</v>
      </c>
      <c r="D2253" s="10" t="s">
        <v>238</v>
      </c>
      <c r="E2253" s="9" t="str">
        <f>HYPERLINK("https://twitter.com/zheljka/status/1218436853155684352","1218436853155684352")</f>
        <v>1218436853155684352</v>
      </c>
      <c r="F2253" s="13"/>
      <c r="G2253" s="13"/>
      <c r="H2253" s="13"/>
      <c r="I2253" s="14">
        <v>0.0</v>
      </c>
      <c r="J2253" s="14">
        <v>1.0</v>
      </c>
      <c r="K2253" s="9" t="str">
        <f>HYPERLINK("http://twitter.com/download/iphone","Twitter for iPhone")</f>
        <v>Twitter for iPhone</v>
      </c>
      <c r="L2253" s="15">
        <v>666.0</v>
      </c>
      <c r="M2253" s="15">
        <v>1018.0</v>
      </c>
      <c r="N2253" s="15">
        <v>23.0</v>
      </c>
      <c r="O2253" s="16"/>
      <c r="P2253" s="17">
        <v>39961.15951388889</v>
      </c>
      <c r="Q2253" s="13"/>
      <c r="R2253" s="10" t="s">
        <v>9659</v>
      </c>
      <c r="S2253" s="11" t="s">
        <v>9660</v>
      </c>
      <c r="T2253" s="13"/>
      <c r="U2253" s="18" t="str">
        <f>HYPERLINK("https://pbs.twimg.com/profile_images/378800000656957270/5305a3378a4bd739b52425d3f5327d29.jpeg","View")</f>
        <v>View</v>
      </c>
      <c r="V2253" s="13"/>
      <c r="W2253" s="13"/>
      <c r="X2253" s="13"/>
      <c r="Y2253" s="13"/>
      <c r="Z2253" s="13"/>
    </row>
    <row r="2254">
      <c r="A2254" s="8">
        <v>43848.10778935185</v>
      </c>
      <c r="B2254" s="9" t="str">
        <f>HYPERLINK("https://twitter.com/jennyflorence1","@jennyflorence1")</f>
        <v>@jennyflorence1</v>
      </c>
      <c r="C2254" s="10" t="s">
        <v>1020</v>
      </c>
      <c r="D2254" s="10" t="s">
        <v>9661</v>
      </c>
      <c r="E2254" s="9" t="str">
        <f>HYPERLINK("https://twitter.com/jennyflorence1/status/1218436668786728960","1218436668786728960")</f>
        <v>1218436668786728960</v>
      </c>
      <c r="F2254" s="11" t="s">
        <v>1026</v>
      </c>
      <c r="G2254" s="11" t="s">
        <v>9662</v>
      </c>
      <c r="H2254" s="13"/>
      <c r="I2254" s="14">
        <v>0.0</v>
      </c>
      <c r="J2254" s="14">
        <v>0.0</v>
      </c>
      <c r="K2254" s="9" t="str">
        <f>HYPERLINK("https://www.socialjukebox.com","The Social Jukebox")</f>
        <v>The Social Jukebox</v>
      </c>
      <c r="L2254" s="15">
        <v>1564.0</v>
      </c>
      <c r="M2254" s="15">
        <v>920.0</v>
      </c>
      <c r="N2254" s="15">
        <v>119.0</v>
      </c>
      <c r="O2254" s="16"/>
      <c r="P2254" s="17">
        <v>41852.31606481482</v>
      </c>
      <c r="Q2254" s="10" t="s">
        <v>1024</v>
      </c>
      <c r="R2254" s="10" t="s">
        <v>1025</v>
      </c>
      <c r="S2254" s="11" t="s">
        <v>1026</v>
      </c>
      <c r="T2254" s="13"/>
      <c r="U2254" s="18" t="str">
        <f>HYPERLINK("https://pbs.twimg.com/profile_images/997424009309405184/EJZO7eXe.jpg","View")</f>
        <v>View</v>
      </c>
      <c r="V2254" s="13"/>
      <c r="W2254" s="13"/>
      <c r="X2254" s="13"/>
      <c r="Y2254" s="13"/>
      <c r="Z2254" s="13"/>
    </row>
    <row r="2255">
      <c r="A2255" s="8">
        <v>43848.106412037036</v>
      </c>
      <c r="B2255" s="9" t="str">
        <f>HYPERLINK("https://twitter.com/grouptherapy33","@grouptherapy33")</f>
        <v>@grouptherapy33</v>
      </c>
      <c r="C2255" s="10" t="s">
        <v>831</v>
      </c>
      <c r="D2255" s="10" t="s">
        <v>9663</v>
      </c>
      <c r="E2255" s="9" t="str">
        <f>HYPERLINK("https://twitter.com/grouptherapy33/status/1218436167814860801","1218436167814860801")</f>
        <v>1218436167814860801</v>
      </c>
      <c r="F2255" s="13"/>
      <c r="G2255" s="13"/>
      <c r="H2255" s="13"/>
      <c r="I2255" s="14">
        <v>0.0</v>
      </c>
      <c r="J2255" s="14">
        <v>0.0</v>
      </c>
      <c r="K2255" s="9" t="str">
        <f>HYPERLINK("http://www.DynamicTweets.com","Dynamic Tweets")</f>
        <v>Dynamic Tweets</v>
      </c>
      <c r="L2255" s="15">
        <v>4053.0</v>
      </c>
      <c r="M2255" s="15">
        <v>3517.0</v>
      </c>
      <c r="N2255" s="15">
        <v>74.0</v>
      </c>
      <c r="O2255" s="16"/>
      <c r="P2255" s="17">
        <v>42375.45542824074</v>
      </c>
      <c r="Q2255" s="13"/>
      <c r="R2255" s="13"/>
      <c r="S2255" s="11" t="s">
        <v>833</v>
      </c>
      <c r="T2255" s="13"/>
      <c r="U2255" s="18" t="str">
        <f>HYPERLINK("https://pbs.twimg.com/profile_images/773354507157671941/wE10yy8j.jpg","View")</f>
        <v>View</v>
      </c>
      <c r="V2255" s="13"/>
      <c r="W2255" s="13"/>
      <c r="X2255" s="13"/>
      <c r="Y2255" s="13"/>
      <c r="Z2255" s="13"/>
    </row>
    <row r="2256">
      <c r="A2256" s="8">
        <v>43848.10471064815</v>
      </c>
      <c r="B2256" s="9" t="str">
        <f>HYPERLINK("https://twitter.com/story_crazed","@story_crazed")</f>
        <v>@story_crazed</v>
      </c>
      <c r="C2256" s="10" t="s">
        <v>9664</v>
      </c>
      <c r="D2256" s="10" t="s">
        <v>238</v>
      </c>
      <c r="E2256" s="9" t="str">
        <f>HYPERLINK("https://twitter.com/story_crazed/status/1218435549180108800","1218435549180108800")</f>
        <v>1218435549180108800</v>
      </c>
      <c r="F2256" s="13"/>
      <c r="G2256" s="13"/>
      <c r="H2256" s="13"/>
      <c r="I2256" s="14">
        <v>0.0</v>
      </c>
      <c r="J2256" s="14">
        <v>0.0</v>
      </c>
      <c r="K2256" s="9" t="str">
        <f>HYPERLINK("http://twitter.com/download/android","Twitter for Android")</f>
        <v>Twitter for Android</v>
      </c>
      <c r="L2256" s="15">
        <v>223.0</v>
      </c>
      <c r="M2256" s="15">
        <v>301.0</v>
      </c>
      <c r="N2256" s="15">
        <v>0.0</v>
      </c>
      <c r="O2256" s="16"/>
      <c r="P2256" s="17">
        <v>42202.48658564815</v>
      </c>
      <c r="Q2256" s="10" t="s">
        <v>9665</v>
      </c>
      <c r="R2256" s="10" t="s">
        <v>9666</v>
      </c>
      <c r="S2256" s="11" t="s">
        <v>9667</v>
      </c>
      <c r="T2256" s="13"/>
      <c r="U2256" s="18" t="str">
        <f>HYPERLINK("https://pbs.twimg.com/profile_images/1079050248222359558/8n4mnLqa.jpg","View")</f>
        <v>View</v>
      </c>
      <c r="V2256" s="13"/>
      <c r="W2256" s="13"/>
      <c r="X2256" s="13"/>
      <c r="Y2256" s="13"/>
      <c r="Z2256" s="13"/>
    </row>
    <row r="2257">
      <c r="A2257" s="8">
        <v>43848.10453703704</v>
      </c>
      <c r="B2257" s="9" t="str">
        <f>HYPERLINK("https://twitter.com/hellofaread","@hellofaread")</f>
        <v>@hellofaread</v>
      </c>
      <c r="C2257" s="10" t="s">
        <v>9668</v>
      </c>
      <c r="D2257" s="10" t="s">
        <v>9669</v>
      </c>
      <c r="E2257" s="9" t="str">
        <f>HYPERLINK("https://twitter.com/hellofaread/status/1218435486408232961","1218435486408232961")</f>
        <v>1218435486408232961</v>
      </c>
      <c r="F2257" s="11" t="s">
        <v>9670</v>
      </c>
      <c r="G2257" s="13"/>
      <c r="H2257" s="13"/>
      <c r="I2257" s="14">
        <v>0.0</v>
      </c>
      <c r="J2257" s="14">
        <v>0.0</v>
      </c>
      <c r="K2257" s="9" t="str">
        <f>HYPERLINK("https://rssmasher.tech","RSS Masher - Dev")</f>
        <v>RSS Masher - Dev</v>
      </c>
      <c r="L2257" s="15">
        <v>183.0</v>
      </c>
      <c r="M2257" s="15">
        <v>44.0</v>
      </c>
      <c r="N2257" s="15">
        <v>1.0</v>
      </c>
      <c r="O2257" s="16"/>
      <c r="P2257" s="17">
        <v>42702.530694444446</v>
      </c>
      <c r="Q2257" s="10" t="s">
        <v>1324</v>
      </c>
      <c r="R2257" s="10" t="s">
        <v>9671</v>
      </c>
      <c r="S2257" s="11" t="s">
        <v>9672</v>
      </c>
      <c r="T2257" s="13"/>
      <c r="U2257" s="18" t="str">
        <f>HYPERLINK("https://pbs.twimg.com/profile_images/803293992393838592/2SA0P0KC.jpg","View")</f>
        <v>View</v>
      </c>
      <c r="V2257" s="13"/>
      <c r="W2257" s="13"/>
      <c r="X2257" s="13"/>
      <c r="Y2257" s="13"/>
      <c r="Z2257" s="13"/>
    </row>
    <row r="2258">
      <c r="A2258" s="8">
        <v>43848.104363425926</v>
      </c>
      <c r="B2258" s="9" t="str">
        <f>HYPERLINK("https://twitter.com/redvestman","@redvestman")</f>
        <v>@redvestman</v>
      </c>
      <c r="C2258" s="10" t="s">
        <v>9673</v>
      </c>
      <c r="D2258" s="10" t="s">
        <v>238</v>
      </c>
      <c r="E2258" s="9" t="str">
        <f>HYPERLINK("https://twitter.com/redvestman/status/1218435426140200964","1218435426140200964")</f>
        <v>1218435426140200964</v>
      </c>
      <c r="F2258" s="13"/>
      <c r="G2258" s="13"/>
      <c r="H2258" s="13"/>
      <c r="I2258" s="14">
        <v>0.0</v>
      </c>
      <c r="J2258" s="14">
        <v>0.0</v>
      </c>
      <c r="K2258" s="9" t="str">
        <f>HYPERLINK("http://twitter.com/download/android","Twitter for Android")</f>
        <v>Twitter for Android</v>
      </c>
      <c r="L2258" s="15">
        <v>552.0</v>
      </c>
      <c r="M2258" s="15">
        <v>336.0</v>
      </c>
      <c r="N2258" s="15">
        <v>0.0</v>
      </c>
      <c r="O2258" s="16"/>
      <c r="P2258" s="17">
        <v>43313.24859953704</v>
      </c>
      <c r="Q2258" s="13"/>
      <c r="R2258" s="10" t="s">
        <v>9674</v>
      </c>
      <c r="S2258" s="13"/>
      <c r="T2258" s="13"/>
      <c r="U2258" s="18" t="str">
        <f>HYPERLINK("https://pbs.twimg.com/profile_images/1173682169451094016/CdtNVszD.jpg","View")</f>
        <v>View</v>
      </c>
      <c r="V2258" s="13"/>
      <c r="W2258" s="13"/>
      <c r="X2258" s="13"/>
      <c r="Y2258" s="13"/>
      <c r="Z2258" s="13"/>
    </row>
    <row r="2259">
      <c r="A2259" s="8">
        <v>43848.10434027778</v>
      </c>
      <c r="B2259" s="9" t="str">
        <f>HYPERLINK("https://twitter.com/CarolynSpring","@CarolynSpring")</f>
        <v>@CarolynSpring</v>
      </c>
      <c r="C2259" s="10" t="s">
        <v>7642</v>
      </c>
      <c r="D2259" s="10" t="s">
        <v>9675</v>
      </c>
      <c r="E2259" s="9" t="str">
        <f>HYPERLINK("https://twitter.com/CarolynSpring/status/1218435417822892032","1218435417822892032")</f>
        <v>1218435417822892032</v>
      </c>
      <c r="F2259" s="11" t="s">
        <v>9676</v>
      </c>
      <c r="G2259" s="11" t="s">
        <v>9677</v>
      </c>
      <c r="H2259" s="13"/>
      <c r="I2259" s="14">
        <v>0.0</v>
      </c>
      <c r="J2259" s="14">
        <v>6.0</v>
      </c>
      <c r="K2259" s="9" t="str">
        <f>HYPERLINK("https://www.hootsuite.com","Hootsuite Inc.")</f>
        <v>Hootsuite Inc.</v>
      </c>
      <c r="L2259" s="15">
        <v>8316.0</v>
      </c>
      <c r="M2259" s="15">
        <v>5755.0</v>
      </c>
      <c r="N2259" s="15">
        <v>95.0</v>
      </c>
      <c r="O2259" s="16"/>
      <c r="P2259" s="17">
        <v>39986.679502314815</v>
      </c>
      <c r="Q2259" s="10" t="s">
        <v>7646</v>
      </c>
      <c r="R2259" s="10" t="s">
        <v>7647</v>
      </c>
      <c r="S2259" s="11" t="s">
        <v>7648</v>
      </c>
      <c r="T2259" s="13"/>
      <c r="U2259" s="18" t="str">
        <f>HYPERLINK("https://pbs.twimg.com/profile_images/1117297610744836096/zk3R1Sk1.png","View")</f>
        <v>View</v>
      </c>
      <c r="V2259" s="13"/>
      <c r="W2259" s="13"/>
      <c r="X2259" s="13"/>
      <c r="Y2259" s="13"/>
      <c r="Z2259" s="13"/>
    </row>
    <row r="2260">
      <c r="A2260" s="8">
        <v>43848.10362268519</v>
      </c>
      <c r="B2260" s="9" t="str">
        <f>HYPERLINK("https://twitter.com/Resindiyo","@Resindiyo")</f>
        <v>@Resindiyo</v>
      </c>
      <c r="C2260" s="10" t="s">
        <v>9678</v>
      </c>
      <c r="D2260" s="10" t="s">
        <v>9679</v>
      </c>
      <c r="E2260" s="9" t="str">
        <f>HYPERLINK("https://twitter.com/Resindiyo/status/1218435157176279040","1218435157176279040")</f>
        <v>1218435157176279040</v>
      </c>
      <c r="F2260" s="10" t="s">
        <v>9680</v>
      </c>
      <c r="G2260" s="13"/>
      <c r="H2260" s="13"/>
      <c r="I2260" s="14">
        <v>0.0</v>
      </c>
      <c r="J2260" s="14">
        <v>0.0</v>
      </c>
      <c r="K2260" s="9" t="str">
        <f t="shared" ref="K2260:K2261" si="284">HYPERLINK("http://twitter.com/download/android","Twitter for Android")</f>
        <v>Twitter for Android</v>
      </c>
      <c r="L2260" s="15">
        <v>257.0</v>
      </c>
      <c r="M2260" s="15">
        <v>304.0</v>
      </c>
      <c r="N2260" s="15">
        <v>4.0</v>
      </c>
      <c r="O2260" s="16"/>
      <c r="P2260" s="17">
        <v>42178.86189814815</v>
      </c>
      <c r="Q2260" s="10" t="s">
        <v>8190</v>
      </c>
      <c r="R2260" s="10" t="s">
        <v>9681</v>
      </c>
      <c r="S2260" s="11" t="s">
        <v>9682</v>
      </c>
      <c r="T2260" s="13"/>
      <c r="U2260" s="18" t="str">
        <f>HYPERLINK("https://pbs.twimg.com/profile_images/1207721569931403264/thi_cWJr.jpg","View")</f>
        <v>View</v>
      </c>
      <c r="V2260" s="13"/>
      <c r="W2260" s="13"/>
      <c r="X2260" s="13"/>
      <c r="Y2260" s="13"/>
      <c r="Z2260" s="13"/>
    </row>
    <row r="2261">
      <c r="A2261" s="8">
        <v>43848.10269675926</v>
      </c>
      <c r="B2261" s="9" t="str">
        <f>HYPERLINK("https://twitter.com/Fibutton","@Fibutton")</f>
        <v>@Fibutton</v>
      </c>
      <c r="C2261" s="10" t="s">
        <v>9683</v>
      </c>
      <c r="D2261" s="10" t="s">
        <v>9684</v>
      </c>
      <c r="E2261" s="9" t="str">
        <f>HYPERLINK("https://twitter.com/Fibutton/status/1218434821564850177","1218434821564850177")</f>
        <v>1218434821564850177</v>
      </c>
      <c r="F2261" s="13"/>
      <c r="G2261" s="11" t="s">
        <v>9685</v>
      </c>
      <c r="H2261" s="13"/>
      <c r="I2261" s="14">
        <v>0.0</v>
      </c>
      <c r="J2261" s="14">
        <v>8.0</v>
      </c>
      <c r="K2261" s="9" t="str">
        <f t="shared" si="284"/>
        <v>Twitter for Android</v>
      </c>
      <c r="L2261" s="15">
        <v>9469.0</v>
      </c>
      <c r="M2261" s="15">
        <v>6917.0</v>
      </c>
      <c r="N2261" s="15">
        <v>200.0</v>
      </c>
      <c r="O2261" s="16"/>
      <c r="P2261" s="17">
        <v>39911.56435185185</v>
      </c>
      <c r="Q2261" s="10" t="s">
        <v>161</v>
      </c>
      <c r="R2261" s="10" t="s">
        <v>9686</v>
      </c>
      <c r="S2261" s="11" t="s">
        <v>9687</v>
      </c>
      <c r="T2261" s="13"/>
      <c r="U2261" s="18" t="str">
        <f>HYPERLINK("https://pbs.twimg.com/profile_images/1213033266338566144/me6zAAIu.jpg","View")</f>
        <v>View</v>
      </c>
      <c r="V2261" s="13"/>
      <c r="W2261" s="13"/>
      <c r="X2261" s="13"/>
      <c r="Y2261" s="13"/>
      <c r="Z2261" s="13"/>
    </row>
    <row r="2262">
      <c r="A2262" s="8">
        <v>43848.10178240741</v>
      </c>
      <c r="B2262" s="9" t="str">
        <f>HYPERLINK("https://twitter.com/WandS_Headlines","@WandS_Headlines")</f>
        <v>@WandS_Headlines</v>
      </c>
      <c r="C2262" s="10" t="s">
        <v>9688</v>
      </c>
      <c r="D2262" s="10" t="s">
        <v>9689</v>
      </c>
      <c r="E2262" s="9" t="str">
        <f>HYPERLINK("https://twitter.com/WandS_Headlines/status/1218434489426292737","1218434489426292737")</f>
        <v>1218434489426292737</v>
      </c>
      <c r="F2262" s="11" t="s">
        <v>9690</v>
      </c>
      <c r="G2262" s="13"/>
      <c r="H2262" s="13"/>
      <c r="I2262" s="14">
        <v>0.0</v>
      </c>
      <c r="J2262" s="14">
        <v>1.0</v>
      </c>
      <c r="K2262" s="9" t="str">
        <f>HYPERLINK("https://mobile.twitter.com","Twitter Web App")</f>
        <v>Twitter Web App</v>
      </c>
      <c r="L2262" s="15">
        <v>499.0</v>
      </c>
      <c r="M2262" s="15">
        <v>12.0</v>
      </c>
      <c r="N2262" s="15">
        <v>261.0</v>
      </c>
      <c r="O2262" s="16"/>
      <c r="P2262" s="17">
        <v>41952.938576388886</v>
      </c>
      <c r="Q2262" s="10" t="s">
        <v>177</v>
      </c>
      <c r="R2262" s="10" t="s">
        <v>9691</v>
      </c>
      <c r="S2262" s="11" t="s">
        <v>9692</v>
      </c>
      <c r="T2262" s="13"/>
      <c r="U2262" s="18" t="str">
        <f>HYPERLINK("https://pbs.twimg.com/profile_images/1215158747787603968/IcqaImxf.png","View")</f>
        <v>View</v>
      </c>
      <c r="V2262" s="13"/>
      <c r="W2262" s="13"/>
      <c r="X2262" s="13"/>
      <c r="Y2262" s="13"/>
      <c r="Z2262" s="13"/>
    </row>
    <row r="2263">
      <c r="A2263" s="8">
        <v>43848.101319444446</v>
      </c>
      <c r="B2263" s="9" t="str">
        <f>HYPERLINK("https://twitter.com/hans_kluge","@hans_kluge")</f>
        <v>@hans_kluge</v>
      </c>
      <c r="C2263" s="10" t="s">
        <v>9693</v>
      </c>
      <c r="D2263" s="10" t="s">
        <v>9694</v>
      </c>
      <c r="E2263" s="9" t="str">
        <f>HYPERLINK("https://twitter.com/hans_kluge/status/1218434323306688513","1218434323306688513")</f>
        <v>1218434323306688513</v>
      </c>
      <c r="F2263" s="13"/>
      <c r="G2263" s="11" t="s">
        <v>2476</v>
      </c>
      <c r="H2263" s="13"/>
      <c r="I2263" s="14">
        <v>14.0</v>
      </c>
      <c r="J2263" s="14">
        <v>87.0</v>
      </c>
      <c r="K2263" s="9" t="str">
        <f>HYPERLINK("http://twitter.com/download/iphone","Twitter for iPhone")</f>
        <v>Twitter for iPhone</v>
      </c>
      <c r="L2263" s="15">
        <v>2307.0</v>
      </c>
      <c r="M2263" s="15">
        <v>217.0</v>
      </c>
      <c r="N2263" s="15">
        <v>17.0</v>
      </c>
      <c r="O2263" s="16"/>
      <c r="P2263" s="17">
        <v>43203.23793981482</v>
      </c>
      <c r="Q2263" s="13"/>
      <c r="R2263" s="10" t="s">
        <v>9695</v>
      </c>
      <c r="S2263" s="11" t="s">
        <v>9696</v>
      </c>
      <c r="T2263" s="13"/>
      <c r="U2263" s="18" t="str">
        <f>HYPERLINK("https://pbs.twimg.com/profile_images/1105802610492219392/Ku0Kqieu.png","View")</f>
        <v>View</v>
      </c>
      <c r="V2263" s="13"/>
      <c r="W2263" s="13"/>
      <c r="X2263" s="13"/>
      <c r="Y2263" s="13"/>
      <c r="Z2263" s="13"/>
    </row>
    <row r="2264">
      <c r="A2264" s="8">
        <v>43848.1009375</v>
      </c>
      <c r="B2264" s="9" t="str">
        <f>HYPERLINK("https://twitter.com/Mentalconvs","@Mentalconvs")</f>
        <v>@Mentalconvs</v>
      </c>
      <c r="C2264" s="10" t="s">
        <v>9697</v>
      </c>
      <c r="D2264" s="10" t="s">
        <v>9698</v>
      </c>
      <c r="E2264" s="9" t="str">
        <f>HYPERLINK("https://twitter.com/Mentalconvs/status/1218434185775452160","1218434185775452160")</f>
        <v>1218434185775452160</v>
      </c>
      <c r="F2264" s="11" t="s">
        <v>9699</v>
      </c>
      <c r="G2264" s="11" t="s">
        <v>9700</v>
      </c>
      <c r="H2264" s="13"/>
      <c r="I2264" s="14">
        <v>0.0</v>
      </c>
      <c r="J2264" s="14">
        <v>0.0</v>
      </c>
      <c r="K2264" s="9" t="str">
        <f>HYPERLINK("http://twitter.com/download/android","Twitter for Android")</f>
        <v>Twitter for Android</v>
      </c>
      <c r="L2264" s="15">
        <v>600.0</v>
      </c>
      <c r="M2264" s="15">
        <v>709.0</v>
      </c>
      <c r="N2264" s="15">
        <v>2.0</v>
      </c>
      <c r="O2264" s="16"/>
      <c r="P2264" s="17">
        <v>42937.064571759256</v>
      </c>
      <c r="Q2264" s="10" t="s">
        <v>9701</v>
      </c>
      <c r="R2264" s="10" t="s">
        <v>9702</v>
      </c>
      <c r="S2264" s="13"/>
      <c r="T2264" s="13"/>
      <c r="U2264" s="18" t="str">
        <f>HYPERLINK("https://pbs.twimg.com/profile_images/986326384162344961/_EkrBLFf.jpg","View")</f>
        <v>View</v>
      </c>
      <c r="V2264" s="13"/>
      <c r="W2264" s="13"/>
      <c r="X2264" s="13"/>
      <c r="Y2264" s="13"/>
      <c r="Z2264" s="13"/>
    </row>
    <row r="2265">
      <c r="A2265" s="8">
        <v>43848.10028935185</v>
      </c>
      <c r="B2265" s="9" t="str">
        <f>HYPERLINK("https://twitter.com/DocDavePerez","@DocDavePerez")</f>
        <v>@DocDavePerez</v>
      </c>
      <c r="C2265" s="10" t="s">
        <v>9703</v>
      </c>
      <c r="D2265" s="10" t="s">
        <v>9704</v>
      </c>
      <c r="E2265" s="9" t="str">
        <f>HYPERLINK("https://twitter.com/DocDavePerez/status/1218433947190943744","1218433947190943744")</f>
        <v>1218433947190943744</v>
      </c>
      <c r="F2265" s="13"/>
      <c r="G2265" s="13"/>
      <c r="H2265" s="13"/>
      <c r="I2265" s="14">
        <v>0.0</v>
      </c>
      <c r="J2265" s="14">
        <v>0.0</v>
      </c>
      <c r="K2265" s="9" t="str">
        <f>HYPERLINK("http://twitter.com/#!/download/ipad","Twitter for iPad")</f>
        <v>Twitter for iPad</v>
      </c>
      <c r="L2265" s="15">
        <v>176.0</v>
      </c>
      <c r="M2265" s="15">
        <v>416.0</v>
      </c>
      <c r="N2265" s="15">
        <v>1.0</v>
      </c>
      <c r="O2265" s="16"/>
      <c r="P2265" s="17">
        <v>42378.50775462963</v>
      </c>
      <c r="Q2265" s="10" t="s">
        <v>9705</v>
      </c>
      <c r="R2265" s="10" t="s">
        <v>9706</v>
      </c>
      <c r="S2265" s="13"/>
      <c r="T2265" s="13"/>
      <c r="U2265" s="18" t="str">
        <f>HYPERLINK("https://pbs.twimg.com/profile_images/685942823594672128/hUMjkIjH.jpg","View")</f>
        <v>View</v>
      </c>
      <c r="V2265" s="13"/>
      <c r="W2265" s="13"/>
      <c r="X2265" s="13"/>
      <c r="Y2265" s="13"/>
      <c r="Z2265" s="13"/>
    </row>
    <row r="2266">
      <c r="A2266" s="8">
        <v>43848.09998842592</v>
      </c>
      <c r="B2266" s="9" t="str">
        <f>HYPERLINK("https://twitter.com/EnterpriserSTE","@EnterpriserSTE")</f>
        <v>@EnterpriserSTE</v>
      </c>
      <c r="C2266" s="10" t="s">
        <v>9707</v>
      </c>
      <c r="D2266" s="10" t="s">
        <v>9708</v>
      </c>
      <c r="E2266" s="9" t="str">
        <f>HYPERLINK("https://twitter.com/EnterpriserSTE/status/1218433839669940224","1218433839669940224")</f>
        <v>1218433839669940224</v>
      </c>
      <c r="F2266" s="11" t="s">
        <v>9709</v>
      </c>
      <c r="G2266" s="13"/>
      <c r="H2266" s="13"/>
      <c r="I2266" s="14">
        <v>0.0</v>
      </c>
      <c r="J2266" s="14">
        <v>0.0</v>
      </c>
      <c r="K2266" s="9" t="str">
        <f>HYPERLINK("https://revive.social/","Revive Social App")</f>
        <v>Revive Social App</v>
      </c>
      <c r="L2266" s="15">
        <v>4545.0</v>
      </c>
      <c r="M2266" s="15">
        <v>1748.0</v>
      </c>
      <c r="N2266" s="15">
        <v>13.0</v>
      </c>
      <c r="O2266" s="16"/>
      <c r="P2266" s="17">
        <v>42899.00711805555</v>
      </c>
      <c r="Q2266" s="13"/>
      <c r="R2266" s="10" t="s">
        <v>9710</v>
      </c>
      <c r="S2266" s="11" t="s">
        <v>9711</v>
      </c>
      <c r="T2266" s="13"/>
      <c r="U2266" s="18" t="str">
        <f>HYPERLINK("https://pbs.twimg.com/profile_images/1205530099082092544/7JzfQcVz.jpg","View")</f>
        <v>View</v>
      </c>
      <c r="V2266" s="13"/>
      <c r="W2266" s="13"/>
      <c r="X2266" s="13"/>
      <c r="Y2266" s="13"/>
      <c r="Z2266" s="13"/>
    </row>
    <row r="2267">
      <c r="A2267" s="8">
        <v>43848.09986111111</v>
      </c>
      <c r="B2267" s="9" t="str">
        <f>HYPERLINK("https://twitter.com/MapsofIndia","@MapsofIndia")</f>
        <v>@MapsofIndia</v>
      </c>
      <c r="C2267" s="10" t="s">
        <v>6384</v>
      </c>
      <c r="D2267" s="10" t="s">
        <v>9712</v>
      </c>
      <c r="E2267" s="9" t="str">
        <f>HYPERLINK("https://twitter.com/MapsofIndia/status/1218433792240582657","1218433792240582657")</f>
        <v>1218433792240582657</v>
      </c>
      <c r="F2267" s="11" t="s">
        <v>9713</v>
      </c>
      <c r="G2267" s="13"/>
      <c r="H2267" s="13"/>
      <c r="I2267" s="14">
        <v>0.0</v>
      </c>
      <c r="J2267" s="14">
        <v>0.0</v>
      </c>
      <c r="K2267" s="9" t="str">
        <f>HYPERLINK("https://mobile.twitter.com","Twitter Web App")</f>
        <v>Twitter Web App</v>
      </c>
      <c r="L2267" s="15">
        <v>3369.0</v>
      </c>
      <c r="M2267" s="15">
        <v>55.0</v>
      </c>
      <c r="N2267" s="15">
        <v>214.0</v>
      </c>
      <c r="O2267" s="16"/>
      <c r="P2267" s="17">
        <v>39799.18666666667</v>
      </c>
      <c r="Q2267" s="10" t="s">
        <v>35</v>
      </c>
      <c r="R2267" s="10" t="s">
        <v>6387</v>
      </c>
      <c r="S2267" s="11" t="s">
        <v>6388</v>
      </c>
      <c r="T2267" s="13"/>
      <c r="U2267" s="18" t="str">
        <f>HYPERLINK("https://pbs.twimg.com/profile_images/715353988/moi-icon.png","View")</f>
        <v>View</v>
      </c>
      <c r="V2267" s="13"/>
      <c r="W2267" s="13"/>
      <c r="X2267" s="13"/>
      <c r="Y2267" s="13"/>
      <c r="Z2267" s="13"/>
    </row>
    <row r="2268">
      <c r="A2268" s="8">
        <v>43848.09908564815</v>
      </c>
      <c r="B2268" s="9" t="str">
        <f>HYPERLINK("https://twitter.com/ShukuruAmos","@ShukuruAmos")</f>
        <v>@ShukuruAmos</v>
      </c>
      <c r="C2268" s="10" t="s">
        <v>9714</v>
      </c>
      <c r="D2268" s="10" t="s">
        <v>238</v>
      </c>
      <c r="E2268" s="9" t="str">
        <f>HYPERLINK("https://twitter.com/ShukuruAmos/status/1218433512849756160","1218433512849756160")</f>
        <v>1218433512849756160</v>
      </c>
      <c r="F2268" s="13"/>
      <c r="G2268" s="13"/>
      <c r="H2268" s="13"/>
      <c r="I2268" s="14">
        <v>0.0</v>
      </c>
      <c r="J2268" s="14">
        <v>1.0</v>
      </c>
      <c r="K2268" s="9" t="str">
        <f t="shared" ref="K2268:K2269" si="285">HYPERLINK("http://twitter.com/download/android","Twitter for Android")</f>
        <v>Twitter for Android</v>
      </c>
      <c r="L2268" s="15">
        <v>1969.0</v>
      </c>
      <c r="M2268" s="15">
        <v>2020.0</v>
      </c>
      <c r="N2268" s="15">
        <v>1.0</v>
      </c>
      <c r="O2268" s="16"/>
      <c r="P2268" s="17">
        <v>41522.4084375</v>
      </c>
      <c r="Q2268" s="10" t="s">
        <v>4811</v>
      </c>
      <c r="R2268" s="10" t="s">
        <v>9715</v>
      </c>
      <c r="S2268" s="11" t="s">
        <v>9716</v>
      </c>
      <c r="T2268" s="13"/>
      <c r="U2268" s="18" t="str">
        <f>HYPERLINK("https://pbs.twimg.com/profile_images/1185496052268441606/1erClI62.jpg","View")</f>
        <v>View</v>
      </c>
      <c r="V2268" s="13"/>
      <c r="W2268" s="13"/>
      <c r="X2268" s="13"/>
      <c r="Y2268" s="13"/>
      <c r="Z2268" s="13"/>
    </row>
    <row r="2269">
      <c r="A2269" s="8">
        <v>43848.09871527778</v>
      </c>
      <c r="B2269" s="9" t="str">
        <f>HYPERLINK("https://twitter.com/DrAudreyT","@DrAudreyT")</f>
        <v>@DrAudreyT</v>
      </c>
      <c r="C2269" s="10" t="s">
        <v>9717</v>
      </c>
      <c r="D2269" s="10" t="s">
        <v>9718</v>
      </c>
      <c r="E2269" s="9" t="str">
        <f>HYPERLINK("https://twitter.com/DrAudreyT/status/1218433377273032704","1218433377273032704")</f>
        <v>1218433377273032704</v>
      </c>
      <c r="F2269" s="11" t="s">
        <v>9719</v>
      </c>
      <c r="G2269" s="11" t="s">
        <v>9720</v>
      </c>
      <c r="H2269" s="13"/>
      <c r="I2269" s="14">
        <v>0.0</v>
      </c>
      <c r="J2269" s="14">
        <v>2.0</v>
      </c>
      <c r="K2269" s="9" t="str">
        <f t="shared" si="285"/>
        <v>Twitter for Android</v>
      </c>
      <c r="L2269" s="15">
        <v>1219.0</v>
      </c>
      <c r="M2269" s="15">
        <v>1202.0</v>
      </c>
      <c r="N2269" s="15">
        <v>89.0</v>
      </c>
      <c r="O2269" s="16"/>
      <c r="P2269" s="17">
        <v>41245.51116898148</v>
      </c>
      <c r="Q2269" s="10" t="s">
        <v>9721</v>
      </c>
      <c r="R2269" s="10" t="s">
        <v>9722</v>
      </c>
      <c r="S2269" s="11" t="s">
        <v>9723</v>
      </c>
      <c r="T2269" s="13"/>
      <c r="U2269" s="18" t="str">
        <f>HYPERLINK("https://pbs.twimg.com/profile_images/1133769483972161537/xK9jwqdd.jpg","View")</f>
        <v>View</v>
      </c>
      <c r="V2269" s="13"/>
      <c r="W2269" s="13"/>
      <c r="X2269" s="13"/>
      <c r="Y2269" s="13"/>
      <c r="Z2269" s="13"/>
    </row>
    <row r="2270">
      <c r="A2270" s="8">
        <v>43848.098645833335</v>
      </c>
      <c r="B2270" s="9" t="str">
        <f>HYPERLINK("https://twitter.com/cpkrohne","@cpkrohne")</f>
        <v>@cpkrohne</v>
      </c>
      <c r="C2270" s="10" t="s">
        <v>9724</v>
      </c>
      <c r="D2270" s="10" t="s">
        <v>9725</v>
      </c>
      <c r="E2270" s="9" t="str">
        <f>HYPERLINK("https://twitter.com/cpkrohne/status/1218433353046745088","1218433353046745088")</f>
        <v>1218433353046745088</v>
      </c>
      <c r="F2270" s="11" t="s">
        <v>9726</v>
      </c>
      <c r="G2270" s="13"/>
      <c r="H2270" s="13"/>
      <c r="I2270" s="14">
        <v>0.0</v>
      </c>
      <c r="J2270" s="14">
        <v>5.0</v>
      </c>
      <c r="K2270" s="9" t="str">
        <f>HYPERLINK("https://mobile.twitter.com","Twitter Web App")</f>
        <v>Twitter Web App</v>
      </c>
      <c r="L2270" s="15">
        <v>3305.0</v>
      </c>
      <c r="M2270" s="15">
        <v>2368.0</v>
      </c>
      <c r="N2270" s="15">
        <v>150.0</v>
      </c>
      <c r="O2270" s="16"/>
      <c r="P2270" s="17">
        <v>40399.49587962963</v>
      </c>
      <c r="Q2270" s="10" t="s">
        <v>9727</v>
      </c>
      <c r="R2270" s="10" t="s">
        <v>9728</v>
      </c>
      <c r="S2270" s="11" t="s">
        <v>9729</v>
      </c>
      <c r="T2270" s="13"/>
      <c r="U2270" s="18" t="str">
        <f>HYPERLINK("https://pbs.twimg.com/profile_images/1199442483844923394/DYSkiThu.jpg","View")</f>
        <v>View</v>
      </c>
      <c r="V2270" s="13"/>
      <c r="W2270" s="13"/>
      <c r="X2270" s="13"/>
      <c r="Y2270" s="13"/>
      <c r="Z2270" s="13"/>
    </row>
    <row r="2271">
      <c r="A2271" s="8">
        <v>43848.098379629635</v>
      </c>
      <c r="B2271" s="9" t="str">
        <f>HYPERLINK("https://twitter.com/chrisoldcorn","@chrisoldcorn")</f>
        <v>@chrisoldcorn</v>
      </c>
      <c r="C2271" s="10" t="s">
        <v>1232</v>
      </c>
      <c r="D2271" s="10" t="s">
        <v>1233</v>
      </c>
      <c r="E2271" s="9" t="str">
        <f>HYPERLINK("https://twitter.com/chrisoldcorn/status/1218433257697660928","1218433257697660928")</f>
        <v>1218433257697660928</v>
      </c>
      <c r="F2271" s="11" t="s">
        <v>1234</v>
      </c>
      <c r="G2271" s="13"/>
      <c r="H2271" s="13"/>
      <c r="I2271" s="14">
        <v>0.0</v>
      </c>
      <c r="J2271" s="14">
        <v>1.0</v>
      </c>
      <c r="K2271" s="9" t="str">
        <f>HYPERLINK("https://www.smedian.com","Penname")</f>
        <v>Penname</v>
      </c>
      <c r="L2271" s="15">
        <v>3448.0</v>
      </c>
      <c r="M2271" s="15">
        <v>4798.0</v>
      </c>
      <c r="N2271" s="15">
        <v>200.0</v>
      </c>
      <c r="O2271" s="16"/>
      <c r="P2271" s="17">
        <v>39346.584872685184</v>
      </c>
      <c r="Q2271" s="13"/>
      <c r="R2271" s="10" t="s">
        <v>1235</v>
      </c>
      <c r="S2271" s="11" t="s">
        <v>1236</v>
      </c>
      <c r="T2271" s="13"/>
      <c r="U2271" s="18" t="str">
        <f>HYPERLINK("https://pbs.twimg.com/profile_images/1158043491806732288/9JY2UFqV.jpg","View")</f>
        <v>View</v>
      </c>
      <c r="V2271" s="13"/>
      <c r="W2271" s="13"/>
      <c r="X2271" s="13"/>
      <c r="Y2271" s="13"/>
      <c r="Z2271" s="13"/>
    </row>
    <row r="2272">
      <c r="A2272" s="8">
        <v>43848.098275462966</v>
      </c>
      <c r="B2272" s="9" t="str">
        <f>HYPERLINK("https://twitter.com/RimpaSarkarPsy","@RimpaSarkarPsy")</f>
        <v>@RimpaSarkarPsy</v>
      </c>
      <c r="C2272" s="10" t="s">
        <v>9730</v>
      </c>
      <c r="D2272" s="10" t="s">
        <v>9731</v>
      </c>
      <c r="E2272" s="9" t="str">
        <f>HYPERLINK("https://twitter.com/RimpaSarkarPsy/status/1218433220703748096","1218433220703748096")</f>
        <v>1218433220703748096</v>
      </c>
      <c r="F2272" s="13"/>
      <c r="G2272" s="11" t="s">
        <v>9732</v>
      </c>
      <c r="H2272" s="13"/>
      <c r="I2272" s="14">
        <v>0.0</v>
      </c>
      <c r="J2272" s="14">
        <v>0.0</v>
      </c>
      <c r="K2272" s="9" t="str">
        <f>HYPERLINK("http://twitter.com/download/android","Twitter for Android")</f>
        <v>Twitter for Android</v>
      </c>
      <c r="L2272" s="15">
        <v>145.0</v>
      </c>
      <c r="M2272" s="15">
        <v>73.0</v>
      </c>
      <c r="N2272" s="15">
        <v>2.0</v>
      </c>
      <c r="O2272" s="16"/>
      <c r="P2272" s="17">
        <v>40348.38155092593</v>
      </c>
      <c r="Q2272" s="10" t="s">
        <v>51</v>
      </c>
      <c r="R2272" s="10" t="s">
        <v>9733</v>
      </c>
      <c r="S2272" s="11" t="s">
        <v>9734</v>
      </c>
      <c r="T2272" s="13"/>
      <c r="U2272" s="18" t="str">
        <f>HYPERLINK("https://pbs.twimg.com/profile_images/996108064007667712/CFbIdhws.jpg","View")</f>
        <v>View</v>
      </c>
      <c r="V2272" s="13"/>
      <c r="W2272" s="13"/>
      <c r="X2272" s="13"/>
      <c r="Y2272" s="13"/>
      <c r="Z2272" s="13"/>
    </row>
    <row r="2273">
      <c r="A2273" s="8">
        <v>43848.09826388889</v>
      </c>
      <c r="B2273" s="9" t="str">
        <f>HYPERLINK("https://twitter.com/chrisabojei","@chrisabojei")</f>
        <v>@chrisabojei</v>
      </c>
      <c r="C2273" s="10" t="s">
        <v>9614</v>
      </c>
      <c r="D2273" s="10" t="s">
        <v>9735</v>
      </c>
      <c r="E2273" s="9" t="str">
        <f>HYPERLINK("https://twitter.com/chrisabojei/status/1218433214986899456","1218433214986899456")</f>
        <v>1218433214986899456</v>
      </c>
      <c r="F2273" s="11" t="s">
        <v>9736</v>
      </c>
      <c r="G2273" s="13"/>
      <c r="H2273" s="13"/>
      <c r="I2273" s="14">
        <v>0.0</v>
      </c>
      <c r="J2273" s="14">
        <v>0.0</v>
      </c>
      <c r="K2273" s="9" t="str">
        <f>HYPERLINK("http://instagram.com","Instagram")</f>
        <v>Instagram</v>
      </c>
      <c r="L2273" s="15">
        <v>85.0</v>
      </c>
      <c r="M2273" s="15">
        <v>165.0</v>
      </c>
      <c r="N2273" s="15">
        <v>0.0</v>
      </c>
      <c r="O2273" s="16"/>
      <c r="P2273" s="17">
        <v>41607.44189814815</v>
      </c>
      <c r="Q2273" s="10" t="s">
        <v>2557</v>
      </c>
      <c r="R2273" s="10" t="s">
        <v>9617</v>
      </c>
      <c r="S2273" s="11" t="s">
        <v>9618</v>
      </c>
      <c r="T2273" s="13"/>
      <c r="U2273" s="18" t="str">
        <f>HYPERLINK("https://pbs.twimg.com/profile_images/1189945568577101825/Rg00pr63.jpg","View")</f>
        <v>View</v>
      </c>
      <c r="V2273" s="13"/>
      <c r="W2273" s="13"/>
      <c r="X2273" s="13"/>
      <c r="Y2273" s="13"/>
      <c r="Z2273" s="13"/>
    </row>
    <row r="2274">
      <c r="A2274" s="8">
        <v>43848.09788194444</v>
      </c>
      <c r="B2274" s="9" t="str">
        <f>HYPERLINK("https://twitter.com/aharug","@aharug")</f>
        <v>@aharug</v>
      </c>
      <c r="C2274" s="10" t="s">
        <v>9737</v>
      </c>
      <c r="D2274" s="10" t="s">
        <v>9738</v>
      </c>
      <c r="E2274" s="9" t="str">
        <f>HYPERLINK("https://twitter.com/aharug/status/1218433075446595592","1218433075446595592")</f>
        <v>1218433075446595592</v>
      </c>
      <c r="F2274" s="13"/>
      <c r="G2274" s="11" t="s">
        <v>9739</v>
      </c>
      <c r="H2274" s="13"/>
      <c r="I2274" s="14">
        <v>0.0</v>
      </c>
      <c r="J2274" s="14">
        <v>1.0</v>
      </c>
      <c r="K2274" s="9" t="str">
        <f>HYPERLINK("http://twitter.com/download/android","Twitter for Android")</f>
        <v>Twitter for Android</v>
      </c>
      <c r="L2274" s="15">
        <v>524.0</v>
      </c>
      <c r="M2274" s="15">
        <v>724.0</v>
      </c>
      <c r="N2274" s="15">
        <v>4.0</v>
      </c>
      <c r="O2274" s="16"/>
      <c r="P2274" s="17">
        <v>43161.66263888888</v>
      </c>
      <c r="Q2274" s="10" t="s">
        <v>9740</v>
      </c>
      <c r="R2274" s="10" t="s">
        <v>9741</v>
      </c>
      <c r="S2274" s="11" t="s">
        <v>9742</v>
      </c>
      <c r="T2274" s="13"/>
      <c r="U2274" s="18" t="str">
        <f>HYPERLINK("https://pbs.twimg.com/profile_images/969854581248323585/E_8dvMJM.jpg","View")</f>
        <v>View</v>
      </c>
      <c r="V2274" s="13"/>
      <c r="W2274" s="13"/>
      <c r="X2274" s="13"/>
      <c r="Y2274" s="13"/>
      <c r="Z2274" s="13"/>
    </row>
    <row r="2275">
      <c r="A2275" s="8">
        <v>43848.09778935185</v>
      </c>
      <c r="B2275" s="9" t="str">
        <f>HYPERLINK("https://twitter.com/CrazyAFpodcast","@CrazyAFpodcast")</f>
        <v>@CrazyAFpodcast</v>
      </c>
      <c r="C2275" s="10" t="s">
        <v>9743</v>
      </c>
      <c r="D2275" s="10" t="s">
        <v>9744</v>
      </c>
      <c r="E2275" s="9" t="str">
        <f>HYPERLINK("https://twitter.com/CrazyAFpodcast/status/1218433042613555200","1218433042613555200")</f>
        <v>1218433042613555200</v>
      </c>
      <c r="F2275" s="13"/>
      <c r="G2275" s="13"/>
      <c r="H2275" s="13"/>
      <c r="I2275" s="14">
        <v>0.0</v>
      </c>
      <c r="J2275" s="14">
        <v>3.0</v>
      </c>
      <c r="K2275" s="9" t="str">
        <f>HYPERLINK("http://twitter.com/download/iphone","Twitter for iPhone")</f>
        <v>Twitter for iPhone</v>
      </c>
      <c r="L2275" s="15">
        <v>7.0</v>
      </c>
      <c r="M2275" s="15">
        <v>5.0</v>
      </c>
      <c r="N2275" s="15">
        <v>0.0</v>
      </c>
      <c r="O2275" s="16"/>
      <c r="P2275" s="17">
        <v>43216.779432870375</v>
      </c>
      <c r="Q2275" s="13"/>
      <c r="R2275" s="10" t="s">
        <v>9745</v>
      </c>
      <c r="S2275" s="13"/>
      <c r="T2275" s="13"/>
      <c r="U2275" s="18" t="str">
        <f>HYPERLINK("https://pbs.twimg.com/profile_images/1049670234670551041/H3zQGeKa.jpg","View")</f>
        <v>View</v>
      </c>
      <c r="V2275" s="13"/>
      <c r="W2275" s="13"/>
      <c r="X2275" s="13"/>
      <c r="Y2275" s="13"/>
      <c r="Z2275" s="13"/>
    </row>
    <row r="2276">
      <c r="A2276" s="8">
        <v>43848.097453703704</v>
      </c>
      <c r="B2276" s="9" t="str">
        <f>HYPERLINK("https://twitter.com/Teen_Whisperer","@Teen_Whisperer")</f>
        <v>@Teen_Whisperer</v>
      </c>
      <c r="C2276" s="10" t="s">
        <v>9746</v>
      </c>
      <c r="D2276" s="10" t="s">
        <v>9747</v>
      </c>
      <c r="E2276" s="9" t="str">
        <f>HYPERLINK("https://twitter.com/Teen_Whisperer/status/1218432923386482689","1218432923386482689")</f>
        <v>1218432923386482689</v>
      </c>
      <c r="F2276" s="11" t="s">
        <v>9748</v>
      </c>
      <c r="G2276" s="13"/>
      <c r="H2276" s="13"/>
      <c r="I2276" s="14">
        <v>0.0</v>
      </c>
      <c r="J2276" s="14">
        <v>1.0</v>
      </c>
      <c r="K2276" s="9" t="str">
        <f>HYPERLINK("https://recurpost.com","RecurPost - Social Scheduler App")</f>
        <v>RecurPost - Social Scheduler App</v>
      </c>
      <c r="L2276" s="15">
        <v>5560.0</v>
      </c>
      <c r="M2276" s="15">
        <v>4785.0</v>
      </c>
      <c r="N2276" s="15">
        <v>128.0</v>
      </c>
      <c r="O2276" s="16"/>
      <c r="P2276" s="17">
        <v>40752.30619212963</v>
      </c>
      <c r="Q2276" s="10" t="s">
        <v>9749</v>
      </c>
      <c r="R2276" s="10" t="s">
        <v>9750</v>
      </c>
      <c r="S2276" s="11" t="s">
        <v>9751</v>
      </c>
      <c r="T2276" s="13"/>
      <c r="U2276" s="18" t="str">
        <f>HYPERLINK("https://pbs.twimg.com/profile_images/776044383993008128/B2vnURoE.jpg","View")</f>
        <v>View</v>
      </c>
      <c r="V2276" s="13"/>
      <c r="W2276" s="13"/>
      <c r="X2276" s="13"/>
      <c r="Y2276" s="13"/>
      <c r="Z2276" s="13"/>
    </row>
    <row r="2277">
      <c r="A2277" s="8">
        <v>43848.09694444445</v>
      </c>
      <c r="B2277" s="9" t="str">
        <f>HYPERLINK("https://twitter.com/RaeAngel07","@RaeAngel07")</f>
        <v>@RaeAngel07</v>
      </c>
      <c r="C2277" s="10" t="s">
        <v>9752</v>
      </c>
      <c r="D2277" s="10" t="s">
        <v>9753</v>
      </c>
      <c r="E2277" s="9" t="str">
        <f>HYPERLINK("https://twitter.com/RaeAngel07/status/1218432738006589441","1218432738006589441")</f>
        <v>1218432738006589441</v>
      </c>
      <c r="F2277" s="13"/>
      <c r="G2277" s="13"/>
      <c r="H2277" s="13"/>
      <c r="I2277" s="14">
        <v>1.0</v>
      </c>
      <c r="J2277" s="14">
        <v>0.0</v>
      </c>
      <c r="K2277" s="9" t="str">
        <f>HYPERLINK("http://twitter.com/download/android","Twitter for Android")</f>
        <v>Twitter for Android</v>
      </c>
      <c r="L2277" s="15">
        <v>178.0</v>
      </c>
      <c r="M2277" s="15">
        <v>498.0</v>
      </c>
      <c r="N2277" s="15">
        <v>1.0</v>
      </c>
      <c r="O2277" s="16"/>
      <c r="P2277" s="17">
        <v>40609.2556712963</v>
      </c>
      <c r="Q2277" s="10" t="s">
        <v>9754</v>
      </c>
      <c r="R2277" s="10" t="s">
        <v>9755</v>
      </c>
      <c r="S2277" s="11" t="s">
        <v>9756</v>
      </c>
      <c r="T2277" s="13"/>
      <c r="U2277" s="18" t="str">
        <f>HYPERLINK("https://pbs.twimg.com/profile_images/1125432695314501634/eIGgIURy.jpg","View")</f>
        <v>View</v>
      </c>
      <c r="V2277" s="13"/>
      <c r="W2277" s="13"/>
      <c r="X2277" s="13"/>
      <c r="Y2277" s="13"/>
      <c r="Z2277" s="13"/>
    </row>
    <row r="2278">
      <c r="A2278" s="8">
        <v>43848.09664351852</v>
      </c>
      <c r="B2278" s="9" t="str">
        <f>HYPERLINK("https://twitter.com/SomewhereSom","@SomewhereSom")</f>
        <v>@SomewhereSom</v>
      </c>
      <c r="C2278" s="10" t="s">
        <v>9757</v>
      </c>
      <c r="D2278" s="10" t="s">
        <v>9758</v>
      </c>
      <c r="E2278" s="9" t="str">
        <f>HYPERLINK("https://twitter.com/SomewhereSom/status/1218432627394469888","1218432627394469888")</f>
        <v>1218432627394469888</v>
      </c>
      <c r="F2278" s="10" t="s">
        <v>9759</v>
      </c>
      <c r="G2278" s="11" t="s">
        <v>9760</v>
      </c>
      <c r="H2278" s="13"/>
      <c r="I2278" s="14">
        <v>1.0</v>
      </c>
      <c r="J2278" s="14">
        <v>3.0</v>
      </c>
      <c r="K2278" s="9" t="str">
        <f t="shared" ref="K2278:K2279" si="286">HYPERLINK("http://twitter.com/download/iphone","Twitter for iPhone")</f>
        <v>Twitter for iPhone</v>
      </c>
      <c r="L2278" s="15">
        <v>170.0</v>
      </c>
      <c r="M2278" s="15">
        <v>449.0</v>
      </c>
      <c r="N2278" s="15">
        <v>2.0</v>
      </c>
      <c r="O2278" s="16"/>
      <c r="P2278" s="17">
        <v>41338.664085648146</v>
      </c>
      <c r="Q2278" s="10" t="s">
        <v>9761</v>
      </c>
      <c r="R2278" s="10" t="s">
        <v>9762</v>
      </c>
      <c r="S2278" s="11" t="s">
        <v>9763</v>
      </c>
      <c r="T2278" s="13"/>
      <c r="U2278" s="18" t="str">
        <f>HYPERLINK("https://pbs.twimg.com/profile_images/1124941513912397824/VmVMIYhV.jpg","View")</f>
        <v>View</v>
      </c>
      <c r="V2278" s="13"/>
      <c r="W2278" s="13"/>
      <c r="X2278" s="13"/>
      <c r="Y2278" s="13"/>
      <c r="Z2278" s="13"/>
    </row>
    <row r="2279">
      <c r="A2279" s="8">
        <v>43848.094571759255</v>
      </c>
      <c r="B2279" s="9" t="str">
        <f>HYPERLINK("https://twitter.com/RisinBlueSun","@RisinBlueSun")</f>
        <v>@RisinBlueSun</v>
      </c>
      <c r="C2279" s="10" t="s">
        <v>9624</v>
      </c>
      <c r="D2279" s="10" t="s">
        <v>9764</v>
      </c>
      <c r="E2279" s="9" t="str">
        <f>HYPERLINK("https://twitter.com/RisinBlueSun/status/1218431876144205824","1218431876144205824")</f>
        <v>1218431876144205824</v>
      </c>
      <c r="F2279" s="13"/>
      <c r="G2279" s="13"/>
      <c r="H2279" s="13"/>
      <c r="I2279" s="14">
        <v>0.0</v>
      </c>
      <c r="J2279" s="14">
        <v>2.0</v>
      </c>
      <c r="K2279" s="9" t="str">
        <f t="shared" si="286"/>
        <v>Twitter for iPhone</v>
      </c>
      <c r="L2279" s="15">
        <v>102.0</v>
      </c>
      <c r="M2279" s="15">
        <v>384.0</v>
      </c>
      <c r="N2279" s="15">
        <v>2.0</v>
      </c>
      <c r="O2279" s="16"/>
      <c r="P2279" s="17">
        <v>43818.12222222222</v>
      </c>
      <c r="Q2279" s="10" t="s">
        <v>9626</v>
      </c>
      <c r="R2279" s="10" t="s">
        <v>9627</v>
      </c>
      <c r="S2279" s="13"/>
      <c r="T2279" s="13"/>
      <c r="U2279" s="18" t="str">
        <f>HYPERLINK("https://pbs.twimg.com/profile_images/1207570462538158081/5-tQ4KWv.jpg","View")</f>
        <v>View</v>
      </c>
      <c r="V2279" s="13"/>
      <c r="W2279" s="13"/>
      <c r="X2279" s="13"/>
      <c r="Y2279" s="13"/>
      <c r="Z2279" s="13"/>
    </row>
    <row r="2280">
      <c r="A2280" s="8">
        <v>43848.09422453704</v>
      </c>
      <c r="B2280" s="9" t="str">
        <f>HYPERLINK("https://twitter.com/LifeDestroyers1","@LifeDestroyers1")</f>
        <v>@LifeDestroyers1</v>
      </c>
      <c r="C2280" s="10" t="s">
        <v>9765</v>
      </c>
      <c r="D2280" s="10" t="s">
        <v>9766</v>
      </c>
      <c r="E2280" s="9" t="str">
        <f>HYPERLINK("https://twitter.com/LifeDestroyers1/status/1218431753238515712","1218431753238515712")</f>
        <v>1218431753238515712</v>
      </c>
      <c r="F2280" s="13"/>
      <c r="G2280" s="11" t="s">
        <v>9767</v>
      </c>
      <c r="H2280" s="13"/>
      <c r="I2280" s="14">
        <v>0.0</v>
      </c>
      <c r="J2280" s="14">
        <v>0.0</v>
      </c>
      <c r="K2280" s="9" t="str">
        <f>HYPERLINK("http://twitter.com/download/android","Twitter for Android")</f>
        <v>Twitter for Android</v>
      </c>
      <c r="L2280" s="15">
        <v>0.0</v>
      </c>
      <c r="M2280" s="15">
        <v>0.0</v>
      </c>
      <c r="N2280" s="15">
        <v>0.0</v>
      </c>
      <c r="O2280" s="16"/>
      <c r="P2280" s="17">
        <v>43847.61372685185</v>
      </c>
      <c r="Q2280" s="13"/>
      <c r="R2280" s="13"/>
      <c r="S2280" s="13"/>
      <c r="T2280" s="13"/>
      <c r="U2280" s="21" t="s">
        <v>292</v>
      </c>
      <c r="V2280" s="13"/>
      <c r="W2280" s="13"/>
      <c r="X2280" s="13"/>
      <c r="Y2280" s="13"/>
      <c r="Z2280" s="13"/>
    </row>
    <row r="2281">
      <c r="A2281" s="8">
        <v>43848.093877314815</v>
      </c>
      <c r="B2281" s="9" t="str">
        <f>HYPERLINK("https://twitter.com/SparkleClass","@SparkleClass")</f>
        <v>@SparkleClass</v>
      </c>
      <c r="C2281" s="10" t="s">
        <v>9768</v>
      </c>
      <c r="D2281" s="10" t="s">
        <v>9769</v>
      </c>
      <c r="E2281" s="9" t="str">
        <f>HYPERLINK("https://twitter.com/SparkleClass/status/1218431625484218373","1218431625484218373")</f>
        <v>1218431625484218373</v>
      </c>
      <c r="F2281" s="11" t="s">
        <v>9770</v>
      </c>
      <c r="G2281" s="13"/>
      <c r="H2281" s="13"/>
      <c r="I2281" s="14">
        <v>2.0</v>
      </c>
      <c r="J2281" s="14">
        <v>11.0</v>
      </c>
      <c r="K2281" s="9" t="str">
        <f>HYPERLINK("https://mobile.twitter.com","Twitter Web App")</f>
        <v>Twitter Web App</v>
      </c>
      <c r="L2281" s="15">
        <v>247.0</v>
      </c>
      <c r="M2281" s="15">
        <v>248.0</v>
      </c>
      <c r="N2281" s="15">
        <v>1.0</v>
      </c>
      <c r="O2281" s="16"/>
      <c r="P2281" s="17">
        <v>43048.76359953704</v>
      </c>
      <c r="Q2281" s="10" t="s">
        <v>3408</v>
      </c>
      <c r="R2281" s="10" t="s">
        <v>9771</v>
      </c>
      <c r="S2281" s="11" t="s">
        <v>9772</v>
      </c>
      <c r="T2281" s="13"/>
      <c r="U2281" s="18" t="str">
        <f>HYPERLINK("https://pbs.twimg.com/profile_images/1067450771208380416/s9tl2WyF.jpg","View")</f>
        <v>View</v>
      </c>
      <c r="V2281" s="13"/>
      <c r="W2281" s="13"/>
      <c r="X2281" s="13"/>
      <c r="Y2281" s="13"/>
      <c r="Z2281" s="13"/>
    </row>
    <row r="2282">
      <c r="A2282" s="8">
        <v>43848.09354166666</v>
      </c>
      <c r="B2282" s="9" t="str">
        <f>HYPERLINK("https://twitter.com/CorruptNSW","@CorruptNSW")</f>
        <v>@CorruptNSW</v>
      </c>
      <c r="C2282" s="10" t="s">
        <v>9773</v>
      </c>
      <c r="D2282" s="10" t="s">
        <v>9774</v>
      </c>
      <c r="E2282" s="9" t="str">
        <f>HYPERLINK("https://twitter.com/CorruptNSW/status/1218431503450816512","1218431503450816512")</f>
        <v>1218431503450816512</v>
      </c>
      <c r="F2282" s="11" t="s">
        <v>9775</v>
      </c>
      <c r="G2282" s="13"/>
      <c r="H2282" s="13"/>
      <c r="I2282" s="14">
        <v>1.0</v>
      </c>
      <c r="J2282" s="14">
        <v>3.0</v>
      </c>
      <c r="K2282" s="9" t="str">
        <f t="shared" ref="K2282:K2283" si="287">HYPERLINK("http://twitter.com/download/iphone","Twitter for iPhone")</f>
        <v>Twitter for iPhone</v>
      </c>
      <c r="L2282" s="15">
        <v>5159.0</v>
      </c>
      <c r="M2282" s="15">
        <v>5674.0</v>
      </c>
      <c r="N2282" s="15">
        <v>556.0</v>
      </c>
      <c r="O2282" s="16"/>
      <c r="P2282" s="17">
        <v>40350.71765046296</v>
      </c>
      <c r="Q2282" s="10" t="s">
        <v>9776</v>
      </c>
      <c r="R2282" s="10" t="s">
        <v>9777</v>
      </c>
      <c r="S2282" s="13"/>
      <c r="T2282" s="13"/>
      <c r="U2282" s="18" t="str">
        <f>HYPERLINK("https://pbs.twimg.com/profile_images/1394974187/DevilBat.gif","View")</f>
        <v>View</v>
      </c>
      <c r="V2282" s="13"/>
      <c r="W2282" s="13"/>
      <c r="X2282" s="13"/>
      <c r="Y2282" s="13"/>
      <c r="Z2282" s="13"/>
    </row>
    <row r="2283">
      <c r="A2283" s="8">
        <v>43848.09291666667</v>
      </c>
      <c r="B2283" s="9" t="str">
        <f>HYPERLINK("https://twitter.com/avani_higgins","@avani_higgins")</f>
        <v>@avani_higgins</v>
      </c>
      <c r="C2283" s="10" t="s">
        <v>9778</v>
      </c>
      <c r="D2283" s="10" t="s">
        <v>9779</v>
      </c>
      <c r="E2283" s="9" t="str">
        <f>HYPERLINK("https://twitter.com/avani_higgins/status/1218431276056707072","1218431276056707072")</f>
        <v>1218431276056707072</v>
      </c>
      <c r="F2283" s="13"/>
      <c r="G2283" s="13"/>
      <c r="H2283" s="13"/>
      <c r="I2283" s="14">
        <v>2.0</v>
      </c>
      <c r="J2283" s="14">
        <v>9.0</v>
      </c>
      <c r="K2283" s="9" t="str">
        <f t="shared" si="287"/>
        <v>Twitter for iPhone</v>
      </c>
      <c r="L2283" s="15">
        <v>847.0</v>
      </c>
      <c r="M2283" s="15">
        <v>471.0</v>
      </c>
      <c r="N2283" s="15">
        <v>14.0</v>
      </c>
      <c r="O2283" s="16"/>
      <c r="P2283" s="17">
        <v>41146.19663194445</v>
      </c>
      <c r="Q2283" s="10" t="s">
        <v>9780</v>
      </c>
      <c r="R2283" s="10" t="s">
        <v>9781</v>
      </c>
      <c r="S2283" s="13"/>
      <c r="T2283" s="13"/>
      <c r="U2283" s="18" t="str">
        <f>HYPERLINK("https://pbs.twimg.com/profile_images/496567558661996544/uUnQ_oIJ.jpeg","View")</f>
        <v>View</v>
      </c>
      <c r="V2283" s="13"/>
      <c r="W2283" s="13"/>
      <c r="X2283" s="13"/>
      <c r="Y2283" s="13"/>
      <c r="Z2283" s="13"/>
    </row>
    <row r="2284">
      <c r="A2284" s="8">
        <v>43848.092002314814</v>
      </c>
      <c r="B2284" s="9" t="str">
        <f>HYPERLINK("https://twitter.com/thoughtbox_ed","@thoughtbox_ed")</f>
        <v>@thoughtbox_ed</v>
      </c>
      <c r="C2284" s="10" t="s">
        <v>9782</v>
      </c>
      <c r="D2284" s="10" t="s">
        <v>9783</v>
      </c>
      <c r="E2284" s="9" t="str">
        <f>HYPERLINK("https://twitter.com/thoughtbox_ed/status/1218430945537163264","1218430945537163264")</f>
        <v>1218430945537163264</v>
      </c>
      <c r="F2284" s="11" t="s">
        <v>9784</v>
      </c>
      <c r="G2284" s="11" t="s">
        <v>9785</v>
      </c>
      <c r="H2284" s="13"/>
      <c r="I2284" s="14">
        <v>7.0</v>
      </c>
      <c r="J2284" s="14">
        <v>10.0</v>
      </c>
      <c r="K2284" s="9" t="str">
        <f t="shared" ref="K2284:K2285" si="288">HYPERLINK("http://twitter.com/download/android","Twitter for Android")</f>
        <v>Twitter for Android</v>
      </c>
      <c r="L2284" s="15">
        <v>211.0</v>
      </c>
      <c r="M2284" s="15">
        <v>713.0</v>
      </c>
      <c r="N2284" s="15">
        <v>13.0</v>
      </c>
      <c r="O2284" s="16"/>
      <c r="P2284" s="17">
        <v>43571.645104166666</v>
      </c>
      <c r="Q2284" s="10" t="s">
        <v>9786</v>
      </c>
      <c r="R2284" s="10" t="s">
        <v>9787</v>
      </c>
      <c r="S2284" s="11" t="s">
        <v>9788</v>
      </c>
      <c r="T2284" s="13"/>
      <c r="U2284" s="18" t="str">
        <f>HYPERLINK("https://pbs.twimg.com/profile_images/1218144399953211392/2ZUfvxdN.jpg","View")</f>
        <v>View</v>
      </c>
      <c r="V2284" s="13"/>
      <c r="W2284" s="13"/>
      <c r="X2284" s="13"/>
      <c r="Y2284" s="13"/>
      <c r="Z2284" s="13"/>
    </row>
    <row r="2285">
      <c r="A2285" s="8">
        <v>43848.091840277775</v>
      </c>
      <c r="B2285" s="9" t="str">
        <f>HYPERLINK("https://twitter.com/DepressionMuse","@DepressionMuse")</f>
        <v>@DepressionMuse</v>
      </c>
      <c r="C2285" s="10" t="s">
        <v>9637</v>
      </c>
      <c r="D2285" s="10" t="s">
        <v>9789</v>
      </c>
      <c r="E2285" s="9" t="str">
        <f>HYPERLINK("https://twitter.com/DepressionMuse/status/1218430887194324992","1218430887194324992")</f>
        <v>1218430887194324992</v>
      </c>
      <c r="F2285" s="13"/>
      <c r="G2285" s="11" t="s">
        <v>9790</v>
      </c>
      <c r="H2285" s="13"/>
      <c r="I2285" s="14">
        <v>10.0</v>
      </c>
      <c r="J2285" s="14">
        <v>47.0</v>
      </c>
      <c r="K2285" s="9" t="str">
        <f t="shared" si="288"/>
        <v>Twitter for Android</v>
      </c>
      <c r="L2285" s="15">
        <v>830.0</v>
      </c>
      <c r="M2285" s="15">
        <v>553.0</v>
      </c>
      <c r="N2285" s="15">
        <v>5.0</v>
      </c>
      <c r="O2285" s="16"/>
      <c r="P2285" s="17">
        <v>42474.00733796296</v>
      </c>
      <c r="Q2285" s="10" t="s">
        <v>171</v>
      </c>
      <c r="R2285" s="10" t="s">
        <v>9639</v>
      </c>
      <c r="S2285" s="11" t="s">
        <v>9640</v>
      </c>
      <c r="T2285" s="13"/>
      <c r="U2285" s="18" t="str">
        <f>HYPERLINK("https://pbs.twimg.com/profile_images/1000218463527292928/Vxcf3ztY.jpg","View")</f>
        <v>View</v>
      </c>
      <c r="V2285" s="13"/>
      <c r="W2285" s="13"/>
      <c r="X2285" s="13"/>
      <c r="Y2285" s="13"/>
      <c r="Z2285" s="13"/>
    </row>
    <row r="2286">
      <c r="A2286" s="8">
        <v>43848.09181712963</v>
      </c>
      <c r="B2286" s="9" t="str">
        <f>HYPERLINK("https://twitter.com/SocietyOfClay","@SocietyOfClay")</f>
        <v>@SocietyOfClay</v>
      </c>
      <c r="C2286" s="10" t="s">
        <v>9791</v>
      </c>
      <c r="D2286" s="10" t="s">
        <v>9792</v>
      </c>
      <c r="E2286" s="9" t="str">
        <f>HYPERLINK("https://twitter.com/SocietyOfClay/status/1218430879267205120","1218430879267205120")</f>
        <v>1218430879267205120</v>
      </c>
      <c r="F2286" s="11" t="s">
        <v>9793</v>
      </c>
      <c r="G2286" s="13"/>
      <c r="H2286" s="13"/>
      <c r="I2286" s="14">
        <v>1.0</v>
      </c>
      <c r="J2286" s="14">
        <v>0.0</v>
      </c>
      <c r="K2286" s="9" t="str">
        <f>HYPERLINK("https://mobile.twitter.com","Twitter Web App")</f>
        <v>Twitter Web App</v>
      </c>
      <c r="L2286" s="15">
        <v>1088.0</v>
      </c>
      <c r="M2286" s="15">
        <v>1128.0</v>
      </c>
      <c r="N2286" s="15">
        <v>3.0</v>
      </c>
      <c r="O2286" s="16"/>
      <c r="P2286" s="17">
        <v>41105.90824074074</v>
      </c>
      <c r="Q2286" s="13"/>
      <c r="R2286" s="10" t="s">
        <v>9794</v>
      </c>
      <c r="S2286" s="13"/>
      <c r="T2286" s="13"/>
      <c r="U2286" s="18" t="str">
        <f>HYPERLINK("https://pbs.twimg.com/profile_images/1157099459827814401/W2_PkxwQ.jpg","View")</f>
        <v>View</v>
      </c>
      <c r="V2286" s="13"/>
      <c r="W2286" s="13"/>
      <c r="X2286" s="13"/>
      <c r="Y2286" s="13"/>
      <c r="Z2286" s="13"/>
    </row>
    <row r="2287">
      <c r="A2287" s="8">
        <v>43848.09155092592</v>
      </c>
      <c r="B2287" s="9" t="str">
        <f>HYPERLINK("https://twitter.com/womensbrainpro","@womensbrainpro")</f>
        <v>@womensbrainpro</v>
      </c>
      <c r="C2287" s="10" t="s">
        <v>7011</v>
      </c>
      <c r="D2287" s="10" t="s">
        <v>9795</v>
      </c>
      <c r="E2287" s="9" t="str">
        <f>HYPERLINK("https://twitter.com/womensbrainpro/status/1218430781300838400","1218430781300838400")</f>
        <v>1218430781300838400</v>
      </c>
      <c r="F2287" s="11" t="s">
        <v>9796</v>
      </c>
      <c r="G2287" s="13"/>
      <c r="H2287" s="13"/>
      <c r="I2287" s="14">
        <v>2.0</v>
      </c>
      <c r="J2287" s="14">
        <v>4.0</v>
      </c>
      <c r="K2287" s="9" t="str">
        <f>HYPERLINK("http://twitter.com/download/iphone","Twitter for iPhone")</f>
        <v>Twitter for iPhone</v>
      </c>
      <c r="L2287" s="15">
        <v>4136.0</v>
      </c>
      <c r="M2287" s="15">
        <v>5000.0</v>
      </c>
      <c r="N2287" s="15">
        <v>64.0</v>
      </c>
      <c r="O2287" s="16"/>
      <c r="P2287" s="17">
        <v>42779.67152777778</v>
      </c>
      <c r="Q2287" s="10" t="s">
        <v>7014</v>
      </c>
      <c r="R2287" s="10" t="s">
        <v>7015</v>
      </c>
      <c r="S2287" s="11" t="s">
        <v>7016</v>
      </c>
      <c r="T2287" s="13"/>
      <c r="U2287" s="18" t="str">
        <f>HYPERLINK("https://pbs.twimg.com/profile_images/831249224557875200/6sL7dKBO.jpg","View")</f>
        <v>View</v>
      </c>
      <c r="V2287" s="13"/>
      <c r="W2287" s="13"/>
      <c r="X2287" s="13"/>
      <c r="Y2287" s="13"/>
      <c r="Z2287" s="13"/>
    </row>
    <row r="2288">
      <c r="A2288" s="8">
        <v>43848.091099537036</v>
      </c>
      <c r="B2288" s="9" t="str">
        <f>HYPERLINK("https://twitter.com/Ethical__Tech","@Ethical__Tech")</f>
        <v>@Ethical__Tech</v>
      </c>
      <c r="C2288" s="10" t="s">
        <v>9797</v>
      </c>
      <c r="D2288" s="10" t="s">
        <v>9798</v>
      </c>
      <c r="E2288" s="9" t="str">
        <f>HYPERLINK("https://twitter.com/Ethical__Tech/status/1218430616728981504","1218430616728981504")</f>
        <v>1218430616728981504</v>
      </c>
      <c r="F2288" s="11" t="s">
        <v>9799</v>
      </c>
      <c r="G2288" s="13"/>
      <c r="H2288" s="13"/>
      <c r="I2288" s="14">
        <v>0.0</v>
      </c>
      <c r="J2288" s="14">
        <v>0.0</v>
      </c>
      <c r="K2288" s="9" t="str">
        <f>HYPERLINK("http://twitter.com","Twitter Web Client")</f>
        <v>Twitter Web Client</v>
      </c>
      <c r="L2288" s="15">
        <v>201.0</v>
      </c>
      <c r="M2288" s="15">
        <v>373.0</v>
      </c>
      <c r="N2288" s="15">
        <v>7.0</v>
      </c>
      <c r="O2288" s="16"/>
      <c r="P2288" s="17">
        <v>43207.70171296297</v>
      </c>
      <c r="Q2288" s="13"/>
      <c r="R2288" s="10" t="s">
        <v>9800</v>
      </c>
      <c r="S2288" s="13"/>
      <c r="T2288" s="13"/>
      <c r="U2288" s="18" t="str">
        <f>HYPERLINK("https://pbs.twimg.com/profile_images/986369354488078342/9HyHeUSI.jpg","View")</f>
        <v>View</v>
      </c>
      <c r="V2288" s="13"/>
      <c r="W2288" s="13"/>
      <c r="X2288" s="13"/>
      <c r="Y2288" s="13"/>
      <c r="Z2288" s="13"/>
    </row>
    <row r="2289">
      <c r="A2289" s="8">
        <v>43848.09030092593</v>
      </c>
      <c r="B2289" s="9" t="str">
        <f>HYPERLINK("https://twitter.com/AdventureCrtrs","@AdventureCrtrs")</f>
        <v>@AdventureCrtrs</v>
      </c>
      <c r="C2289" s="10" t="s">
        <v>9801</v>
      </c>
      <c r="D2289" s="10" t="s">
        <v>9802</v>
      </c>
      <c r="E2289" s="9" t="str">
        <f>HYPERLINK("https://twitter.com/AdventureCrtrs/status/1218430329486180352","1218430329486180352")</f>
        <v>1218430329486180352</v>
      </c>
      <c r="F2289" s="11" t="s">
        <v>9803</v>
      </c>
      <c r="G2289" s="11" t="s">
        <v>9804</v>
      </c>
      <c r="H2289" s="13"/>
      <c r="I2289" s="14">
        <v>1.0</v>
      </c>
      <c r="J2289" s="14">
        <v>7.0</v>
      </c>
      <c r="K2289" s="9" t="str">
        <f>HYPERLINK("https://buffer.com","Buffer")</f>
        <v>Buffer</v>
      </c>
      <c r="L2289" s="15">
        <v>2499.0</v>
      </c>
      <c r="M2289" s="15">
        <v>2630.0</v>
      </c>
      <c r="N2289" s="15">
        <v>146.0</v>
      </c>
      <c r="O2289" s="16"/>
      <c r="P2289" s="17">
        <v>41978.39891203704</v>
      </c>
      <c r="Q2289" s="10" t="s">
        <v>9805</v>
      </c>
      <c r="R2289" s="10" t="s">
        <v>9806</v>
      </c>
      <c r="S2289" s="11" t="s">
        <v>9807</v>
      </c>
      <c r="T2289" s="13"/>
      <c r="U2289" s="18" t="str">
        <f>HYPERLINK("https://pbs.twimg.com/profile_images/818105107300708353/A3bpvCHw.jpg","View")</f>
        <v>View</v>
      </c>
      <c r="V2289" s="13"/>
      <c r="W2289" s="13"/>
      <c r="X2289" s="13"/>
      <c r="Y2289" s="13"/>
      <c r="Z2289" s="13"/>
    </row>
    <row r="2290">
      <c r="A2290" s="8">
        <v>43848.089895833335</v>
      </c>
      <c r="B2290" s="9" t="str">
        <f>HYPERLINK("https://twitter.com/womensbrainpro","@womensbrainpro")</f>
        <v>@womensbrainpro</v>
      </c>
      <c r="C2290" s="10" t="s">
        <v>7011</v>
      </c>
      <c r="D2290" s="10" t="s">
        <v>9808</v>
      </c>
      <c r="E2290" s="9" t="str">
        <f>HYPERLINK("https://twitter.com/womensbrainpro/status/1218430181511192576","1218430181511192576")</f>
        <v>1218430181511192576</v>
      </c>
      <c r="F2290" s="11" t="s">
        <v>9809</v>
      </c>
      <c r="G2290" s="13"/>
      <c r="H2290" s="13"/>
      <c r="I2290" s="14">
        <v>6.0</v>
      </c>
      <c r="J2290" s="14">
        <v>13.0</v>
      </c>
      <c r="K2290" s="9" t="str">
        <f>HYPERLINK("http://twitter.com/download/iphone","Twitter for iPhone")</f>
        <v>Twitter for iPhone</v>
      </c>
      <c r="L2290" s="15">
        <v>4136.0</v>
      </c>
      <c r="M2290" s="15">
        <v>5000.0</v>
      </c>
      <c r="N2290" s="15">
        <v>64.0</v>
      </c>
      <c r="O2290" s="16"/>
      <c r="P2290" s="17">
        <v>42779.67152777778</v>
      </c>
      <c r="Q2290" s="10" t="s">
        <v>7014</v>
      </c>
      <c r="R2290" s="10" t="s">
        <v>7015</v>
      </c>
      <c r="S2290" s="11" t="s">
        <v>7016</v>
      </c>
      <c r="T2290" s="13"/>
      <c r="U2290" s="18" t="str">
        <f>HYPERLINK("https://pbs.twimg.com/profile_images/831249224557875200/6sL7dKBO.jpg","View")</f>
        <v>View</v>
      </c>
      <c r="V2290" s="13"/>
      <c r="W2290" s="13"/>
      <c r="X2290" s="13"/>
      <c r="Y2290" s="13"/>
      <c r="Z2290" s="13"/>
    </row>
    <row r="2291">
      <c r="A2291" s="8">
        <v>43848.08969907407</v>
      </c>
      <c r="B2291" s="9" t="str">
        <f>HYPERLINK("https://twitter.com/flipyflips","@flipyflips")</f>
        <v>@flipyflips</v>
      </c>
      <c r="C2291" s="10" t="s">
        <v>9810</v>
      </c>
      <c r="D2291" s="10" t="s">
        <v>9811</v>
      </c>
      <c r="E2291" s="9" t="str">
        <f>HYPERLINK("https://twitter.com/flipyflips/status/1218430112665866245","1218430112665866245")</f>
        <v>1218430112665866245</v>
      </c>
      <c r="F2291" s="13"/>
      <c r="G2291" s="13"/>
      <c r="H2291" s="13"/>
      <c r="I2291" s="14">
        <v>0.0</v>
      </c>
      <c r="J2291" s="14">
        <v>0.0</v>
      </c>
      <c r="K2291" s="9" t="str">
        <f>HYPERLINK("http://www.facebook.com/twitter","Facebook")</f>
        <v>Facebook</v>
      </c>
      <c r="L2291" s="15">
        <v>128.0</v>
      </c>
      <c r="M2291" s="15">
        <v>85.0</v>
      </c>
      <c r="N2291" s="15">
        <v>12.0</v>
      </c>
      <c r="O2291" s="16"/>
      <c r="P2291" s="17">
        <v>41302.51292824074</v>
      </c>
      <c r="Q2291" s="13"/>
      <c r="R2291" s="10" t="s">
        <v>9812</v>
      </c>
      <c r="S2291" s="11" t="s">
        <v>9813</v>
      </c>
      <c r="T2291" s="13"/>
      <c r="U2291" s="18" t="str">
        <f>HYPERLINK("https://pbs.twimg.com/profile_images/1128729086694711296/7rcyQyCH.jpg","View")</f>
        <v>View</v>
      </c>
      <c r="V2291" s="13"/>
      <c r="W2291" s="13"/>
      <c r="X2291" s="13"/>
      <c r="Y2291" s="13"/>
      <c r="Z2291" s="13"/>
    </row>
    <row r="2292">
      <c r="A2292" s="8">
        <v>43848.087800925925</v>
      </c>
      <c r="B2292" s="9" t="str">
        <f>HYPERLINK("https://twitter.com/Benyaep","@Benyaep")</f>
        <v>@Benyaep</v>
      </c>
      <c r="C2292" s="10" t="s">
        <v>9814</v>
      </c>
      <c r="D2292" s="10" t="s">
        <v>9815</v>
      </c>
      <c r="E2292" s="9" t="str">
        <f>HYPERLINK("https://twitter.com/Benyaep/status/1218429421712887810","1218429421712887810")</f>
        <v>1218429421712887810</v>
      </c>
      <c r="F2292" s="10" t="s">
        <v>9816</v>
      </c>
      <c r="G2292" s="13"/>
      <c r="H2292" s="13"/>
      <c r="I2292" s="14">
        <v>0.0</v>
      </c>
      <c r="J2292" s="14">
        <v>0.0</v>
      </c>
      <c r="K2292" s="9" t="str">
        <f t="shared" ref="K2292:K2293" si="289">HYPERLINK("http://twitter.com/download/android","Twitter for Android")</f>
        <v>Twitter for Android</v>
      </c>
      <c r="L2292" s="15">
        <v>397.0</v>
      </c>
      <c r="M2292" s="15">
        <v>856.0</v>
      </c>
      <c r="N2292" s="15">
        <v>10.0</v>
      </c>
      <c r="O2292" s="16"/>
      <c r="P2292" s="17">
        <v>39869.92083333334</v>
      </c>
      <c r="Q2292" s="10" t="s">
        <v>9817</v>
      </c>
      <c r="R2292" s="10" t="s">
        <v>9818</v>
      </c>
      <c r="S2292" s="11" t="s">
        <v>9819</v>
      </c>
      <c r="T2292" s="13"/>
      <c r="U2292" s="18" t="str">
        <f>HYPERLINK("https://pbs.twimg.com/profile_images/1164822633038270464/77-MfQdR.jpg","View")</f>
        <v>View</v>
      </c>
      <c r="V2292" s="13"/>
      <c r="W2292" s="13"/>
      <c r="X2292" s="13"/>
      <c r="Y2292" s="13"/>
      <c r="Z2292" s="13"/>
    </row>
    <row r="2293">
      <c r="A2293" s="8">
        <v>43848.087222222224</v>
      </c>
      <c r="B2293" s="9" t="str">
        <f>HYPERLINK("https://twitter.com/leannemeng96","@leannemeng96")</f>
        <v>@leannemeng96</v>
      </c>
      <c r="C2293" s="10" t="s">
        <v>9820</v>
      </c>
      <c r="D2293" s="10" t="s">
        <v>9821</v>
      </c>
      <c r="E2293" s="9" t="str">
        <f>HYPERLINK("https://twitter.com/leannemeng96/status/1218429213432115202","1218429213432115202")</f>
        <v>1218429213432115202</v>
      </c>
      <c r="F2293" s="13"/>
      <c r="G2293" s="13"/>
      <c r="H2293" s="13"/>
      <c r="I2293" s="14">
        <v>0.0</v>
      </c>
      <c r="J2293" s="14">
        <v>0.0</v>
      </c>
      <c r="K2293" s="9" t="str">
        <f t="shared" si="289"/>
        <v>Twitter for Android</v>
      </c>
      <c r="L2293" s="15">
        <v>115.0</v>
      </c>
      <c r="M2293" s="15">
        <v>514.0</v>
      </c>
      <c r="N2293" s="15">
        <v>1.0</v>
      </c>
      <c r="O2293" s="16"/>
      <c r="P2293" s="17">
        <v>42707.92083333334</v>
      </c>
      <c r="Q2293" s="10" t="s">
        <v>864</v>
      </c>
      <c r="R2293" s="10" t="s">
        <v>9822</v>
      </c>
      <c r="S2293" s="13"/>
      <c r="T2293" s="13"/>
      <c r="U2293" s="18" t="str">
        <f>HYPERLINK("https://pbs.twimg.com/profile_images/1211566617777205248/YoTHlDO6.jpg","View")</f>
        <v>View</v>
      </c>
      <c r="V2293" s="13"/>
      <c r="W2293" s="13"/>
      <c r="X2293" s="13"/>
      <c r="Y2293" s="13"/>
      <c r="Z2293" s="13"/>
    </row>
    <row r="2294">
      <c r="A2294" s="8">
        <v>43848.0868287037</v>
      </c>
      <c r="B2294" s="9" t="str">
        <f>HYPERLINK("https://twitter.com/gndbooks","@gndbooks")</f>
        <v>@gndbooks</v>
      </c>
      <c r="C2294" s="10" t="s">
        <v>9823</v>
      </c>
      <c r="D2294" s="10" t="s">
        <v>9824</v>
      </c>
      <c r="E2294" s="9" t="str">
        <f>HYPERLINK("https://twitter.com/gndbooks/status/1218429069097938944","1218429069097938944")</f>
        <v>1218429069097938944</v>
      </c>
      <c r="F2294" s="11" t="s">
        <v>9825</v>
      </c>
      <c r="G2294" s="11" t="s">
        <v>9826</v>
      </c>
      <c r="H2294" s="13"/>
      <c r="I2294" s="14">
        <v>0.0</v>
      </c>
      <c r="J2294" s="14">
        <v>1.0</v>
      </c>
      <c r="K2294" s="9" t="str">
        <f>HYPERLINK("http://twitter.com/download/iphone","Twitter for iPhone")</f>
        <v>Twitter for iPhone</v>
      </c>
      <c r="L2294" s="15">
        <v>462.0</v>
      </c>
      <c r="M2294" s="15">
        <v>47.0</v>
      </c>
      <c r="N2294" s="15">
        <v>1.0</v>
      </c>
      <c r="O2294" s="16"/>
      <c r="P2294" s="17">
        <v>41480.73672453704</v>
      </c>
      <c r="Q2294" s="10" t="s">
        <v>95</v>
      </c>
      <c r="R2294" s="10" t="s">
        <v>9827</v>
      </c>
      <c r="S2294" s="11" t="s">
        <v>9828</v>
      </c>
      <c r="T2294" s="13"/>
      <c r="U2294" s="18" t="str">
        <f>HYPERLINK("https://pbs.twimg.com/profile_images/1160600313931489280/R9CYgc0R.jpg","View")</f>
        <v>View</v>
      </c>
      <c r="V2294" s="13"/>
      <c r="W2294" s="13"/>
      <c r="X2294" s="13"/>
      <c r="Y2294" s="13"/>
      <c r="Z2294" s="13"/>
    </row>
    <row r="2295">
      <c r="A2295" s="8">
        <v>43848.08677083333</v>
      </c>
      <c r="B2295" s="9" t="str">
        <f>HYPERLINK("https://twitter.com/grouptherapy33","@grouptherapy33")</f>
        <v>@grouptherapy33</v>
      </c>
      <c r="C2295" s="10" t="s">
        <v>831</v>
      </c>
      <c r="D2295" s="10" t="s">
        <v>9829</v>
      </c>
      <c r="E2295" s="9" t="str">
        <f>HYPERLINK("https://twitter.com/grouptherapy33/status/1218429051037155339","1218429051037155339")</f>
        <v>1218429051037155339</v>
      </c>
      <c r="F2295" s="11" t="s">
        <v>9830</v>
      </c>
      <c r="G2295" s="13"/>
      <c r="H2295" s="13"/>
      <c r="I2295" s="14">
        <v>0.0</v>
      </c>
      <c r="J2295" s="14">
        <v>0.0</v>
      </c>
      <c r="K2295" s="9" t="str">
        <f>HYPERLINK("http://www.DynamicTweets.com","Dynamic Tweets")</f>
        <v>Dynamic Tweets</v>
      </c>
      <c r="L2295" s="15">
        <v>4053.0</v>
      </c>
      <c r="M2295" s="15">
        <v>3517.0</v>
      </c>
      <c r="N2295" s="15">
        <v>74.0</v>
      </c>
      <c r="O2295" s="16"/>
      <c r="P2295" s="17">
        <v>42375.45542824074</v>
      </c>
      <c r="Q2295" s="13"/>
      <c r="R2295" s="13"/>
      <c r="S2295" s="11" t="s">
        <v>833</v>
      </c>
      <c r="T2295" s="13"/>
      <c r="U2295" s="18" t="str">
        <f>HYPERLINK("https://pbs.twimg.com/profile_images/773354507157671941/wE10yy8j.jpg","View")</f>
        <v>View</v>
      </c>
      <c r="V2295" s="13"/>
      <c r="W2295" s="13"/>
      <c r="X2295" s="13"/>
      <c r="Y2295" s="13"/>
      <c r="Z2295" s="13"/>
    </row>
    <row r="2296">
      <c r="A2296" s="8">
        <v>43848.08665509259</v>
      </c>
      <c r="B2296" s="9" t="str">
        <f>HYPERLINK("https://twitter.com/IIsyaku","@IIsyaku")</f>
        <v>@IIsyaku</v>
      </c>
      <c r="C2296" s="10" t="s">
        <v>9831</v>
      </c>
      <c r="D2296" s="10" t="s">
        <v>238</v>
      </c>
      <c r="E2296" s="9" t="str">
        <f>HYPERLINK("https://twitter.com/IIsyaku/status/1218429009463255040","1218429009463255040")</f>
        <v>1218429009463255040</v>
      </c>
      <c r="F2296" s="13"/>
      <c r="G2296" s="13"/>
      <c r="H2296" s="13"/>
      <c r="I2296" s="14">
        <v>0.0</v>
      </c>
      <c r="J2296" s="14">
        <v>0.0</v>
      </c>
      <c r="K2296" s="9" t="str">
        <f t="shared" ref="K2296:K2297" si="290">HYPERLINK("http://twitter.com/download/android","Twitter for Android")</f>
        <v>Twitter for Android</v>
      </c>
      <c r="L2296" s="15">
        <v>223.0</v>
      </c>
      <c r="M2296" s="15">
        <v>421.0</v>
      </c>
      <c r="N2296" s="15">
        <v>0.0</v>
      </c>
      <c r="O2296" s="16"/>
      <c r="P2296" s="17">
        <v>40770.73174768519</v>
      </c>
      <c r="Q2296" s="10" t="s">
        <v>9832</v>
      </c>
      <c r="R2296" s="10" t="s">
        <v>9833</v>
      </c>
      <c r="S2296" s="13"/>
      <c r="T2296" s="13"/>
      <c r="U2296" s="18" t="str">
        <f>HYPERLINK("https://pbs.twimg.com/profile_images/1205060519931064325/q6EYsdmB.jpg","View")</f>
        <v>View</v>
      </c>
      <c r="V2296" s="13"/>
      <c r="W2296" s="13"/>
      <c r="X2296" s="13"/>
      <c r="Y2296" s="13"/>
      <c r="Z2296" s="13"/>
    </row>
    <row r="2297">
      <c r="A2297" s="8">
        <v>43848.08619212963</v>
      </c>
      <c r="B2297" s="9" t="str">
        <f>HYPERLINK("https://twitter.com/SomeshBhasom","@SomeshBhasom")</f>
        <v>@SomeshBhasom</v>
      </c>
      <c r="C2297" s="10" t="s">
        <v>9834</v>
      </c>
      <c r="D2297" s="10" t="s">
        <v>9835</v>
      </c>
      <c r="E2297" s="9" t="str">
        <f>HYPERLINK("https://twitter.com/SomeshBhasom/status/1218428841921630208","1218428841921630208")</f>
        <v>1218428841921630208</v>
      </c>
      <c r="F2297" s="13"/>
      <c r="G2297" s="11" t="s">
        <v>9836</v>
      </c>
      <c r="H2297" s="13"/>
      <c r="I2297" s="14">
        <v>0.0</v>
      </c>
      <c r="J2297" s="14">
        <v>0.0</v>
      </c>
      <c r="K2297" s="9" t="str">
        <f t="shared" si="290"/>
        <v>Twitter for Android</v>
      </c>
      <c r="L2297" s="15">
        <v>15.0</v>
      </c>
      <c r="M2297" s="15">
        <v>22.0</v>
      </c>
      <c r="N2297" s="15">
        <v>0.0</v>
      </c>
      <c r="O2297" s="16"/>
      <c r="P2297" s="17">
        <v>42537.01907407407</v>
      </c>
      <c r="Q2297" s="10" t="s">
        <v>9837</v>
      </c>
      <c r="R2297" s="10" t="s">
        <v>9838</v>
      </c>
      <c r="S2297" s="13"/>
      <c r="T2297" s="13"/>
      <c r="U2297" s="18" t="str">
        <f>HYPERLINK("https://pbs.twimg.com/profile_images/1218146000264581121/v52R9sqN.jpg","View")</f>
        <v>View</v>
      </c>
      <c r="V2297" s="13"/>
      <c r="W2297" s="13"/>
      <c r="X2297" s="13"/>
      <c r="Y2297" s="13"/>
      <c r="Z2297" s="13"/>
    </row>
    <row r="2298">
      <c r="A2298" s="8">
        <v>43848.085648148146</v>
      </c>
      <c r="B2298" s="9" t="str">
        <f>HYPERLINK("https://twitter.com/StacyHill26","@StacyHill26")</f>
        <v>@StacyHill26</v>
      </c>
      <c r="C2298" s="10" t="s">
        <v>9839</v>
      </c>
      <c r="D2298" s="10" t="s">
        <v>9840</v>
      </c>
      <c r="E2298" s="9" t="str">
        <f>HYPERLINK("https://twitter.com/StacyHill26/status/1218428643585810432","1218428643585810432")</f>
        <v>1218428643585810432</v>
      </c>
      <c r="F2298" s="10" t="s">
        <v>9841</v>
      </c>
      <c r="G2298" s="13"/>
      <c r="H2298" s="13"/>
      <c r="I2298" s="14">
        <v>0.0</v>
      </c>
      <c r="J2298" s="14">
        <v>0.0</v>
      </c>
      <c r="K2298" s="9" t="str">
        <f>HYPERLINK("http://instagram.com","Instagram")</f>
        <v>Instagram</v>
      </c>
      <c r="L2298" s="15">
        <v>132.0</v>
      </c>
      <c r="M2298" s="15">
        <v>611.0</v>
      </c>
      <c r="N2298" s="15">
        <v>0.0</v>
      </c>
      <c r="O2298" s="16"/>
      <c r="P2298" s="17">
        <v>39992.68802083333</v>
      </c>
      <c r="Q2298" s="13"/>
      <c r="R2298" s="13"/>
      <c r="S2298" s="13"/>
      <c r="T2298" s="13"/>
      <c r="U2298" s="18" t="str">
        <f>HYPERLINK("https://pbs.twimg.com/profile_images/1043894922678611969/I6NniTyV.jpg","View")</f>
        <v>View</v>
      </c>
      <c r="V2298" s="13"/>
      <c r="W2298" s="13"/>
      <c r="X2298" s="13"/>
      <c r="Y2298" s="13"/>
      <c r="Z2298" s="13"/>
    </row>
    <row r="2299">
      <c r="A2299" s="8">
        <v>43848.08482638889</v>
      </c>
      <c r="B2299" s="9" t="str">
        <f>HYPERLINK("https://twitter.com/sostostress","@sostostress")</f>
        <v>@sostostress</v>
      </c>
      <c r="C2299" s="10" t="s">
        <v>7151</v>
      </c>
      <c r="D2299" s="10" t="s">
        <v>9842</v>
      </c>
      <c r="E2299" s="9" t="str">
        <f>HYPERLINK("https://twitter.com/sostostress/status/1218428343365840896","1218428343365840896")</f>
        <v>1218428343365840896</v>
      </c>
      <c r="F2299" s="11" t="s">
        <v>9843</v>
      </c>
      <c r="G2299" s="13"/>
      <c r="H2299" s="13"/>
      <c r="I2299" s="14">
        <v>1.0</v>
      </c>
      <c r="J2299" s="14">
        <v>0.0</v>
      </c>
      <c r="K2299" s="9" t="str">
        <f>HYPERLINK("http://www.podbean.com","Podbean Podcast")</f>
        <v>Podbean Podcast</v>
      </c>
      <c r="L2299" s="15">
        <v>333.0</v>
      </c>
      <c r="M2299" s="15">
        <v>171.0</v>
      </c>
      <c r="N2299" s="15">
        <v>46.0</v>
      </c>
      <c r="O2299" s="16"/>
      <c r="P2299" s="17">
        <v>40529.642071759255</v>
      </c>
      <c r="Q2299" s="10" t="s">
        <v>177</v>
      </c>
      <c r="R2299" s="10" t="s">
        <v>7154</v>
      </c>
      <c r="S2299" s="11" t="s">
        <v>7155</v>
      </c>
      <c r="T2299" s="13"/>
      <c r="U2299" s="18" t="str">
        <f>HYPERLINK("https://pbs.twimg.com/profile_images/1192953737/image006_pp_-_2__2_.jpg","View")</f>
        <v>View</v>
      </c>
      <c r="V2299" s="13"/>
      <c r="W2299" s="13"/>
      <c r="X2299" s="13"/>
      <c r="Y2299" s="13"/>
      <c r="Z2299" s="13"/>
    </row>
    <row r="2300">
      <c r="A2300" s="8">
        <v>43848.08387731481</v>
      </c>
      <c r="B2300" s="9" t="str">
        <f>HYPERLINK("https://twitter.com/UnwantedLife_Me","@UnwantedLife_Me")</f>
        <v>@UnwantedLife_Me</v>
      </c>
      <c r="C2300" s="10" t="s">
        <v>4378</v>
      </c>
      <c r="D2300" s="10" t="s">
        <v>9844</v>
      </c>
      <c r="E2300" s="9" t="str">
        <f>HYPERLINK("https://twitter.com/UnwantedLife_Me/status/1218428001177755648","1218428001177755648")</f>
        <v>1218428001177755648</v>
      </c>
      <c r="F2300" s="11" t="s">
        <v>4380</v>
      </c>
      <c r="G2300" s="13"/>
      <c r="H2300" s="13"/>
      <c r="I2300" s="14">
        <v>0.0</v>
      </c>
      <c r="J2300" s="14">
        <v>0.0</v>
      </c>
      <c r="K2300" s="9" t="str">
        <f>HYPERLINK("http://www.tweetcaster.com","TweetCaster for Android")</f>
        <v>TweetCaster for Android</v>
      </c>
      <c r="L2300" s="15">
        <v>1872.0</v>
      </c>
      <c r="M2300" s="15">
        <v>1417.0</v>
      </c>
      <c r="N2300" s="15">
        <v>18.0</v>
      </c>
      <c r="O2300" s="16"/>
      <c r="P2300" s="17">
        <v>43475.462743055556</v>
      </c>
      <c r="Q2300" s="10" t="s">
        <v>1324</v>
      </c>
      <c r="R2300" s="10" t="s">
        <v>4382</v>
      </c>
      <c r="S2300" s="11" t="s">
        <v>4383</v>
      </c>
      <c r="T2300" s="13"/>
      <c r="U2300" s="18" t="str">
        <f>HYPERLINK("https://pbs.twimg.com/profile_images/1083801897495158784/rc-SnEXp.jpg","View")</f>
        <v>View</v>
      </c>
      <c r="V2300" s="13"/>
      <c r="W2300" s="13"/>
      <c r="X2300" s="13"/>
      <c r="Y2300" s="13"/>
      <c r="Z2300" s="13"/>
    </row>
    <row r="2301">
      <c r="A2301" s="8">
        <v>43848.08347222222</v>
      </c>
      <c r="B2301" s="9" t="str">
        <f>HYPERLINK("https://twitter.com/vregservice","@vregservice")</f>
        <v>@vregservice</v>
      </c>
      <c r="C2301" s="10" t="s">
        <v>9845</v>
      </c>
      <c r="D2301" s="10" t="s">
        <v>9846</v>
      </c>
      <c r="E2301" s="9" t="str">
        <f>HYPERLINK("https://twitter.com/vregservice/status/1218427853718446080","1218427853718446080")</f>
        <v>1218427853718446080</v>
      </c>
      <c r="F2301" s="11" t="s">
        <v>9847</v>
      </c>
      <c r="G2301" s="13"/>
      <c r="H2301" s="13"/>
      <c r="I2301" s="14">
        <v>0.0</v>
      </c>
      <c r="J2301" s="14">
        <v>0.0</v>
      </c>
      <c r="K2301" s="9" t="str">
        <f>HYPERLINK("http://postplanner.com","Post Planner Inc.")</f>
        <v>Post Planner Inc.</v>
      </c>
      <c r="L2301" s="15">
        <v>434.0</v>
      </c>
      <c r="M2301" s="15">
        <v>969.0</v>
      </c>
      <c r="N2301" s="15">
        <v>2.0</v>
      </c>
      <c r="O2301" s="16"/>
      <c r="P2301" s="17">
        <v>42710.61582175926</v>
      </c>
      <c r="Q2301" s="10" t="s">
        <v>95</v>
      </c>
      <c r="R2301" s="10" t="s">
        <v>9848</v>
      </c>
      <c r="S2301" s="11" t="s">
        <v>9849</v>
      </c>
      <c r="T2301" s="13"/>
      <c r="U2301" s="18" t="str">
        <f>HYPERLINK("https://pbs.twimg.com/profile_images/806224644013490176/wtToxkvG.jpg","View")</f>
        <v>View</v>
      </c>
      <c r="V2301" s="13"/>
      <c r="W2301" s="13"/>
      <c r="X2301" s="13"/>
      <c r="Y2301" s="13"/>
      <c r="Z2301" s="13"/>
    </row>
    <row r="2302">
      <c r="A2302" s="8">
        <v>43848.08341435185</v>
      </c>
      <c r="B2302" s="9" t="str">
        <f>HYPERLINK("https://twitter.com/EnnieChipembere","@EnnieChipembere")</f>
        <v>@EnnieChipembere</v>
      </c>
      <c r="C2302" s="10" t="s">
        <v>9850</v>
      </c>
      <c r="D2302" s="10" t="s">
        <v>9851</v>
      </c>
      <c r="E2302" s="9" t="str">
        <f>HYPERLINK("https://twitter.com/EnnieChipembere/status/1218427832726097921","1218427832726097921")</f>
        <v>1218427832726097921</v>
      </c>
      <c r="F2302" s="13"/>
      <c r="G2302" s="11" t="s">
        <v>9852</v>
      </c>
      <c r="H2302" s="13"/>
      <c r="I2302" s="14">
        <v>4.0</v>
      </c>
      <c r="J2302" s="14">
        <v>7.0</v>
      </c>
      <c r="K2302" s="9" t="str">
        <f>HYPERLINK("https://www.hootsuite.com","Hootsuite Inc.")</f>
        <v>Hootsuite Inc.</v>
      </c>
      <c r="L2302" s="15">
        <v>6975.0</v>
      </c>
      <c r="M2302" s="15">
        <v>4408.0</v>
      </c>
      <c r="N2302" s="15">
        <v>87.0</v>
      </c>
      <c r="O2302" s="16"/>
      <c r="P2302" s="17">
        <v>41108.187673611115</v>
      </c>
      <c r="Q2302" s="10" t="s">
        <v>9853</v>
      </c>
      <c r="R2302" s="10" t="s">
        <v>9854</v>
      </c>
      <c r="S2302" s="11" t="s">
        <v>9855</v>
      </c>
      <c r="T2302" s="13"/>
      <c r="U2302" s="18" t="str">
        <f>HYPERLINK("https://pbs.twimg.com/profile_images/1189872587062554624/pOBJ5l0y.jpg","View")</f>
        <v>View</v>
      </c>
      <c r="V2302" s="13"/>
      <c r="W2302" s="13"/>
      <c r="X2302" s="13"/>
      <c r="Y2302" s="13"/>
      <c r="Z2302" s="13"/>
    </row>
    <row r="2303">
      <c r="A2303" s="8">
        <v>43848.08181712963</v>
      </c>
      <c r="B2303" s="9" t="str">
        <f>HYPERLINK("https://twitter.com/Saintshealth1","@Saintshealth1")</f>
        <v>@Saintshealth1</v>
      </c>
      <c r="C2303" s="10" t="s">
        <v>9856</v>
      </c>
      <c r="D2303" s="10" t="s">
        <v>9857</v>
      </c>
      <c r="E2303" s="9" t="str">
        <f>HYPERLINK("https://twitter.com/Saintshealth1/status/1218427254650351616","1218427254650351616")</f>
        <v>1218427254650351616</v>
      </c>
      <c r="F2303" s="13"/>
      <c r="G2303" s="11" t="s">
        <v>9858</v>
      </c>
      <c r="H2303" s="13"/>
      <c r="I2303" s="14">
        <v>0.0</v>
      </c>
      <c r="J2303" s="14">
        <v>0.0</v>
      </c>
      <c r="K2303" s="9" t="str">
        <f>HYPERLINK("https://buffer.com","Buffer")</f>
        <v>Buffer</v>
      </c>
      <c r="L2303" s="15">
        <v>19.0</v>
      </c>
      <c r="M2303" s="15">
        <v>129.0</v>
      </c>
      <c r="N2303" s="15">
        <v>1.0</v>
      </c>
      <c r="O2303" s="16"/>
      <c r="P2303" s="17">
        <v>43760.534791666665</v>
      </c>
      <c r="Q2303" s="10" t="s">
        <v>9859</v>
      </c>
      <c r="R2303" s="10" t="s">
        <v>9860</v>
      </c>
      <c r="S2303" s="11" t="s">
        <v>9861</v>
      </c>
      <c r="T2303" s="13"/>
      <c r="U2303" s="18" t="str">
        <f>HYPERLINK("https://pbs.twimg.com/profile_images/1216800518296756224/1X1gPVZe.jpg","View")</f>
        <v>View</v>
      </c>
      <c r="V2303" s="13"/>
      <c r="W2303" s="13"/>
      <c r="X2303" s="13"/>
      <c r="Y2303" s="13"/>
      <c r="Z2303" s="13"/>
    </row>
    <row r="2304">
      <c r="A2304" s="8">
        <v>43848.08121527778</v>
      </c>
      <c r="B2304" s="9" t="str">
        <f>HYPERLINK("https://twitter.com/dolcezza5","@dolcezza5")</f>
        <v>@dolcezza5</v>
      </c>
      <c r="C2304" s="10" t="s">
        <v>9862</v>
      </c>
      <c r="D2304" s="10" t="s">
        <v>9863</v>
      </c>
      <c r="E2304" s="9" t="str">
        <f>HYPERLINK("https://twitter.com/dolcezza5/status/1218427038438027265","1218427038438027265")</f>
        <v>1218427038438027265</v>
      </c>
      <c r="F2304" s="13"/>
      <c r="G2304" s="11" t="s">
        <v>9864</v>
      </c>
      <c r="H2304" s="13"/>
      <c r="I2304" s="14">
        <v>0.0</v>
      </c>
      <c r="J2304" s="14">
        <v>0.0</v>
      </c>
      <c r="K2304" s="9" t="str">
        <f>HYPERLINK("http://twitter.com/download/android","Twitter for Android")</f>
        <v>Twitter for Android</v>
      </c>
      <c r="L2304" s="15">
        <v>312.0</v>
      </c>
      <c r="M2304" s="15">
        <v>2016.0</v>
      </c>
      <c r="N2304" s="15">
        <v>8.0</v>
      </c>
      <c r="O2304" s="16"/>
      <c r="P2304" s="17">
        <v>39931.80295138889</v>
      </c>
      <c r="Q2304" s="10" t="s">
        <v>9865</v>
      </c>
      <c r="R2304" s="10" t="s">
        <v>9866</v>
      </c>
      <c r="S2304" s="13"/>
      <c r="T2304" s="13"/>
      <c r="U2304" s="18" t="str">
        <f>HYPERLINK("https://pbs.twimg.com/profile_images/1117615643887579137/NGqvLJMq.jpg","View")</f>
        <v>View</v>
      </c>
      <c r="V2304" s="13"/>
      <c r="W2304" s="13"/>
      <c r="X2304" s="13"/>
      <c r="Y2304" s="13"/>
      <c r="Z2304" s="13"/>
    </row>
    <row r="2305">
      <c r="A2305" s="8">
        <v>43848.07917824074</v>
      </c>
      <c r="B2305" s="9" t="str">
        <f>HYPERLINK("https://twitter.com/BiomeSankar","@BiomeSankar")</f>
        <v>@BiomeSankar</v>
      </c>
      <c r="C2305" s="10" t="s">
        <v>9867</v>
      </c>
      <c r="D2305" s="10" t="s">
        <v>9868</v>
      </c>
      <c r="E2305" s="9" t="str">
        <f>HYPERLINK("https://twitter.com/BiomeSankar/status/1218426296469901313","1218426296469901313")</f>
        <v>1218426296469901313</v>
      </c>
      <c r="F2305" s="11" t="s">
        <v>9869</v>
      </c>
      <c r="G2305" s="13"/>
      <c r="H2305" s="13"/>
      <c r="I2305" s="14">
        <v>0.0</v>
      </c>
      <c r="J2305" s="14">
        <v>0.0</v>
      </c>
      <c r="K2305" s="9" t="str">
        <f>HYPERLINK("https://drumup.io","drumup.io")</f>
        <v>drumup.io</v>
      </c>
      <c r="L2305" s="15">
        <v>725.0</v>
      </c>
      <c r="M2305" s="15">
        <v>460.0</v>
      </c>
      <c r="N2305" s="15">
        <v>110.0</v>
      </c>
      <c r="O2305" s="16"/>
      <c r="P2305" s="17">
        <v>41812.31884259259</v>
      </c>
      <c r="Q2305" s="10" t="s">
        <v>9870</v>
      </c>
      <c r="R2305" s="10" t="s">
        <v>9871</v>
      </c>
      <c r="S2305" s="11" t="s">
        <v>9872</v>
      </c>
      <c r="T2305" s="13"/>
      <c r="U2305" s="18" t="str">
        <f>HYPERLINK("https://pbs.twimg.com/profile_images/1179617303245180928/nvD4zdQ2.jpg","View")</f>
        <v>View</v>
      </c>
      <c r="V2305" s="13"/>
      <c r="W2305" s="13"/>
      <c r="X2305" s="13"/>
      <c r="Y2305" s="13"/>
      <c r="Z2305" s="13"/>
    </row>
    <row r="2306">
      <c r="A2306" s="8">
        <v>43848.07877314815</v>
      </c>
      <c r="B2306" s="9" t="str">
        <f>HYPERLINK("https://twitter.com/Shruuu97","@Shruuu97")</f>
        <v>@Shruuu97</v>
      </c>
      <c r="C2306" s="10" t="s">
        <v>9873</v>
      </c>
      <c r="D2306" s="10" t="s">
        <v>9874</v>
      </c>
      <c r="E2306" s="9" t="str">
        <f>HYPERLINK("https://twitter.com/Shruuu97/status/1218426152601047040","1218426152601047040")</f>
        <v>1218426152601047040</v>
      </c>
      <c r="F2306" s="10" t="s">
        <v>9875</v>
      </c>
      <c r="G2306" s="13"/>
      <c r="H2306" s="13"/>
      <c r="I2306" s="14">
        <v>0.0</v>
      </c>
      <c r="J2306" s="14">
        <v>1.0</v>
      </c>
      <c r="K2306" s="9" t="str">
        <f t="shared" ref="K2306:K2307" si="291">HYPERLINK("http://twitter.com/download/android","Twitter for Android")</f>
        <v>Twitter for Android</v>
      </c>
      <c r="L2306" s="15">
        <v>62.0</v>
      </c>
      <c r="M2306" s="15">
        <v>18.0</v>
      </c>
      <c r="N2306" s="15">
        <v>0.0</v>
      </c>
      <c r="O2306" s="16"/>
      <c r="P2306" s="17">
        <v>41727.756064814814</v>
      </c>
      <c r="Q2306" s="10" t="s">
        <v>2998</v>
      </c>
      <c r="R2306" s="10" t="s">
        <v>9876</v>
      </c>
      <c r="S2306" s="11" t="s">
        <v>9877</v>
      </c>
      <c r="T2306" s="13"/>
      <c r="U2306" s="18" t="str">
        <f>HYPERLINK("https://pbs.twimg.com/profile_images/1085140935292248065/hiReEGiO.jpg","View")</f>
        <v>View</v>
      </c>
      <c r="V2306" s="13"/>
      <c r="W2306" s="13"/>
      <c r="X2306" s="13"/>
      <c r="Y2306" s="13"/>
      <c r="Z2306" s="13"/>
    </row>
    <row r="2307">
      <c r="A2307" s="8">
        <v>43848.078252314815</v>
      </c>
      <c r="B2307" s="9" t="str">
        <f>HYPERLINK("https://twitter.com/ladandad","@ladandad")</f>
        <v>@ladandad</v>
      </c>
      <c r="C2307" s="10" t="s">
        <v>9878</v>
      </c>
      <c r="D2307" s="10" t="s">
        <v>9879</v>
      </c>
      <c r="E2307" s="9" t="str">
        <f>HYPERLINK("https://twitter.com/ladandad/status/1218425962951598080","1218425962951598080")</f>
        <v>1218425962951598080</v>
      </c>
      <c r="F2307" s="11" t="s">
        <v>9880</v>
      </c>
      <c r="G2307" s="13"/>
      <c r="H2307" s="13"/>
      <c r="I2307" s="14">
        <v>0.0</v>
      </c>
      <c r="J2307" s="14">
        <v>0.0</v>
      </c>
      <c r="K2307" s="9" t="str">
        <f t="shared" si="291"/>
        <v>Twitter for Android</v>
      </c>
      <c r="L2307" s="15">
        <v>526.0</v>
      </c>
      <c r="M2307" s="15">
        <v>1445.0</v>
      </c>
      <c r="N2307" s="15">
        <v>18.0</v>
      </c>
      <c r="O2307" s="16"/>
      <c r="P2307" s="17">
        <v>42110.491898148146</v>
      </c>
      <c r="Q2307" s="10" t="s">
        <v>3868</v>
      </c>
      <c r="R2307" s="10" t="s">
        <v>9881</v>
      </c>
      <c r="S2307" s="13"/>
      <c r="T2307" s="13"/>
      <c r="U2307" s="18" t="str">
        <f>HYPERLINK("https://pbs.twimg.com/profile_images/1061139862810574848/Ehvm0M6n.jpg","View")</f>
        <v>View</v>
      </c>
      <c r="V2307" s="13"/>
      <c r="W2307" s="13"/>
      <c r="X2307" s="13"/>
      <c r="Y2307" s="13"/>
      <c r="Z2307" s="13"/>
    </row>
    <row r="2308">
      <c r="A2308" s="8">
        <v>43848.076944444445</v>
      </c>
      <c r="B2308" s="9" t="str">
        <f>HYPERLINK("https://twitter.com/shajimathew2k","@shajimathew2k")</f>
        <v>@shajimathew2k</v>
      </c>
      <c r="C2308" s="10" t="s">
        <v>9882</v>
      </c>
      <c r="D2308" s="10" t="s">
        <v>238</v>
      </c>
      <c r="E2308" s="9" t="str">
        <f>HYPERLINK("https://twitter.com/shajimathew2k/status/1218425489762603008","1218425489762603008")</f>
        <v>1218425489762603008</v>
      </c>
      <c r="F2308" s="13"/>
      <c r="G2308" s="13"/>
      <c r="H2308" s="13"/>
      <c r="I2308" s="14">
        <v>0.0</v>
      </c>
      <c r="J2308" s="14">
        <v>0.0</v>
      </c>
      <c r="K2308" s="9" t="str">
        <f>HYPERLINK("https://mobile.twitter.com","Twitter Web App")</f>
        <v>Twitter Web App</v>
      </c>
      <c r="L2308" s="15">
        <v>61.0</v>
      </c>
      <c r="M2308" s="15">
        <v>659.0</v>
      </c>
      <c r="N2308" s="15">
        <v>3.0</v>
      </c>
      <c r="O2308" s="16"/>
      <c r="P2308" s="17">
        <v>40702.200057870374</v>
      </c>
      <c r="Q2308" s="10" t="s">
        <v>9883</v>
      </c>
      <c r="R2308" s="10" t="s">
        <v>9884</v>
      </c>
      <c r="S2308" s="13"/>
      <c r="T2308" s="13"/>
      <c r="U2308" s="18" t="str">
        <f>HYPERLINK("https://pbs.twimg.com/profile_images/507078308203204608/YPKKwdcX.jpeg","View")</f>
        <v>View</v>
      </c>
      <c r="V2308" s="13"/>
      <c r="W2308" s="13"/>
      <c r="X2308" s="13"/>
      <c r="Y2308" s="13"/>
      <c r="Z2308" s="13"/>
    </row>
    <row r="2309">
      <c r="A2309" s="8">
        <v>43848.076875</v>
      </c>
      <c r="B2309" s="9" t="str">
        <f>HYPERLINK("https://twitter.com/SatriaDeradjat","@SatriaDeradjat")</f>
        <v>@SatriaDeradjat</v>
      </c>
      <c r="C2309" s="10" t="s">
        <v>9885</v>
      </c>
      <c r="D2309" s="10" t="s">
        <v>238</v>
      </c>
      <c r="E2309" s="9" t="str">
        <f>HYPERLINK("https://twitter.com/SatriaDeradjat/status/1218425463703404545","1218425463703404545")</f>
        <v>1218425463703404545</v>
      </c>
      <c r="F2309" s="13"/>
      <c r="G2309" s="13"/>
      <c r="H2309" s="13"/>
      <c r="I2309" s="14">
        <v>0.0</v>
      </c>
      <c r="J2309" s="14">
        <v>0.0</v>
      </c>
      <c r="K2309" s="9" t="str">
        <f>HYPERLINK("http://twitter.com/download/android","Twitter for Android")</f>
        <v>Twitter for Android</v>
      </c>
      <c r="L2309" s="15">
        <v>188.0</v>
      </c>
      <c r="M2309" s="15">
        <v>566.0</v>
      </c>
      <c r="N2309" s="15">
        <v>0.0</v>
      </c>
      <c r="O2309" s="16"/>
      <c r="P2309" s="17">
        <v>40148.162407407406</v>
      </c>
      <c r="Q2309" s="13"/>
      <c r="R2309" s="10" t="s">
        <v>9886</v>
      </c>
      <c r="S2309" s="13"/>
      <c r="T2309" s="13"/>
      <c r="U2309" s="18" t="str">
        <f>HYPERLINK("https://pbs.twimg.com/profile_images/1156889774185050112/X_Emsa0B.jpg","View")</f>
        <v>View</v>
      </c>
      <c r="V2309" s="13"/>
      <c r="W2309" s="13"/>
      <c r="X2309" s="13"/>
      <c r="Y2309" s="13"/>
      <c r="Z2309" s="13"/>
    </row>
    <row r="2310">
      <c r="A2310" s="8">
        <v>43848.07681712963</v>
      </c>
      <c r="B2310" s="9" t="str">
        <f>HYPERLINK("https://twitter.com/asha_jennie","@asha_jennie")</f>
        <v>@asha_jennie</v>
      </c>
      <c r="C2310" s="10" t="s">
        <v>9887</v>
      </c>
      <c r="D2310" s="10" t="s">
        <v>9888</v>
      </c>
      <c r="E2310" s="9" t="str">
        <f>HYPERLINK("https://twitter.com/asha_jennie/status/1218425442996080640","1218425442996080640")</f>
        <v>1218425442996080640</v>
      </c>
      <c r="F2310" s="13"/>
      <c r="G2310" s="11" t="s">
        <v>9889</v>
      </c>
      <c r="H2310" s="13"/>
      <c r="I2310" s="14">
        <v>0.0</v>
      </c>
      <c r="J2310" s="14">
        <v>0.0</v>
      </c>
      <c r="K2310" s="9" t="str">
        <f>HYPERLINK("https://mobile.twitter.com","Twitter Web App")</f>
        <v>Twitter Web App</v>
      </c>
      <c r="L2310" s="15">
        <v>11.0</v>
      </c>
      <c r="M2310" s="15">
        <v>78.0</v>
      </c>
      <c r="N2310" s="15">
        <v>0.0</v>
      </c>
      <c r="O2310" s="16"/>
      <c r="P2310" s="17">
        <v>43424.27070601852</v>
      </c>
      <c r="Q2310" s="10" t="s">
        <v>7887</v>
      </c>
      <c r="R2310" s="10" t="s">
        <v>9890</v>
      </c>
      <c r="S2310" s="13"/>
      <c r="T2310" s="13"/>
      <c r="U2310" s="18" t="str">
        <f>HYPERLINK("https://pbs.twimg.com/profile_images/1215618385565732864/OxA8MICr.jpg","View")</f>
        <v>View</v>
      </c>
      <c r="V2310" s="13"/>
      <c r="W2310" s="13"/>
      <c r="X2310" s="13"/>
      <c r="Y2310" s="13"/>
      <c r="Z2310" s="13"/>
    </row>
    <row r="2311">
      <c r="A2311" s="8">
        <v>43848.0766087963</v>
      </c>
      <c r="B2311" s="9" t="str">
        <f>HYPERLINK("https://twitter.com/MY_ATA_WORLD","@MY_ATA_WORLD")</f>
        <v>@MY_ATA_WORLD</v>
      </c>
      <c r="C2311" s="10" t="s">
        <v>9891</v>
      </c>
      <c r="D2311" s="10" t="s">
        <v>238</v>
      </c>
      <c r="E2311" s="9" t="str">
        <f>HYPERLINK("https://twitter.com/MY_ATA_WORLD/status/1218425368970919936","1218425368970919936")</f>
        <v>1218425368970919936</v>
      </c>
      <c r="F2311" s="13"/>
      <c r="G2311" s="13"/>
      <c r="H2311" s="13"/>
      <c r="I2311" s="14">
        <v>1.0</v>
      </c>
      <c r="J2311" s="14">
        <v>0.0</v>
      </c>
      <c r="K2311" s="9" t="str">
        <f>HYPERLINK("http://twitter.com/#!/download/ipad","Twitter for iPad")</f>
        <v>Twitter for iPad</v>
      </c>
      <c r="L2311" s="15">
        <v>1223.0</v>
      </c>
      <c r="M2311" s="15">
        <v>1710.0</v>
      </c>
      <c r="N2311" s="15">
        <v>2.0</v>
      </c>
      <c r="O2311" s="16"/>
      <c r="P2311" s="17">
        <v>40794.49789351852</v>
      </c>
      <c r="Q2311" s="10" t="s">
        <v>9892</v>
      </c>
      <c r="R2311" s="10" t="s">
        <v>9893</v>
      </c>
      <c r="S2311" s="13"/>
      <c r="T2311" s="13"/>
      <c r="U2311" s="18" t="str">
        <f>HYPERLINK("https://pbs.twimg.com/profile_images/378800000158326045/c00ed6a6c746f31d390c46f155ff42c8.jpeg","View")</f>
        <v>View</v>
      </c>
      <c r="V2311" s="13"/>
      <c r="W2311" s="13"/>
      <c r="X2311" s="13"/>
      <c r="Y2311" s="13"/>
      <c r="Z2311" s="13"/>
    </row>
    <row r="2312">
      <c r="A2312" s="8">
        <v>43848.07548611111</v>
      </c>
      <c r="B2312" s="9" t="str">
        <f>HYPERLINK("https://twitter.com/IcebergED","@IcebergED")</f>
        <v>@IcebergED</v>
      </c>
      <c r="C2312" s="10" t="s">
        <v>9894</v>
      </c>
      <c r="D2312" s="10" t="s">
        <v>9895</v>
      </c>
      <c r="E2312" s="9" t="str">
        <f>HYPERLINK("https://twitter.com/IcebergED/status/1218424958923218945","1218424958923218945")</f>
        <v>1218424958923218945</v>
      </c>
      <c r="F2312" s="11" t="s">
        <v>9896</v>
      </c>
      <c r="G2312" s="13"/>
      <c r="H2312" s="13"/>
      <c r="I2312" s="14">
        <v>1.0</v>
      </c>
      <c r="J2312" s="14">
        <v>1.0</v>
      </c>
      <c r="K2312" s="9" t="str">
        <f>HYPERLINK("http://twitter.com","Twitter Web Client")</f>
        <v>Twitter Web Client</v>
      </c>
      <c r="L2312" s="15">
        <v>1108.0</v>
      </c>
      <c r="M2312" s="15">
        <v>516.0</v>
      </c>
      <c r="N2312" s="15">
        <v>67.0</v>
      </c>
      <c r="O2312" s="16"/>
      <c r="P2312" s="17">
        <v>40969.334444444445</v>
      </c>
      <c r="Q2312" s="10" t="s">
        <v>3371</v>
      </c>
      <c r="R2312" s="10" t="s">
        <v>9897</v>
      </c>
      <c r="S2312" s="11" t="s">
        <v>9898</v>
      </c>
      <c r="T2312" s="13"/>
      <c r="U2312" s="18" t="str">
        <f>HYPERLINK("https://pbs.twimg.com/profile_images/1864631963/ICEBERG.png","View")</f>
        <v>View</v>
      </c>
      <c r="V2312" s="13"/>
      <c r="W2312" s="13"/>
      <c r="X2312" s="13"/>
      <c r="Y2312" s="13"/>
      <c r="Z2312" s="13"/>
    </row>
    <row r="2313">
      <c r="A2313" s="8">
        <v>43848.07373842593</v>
      </c>
      <c r="B2313" s="9" t="str">
        <f>HYPERLINK("https://twitter.com/thisizzayd","@thisizzayd")</f>
        <v>@thisizzayd</v>
      </c>
      <c r="C2313" s="10" t="s">
        <v>9899</v>
      </c>
      <c r="D2313" s="10" t="s">
        <v>9900</v>
      </c>
      <c r="E2313" s="9" t="str">
        <f>HYPERLINK("https://twitter.com/thisizzayd/status/1218424327281897472","1218424327281897472")</f>
        <v>1218424327281897472</v>
      </c>
      <c r="F2313" s="13"/>
      <c r="G2313" s="11" t="s">
        <v>9901</v>
      </c>
      <c r="H2313" s="13"/>
      <c r="I2313" s="14">
        <v>0.0</v>
      </c>
      <c r="J2313" s="14">
        <v>0.0</v>
      </c>
      <c r="K2313" s="9" t="str">
        <f t="shared" ref="K2313:K2315" si="292">HYPERLINK("http://twitter.com/download/android","Twitter for Android")</f>
        <v>Twitter for Android</v>
      </c>
      <c r="L2313" s="15">
        <v>2.0</v>
      </c>
      <c r="M2313" s="15">
        <v>36.0</v>
      </c>
      <c r="N2313" s="15">
        <v>0.0</v>
      </c>
      <c r="O2313" s="16"/>
      <c r="P2313" s="17">
        <v>43702.99059027778</v>
      </c>
      <c r="Q2313" s="10" t="s">
        <v>9902</v>
      </c>
      <c r="R2313" s="10" t="s">
        <v>9903</v>
      </c>
      <c r="S2313" s="11" t="s">
        <v>9904</v>
      </c>
      <c r="T2313" s="13"/>
      <c r="U2313" s="18" t="str">
        <f>HYPERLINK("https://pbs.twimg.com/profile_images/1215880918021226496/6gFpxVBd.jpg","View")</f>
        <v>View</v>
      </c>
      <c r="V2313" s="13"/>
      <c r="W2313" s="13"/>
      <c r="X2313" s="13"/>
      <c r="Y2313" s="13"/>
      <c r="Z2313" s="13"/>
    </row>
    <row r="2314">
      <c r="A2314" s="8">
        <v>43848.07263888889</v>
      </c>
      <c r="B2314" s="9" t="str">
        <f>HYPERLINK("https://twitter.com/ambienteer","@ambienteer")</f>
        <v>@ambienteer</v>
      </c>
      <c r="C2314" s="10" t="s">
        <v>7694</v>
      </c>
      <c r="D2314" s="10" t="s">
        <v>9905</v>
      </c>
      <c r="E2314" s="9" t="str">
        <f>HYPERLINK("https://twitter.com/ambienteer/status/1218423927992733697","1218423927992733697")</f>
        <v>1218423927992733697</v>
      </c>
      <c r="F2314" s="13"/>
      <c r="G2314" s="11" t="s">
        <v>9906</v>
      </c>
      <c r="H2314" s="13"/>
      <c r="I2314" s="14">
        <v>1.0</v>
      </c>
      <c r="J2314" s="14">
        <v>6.0</v>
      </c>
      <c r="K2314" s="9" t="str">
        <f t="shared" si="292"/>
        <v>Twitter for Android</v>
      </c>
      <c r="L2314" s="15">
        <v>2903.0</v>
      </c>
      <c r="M2314" s="15">
        <v>1590.0</v>
      </c>
      <c r="N2314" s="15">
        <v>223.0</v>
      </c>
      <c r="O2314" s="16"/>
      <c r="P2314" s="17">
        <v>39843.23810185185</v>
      </c>
      <c r="Q2314" s="10" t="s">
        <v>7697</v>
      </c>
      <c r="R2314" s="10" t="s">
        <v>7698</v>
      </c>
      <c r="S2314" s="11" t="s">
        <v>7699</v>
      </c>
      <c r="T2314" s="13"/>
      <c r="U2314" s="18" t="str">
        <f>HYPERLINK("https://pbs.twimg.com/profile_images/1207288463172800513/LVquMHXw.jpg","View")</f>
        <v>View</v>
      </c>
      <c r="V2314" s="13"/>
      <c r="W2314" s="13"/>
      <c r="X2314" s="13"/>
      <c r="Y2314" s="13"/>
      <c r="Z2314" s="13"/>
    </row>
    <row r="2315">
      <c r="A2315" s="8">
        <v>43848.072499999995</v>
      </c>
      <c r="B2315" s="9" t="str">
        <f>HYPERLINK("https://twitter.com/DrWambua","@DrWambua")</f>
        <v>@DrWambua</v>
      </c>
      <c r="C2315" s="10" t="s">
        <v>9907</v>
      </c>
      <c r="D2315" s="10" t="s">
        <v>238</v>
      </c>
      <c r="E2315" s="9" t="str">
        <f>HYPERLINK("https://twitter.com/DrWambua/status/1218423879749832704","1218423879749832704")</f>
        <v>1218423879749832704</v>
      </c>
      <c r="F2315" s="13"/>
      <c r="G2315" s="13"/>
      <c r="H2315" s="13"/>
      <c r="I2315" s="14">
        <v>0.0</v>
      </c>
      <c r="J2315" s="14">
        <v>0.0</v>
      </c>
      <c r="K2315" s="9" t="str">
        <f t="shared" si="292"/>
        <v>Twitter for Android</v>
      </c>
      <c r="L2315" s="15">
        <v>1880.0</v>
      </c>
      <c r="M2315" s="15">
        <v>747.0</v>
      </c>
      <c r="N2315" s="15">
        <v>185.0</v>
      </c>
      <c r="O2315" s="16"/>
      <c r="P2315" s="17">
        <v>40814.587476851855</v>
      </c>
      <c r="Q2315" s="10" t="s">
        <v>9908</v>
      </c>
      <c r="R2315" s="10" t="s">
        <v>9909</v>
      </c>
      <c r="S2315" s="11" t="s">
        <v>9910</v>
      </c>
      <c r="T2315" s="13"/>
      <c r="U2315" s="18" t="str">
        <f>HYPERLINK("https://pbs.twimg.com/profile_images/1162467419656523776/1FBX99F-.jpg","View")</f>
        <v>View</v>
      </c>
      <c r="V2315" s="13"/>
      <c r="W2315" s="13"/>
      <c r="X2315" s="13"/>
      <c r="Y2315" s="13"/>
      <c r="Z2315" s="13"/>
    </row>
    <row r="2316">
      <c r="A2316" s="8">
        <v>43848.07071759259</v>
      </c>
      <c r="B2316" s="9" t="str">
        <f>HYPERLINK("https://twitter.com/InterimAmy","@InterimAmy")</f>
        <v>@InterimAmy</v>
      </c>
      <c r="C2316" s="10" t="s">
        <v>9911</v>
      </c>
      <c r="D2316" s="10" t="s">
        <v>9912</v>
      </c>
      <c r="E2316" s="9" t="str">
        <f>HYPERLINK("https://twitter.com/InterimAmy/status/1218423232874893315","1218423232874893315")</f>
        <v>1218423232874893315</v>
      </c>
      <c r="F2316" s="13"/>
      <c r="G2316" s="13"/>
      <c r="H2316" s="13"/>
      <c r="I2316" s="14">
        <v>0.0</v>
      </c>
      <c r="J2316" s="14">
        <v>8.0</v>
      </c>
      <c r="K2316" s="9" t="str">
        <f>HYPERLINK("http://twitter.com/download/iphone","Twitter for iPhone")</f>
        <v>Twitter for iPhone</v>
      </c>
      <c r="L2316" s="15">
        <v>1385.0</v>
      </c>
      <c r="M2316" s="15">
        <v>2280.0</v>
      </c>
      <c r="N2316" s="15">
        <v>37.0</v>
      </c>
      <c r="O2316" s="16"/>
      <c r="P2316" s="17">
        <v>41076.607766203706</v>
      </c>
      <c r="Q2316" s="10" t="s">
        <v>9913</v>
      </c>
      <c r="R2316" s="10" t="s">
        <v>9914</v>
      </c>
      <c r="S2316" s="11" t="s">
        <v>9915</v>
      </c>
      <c r="T2316" s="13"/>
      <c r="U2316" s="18" t="str">
        <f>HYPERLINK("https://pbs.twimg.com/profile_images/1175539194778804225/Z1NhYECn.jpg","View")</f>
        <v>View</v>
      </c>
      <c r="V2316" s="13"/>
      <c r="W2316" s="13"/>
      <c r="X2316" s="13"/>
      <c r="Y2316" s="13"/>
      <c r="Z2316" s="13"/>
    </row>
    <row r="2317">
      <c r="A2317" s="8">
        <v>43848.07026620371</v>
      </c>
      <c r="B2317" s="9" t="str">
        <f>HYPERLINK("https://twitter.com/translations2u","@translations2u")</f>
        <v>@translations2u</v>
      </c>
      <c r="C2317" s="10" t="s">
        <v>9916</v>
      </c>
      <c r="D2317" s="10" t="s">
        <v>9917</v>
      </c>
      <c r="E2317" s="9" t="str">
        <f>HYPERLINK("https://twitter.com/translations2u/status/1218423070286864384","1218423070286864384")</f>
        <v>1218423070286864384</v>
      </c>
      <c r="F2317" s="13"/>
      <c r="G2317" s="13"/>
      <c r="H2317" s="13"/>
      <c r="I2317" s="14">
        <v>0.0</v>
      </c>
      <c r="J2317" s="14">
        <v>1.0</v>
      </c>
      <c r="K2317" s="9" t="str">
        <f>HYPERLINK("https://mobile.twitter.com","Twitter Web App")</f>
        <v>Twitter Web App</v>
      </c>
      <c r="L2317" s="15">
        <v>390.0</v>
      </c>
      <c r="M2317" s="15">
        <v>761.0</v>
      </c>
      <c r="N2317" s="15">
        <v>15.0</v>
      </c>
      <c r="O2317" s="16"/>
      <c r="P2317" s="17">
        <v>39951.28738425926</v>
      </c>
      <c r="Q2317" s="10" t="s">
        <v>9918</v>
      </c>
      <c r="R2317" s="10" t="s">
        <v>9919</v>
      </c>
      <c r="S2317" s="11" t="s">
        <v>9920</v>
      </c>
      <c r="T2317" s="13"/>
      <c r="U2317" s="18" t="str">
        <f>HYPERLINK("https://pbs.twimg.com/profile_images/913774943476830208/ifqAaDyu.jpg","View")</f>
        <v>View</v>
      </c>
      <c r="V2317" s="13"/>
      <c r="W2317" s="13"/>
      <c r="X2317" s="13"/>
      <c r="Y2317" s="13"/>
      <c r="Z2317" s="13"/>
    </row>
    <row r="2318">
      <c r="A2318" s="8">
        <v>43848.070023148146</v>
      </c>
      <c r="B2318" s="9" t="str">
        <f>HYPERLINK("https://twitter.com/LloydMSATC","@LloydMSATC")</f>
        <v>@LloydMSATC</v>
      </c>
      <c r="C2318" s="10" t="s">
        <v>9921</v>
      </c>
      <c r="D2318" s="10" t="s">
        <v>9922</v>
      </c>
      <c r="E2318" s="9" t="str">
        <f>HYPERLINK("https://twitter.com/LloydMSATC/status/1218422979572441088","1218422979572441088")</f>
        <v>1218422979572441088</v>
      </c>
      <c r="F2318" s="13"/>
      <c r="G2318" s="13"/>
      <c r="H2318" s="13"/>
      <c r="I2318" s="14">
        <v>0.0</v>
      </c>
      <c r="J2318" s="14">
        <v>5.0</v>
      </c>
      <c r="K2318" s="9" t="str">
        <f>HYPERLINK("http://twitter.com/download/iphone","Twitter for iPhone")</f>
        <v>Twitter for iPhone</v>
      </c>
      <c r="L2318" s="15">
        <v>1361.0</v>
      </c>
      <c r="M2318" s="15">
        <v>4250.0</v>
      </c>
      <c r="N2318" s="15">
        <v>13.0</v>
      </c>
      <c r="O2318" s="16"/>
      <c r="P2318" s="17">
        <v>41659.5325</v>
      </c>
      <c r="Q2318" s="10" t="s">
        <v>9923</v>
      </c>
      <c r="R2318" s="10" t="s">
        <v>9924</v>
      </c>
      <c r="S2318" s="13"/>
      <c r="T2318" s="13"/>
      <c r="U2318" s="18" t="str">
        <f>HYPERLINK("https://pbs.twimg.com/profile_images/1113251263288893440/TkQA_0ts.jpg","View")</f>
        <v>View</v>
      </c>
      <c r="V2318" s="13"/>
      <c r="W2318" s="13"/>
      <c r="X2318" s="13"/>
      <c r="Y2318" s="13"/>
      <c r="Z2318" s="13"/>
    </row>
    <row r="2319">
      <c r="A2319" s="8">
        <v>43848.06990740741</v>
      </c>
      <c r="B2319" s="9" t="str">
        <f>HYPERLINK("https://twitter.com/kamna_chhibber","@kamna_chhibber")</f>
        <v>@kamna_chhibber</v>
      </c>
      <c r="C2319" s="10" t="s">
        <v>9925</v>
      </c>
      <c r="D2319" s="10" t="s">
        <v>9926</v>
      </c>
      <c r="E2319" s="9" t="str">
        <f>HYPERLINK("https://twitter.com/kamna_chhibber/status/1218422937360822273","1218422937360822273")</f>
        <v>1218422937360822273</v>
      </c>
      <c r="F2319" s="11" t="s">
        <v>9927</v>
      </c>
      <c r="G2319" s="11" t="s">
        <v>9928</v>
      </c>
      <c r="H2319" s="13"/>
      <c r="I2319" s="14">
        <v>1.0</v>
      </c>
      <c r="J2319" s="14">
        <v>3.0</v>
      </c>
      <c r="K2319" s="9" t="str">
        <f t="shared" ref="K2319:K2321" si="293">HYPERLINK("http://twitter.com/download/android","Twitter for Android")</f>
        <v>Twitter for Android</v>
      </c>
      <c r="L2319" s="15">
        <v>861.0</v>
      </c>
      <c r="M2319" s="15">
        <v>250.0</v>
      </c>
      <c r="N2319" s="15">
        <v>16.0</v>
      </c>
      <c r="O2319" s="16"/>
      <c r="P2319" s="17">
        <v>40326.63486111111</v>
      </c>
      <c r="Q2319" s="10" t="s">
        <v>9929</v>
      </c>
      <c r="R2319" s="10" t="s">
        <v>9930</v>
      </c>
      <c r="S2319" s="11" t="s">
        <v>9931</v>
      </c>
      <c r="T2319" s="13"/>
      <c r="U2319" s="18" t="str">
        <f>HYPERLINK("https://pbs.twimg.com/profile_images/1149006789188304897/Ir4wfnvn.jpg","View")</f>
        <v>View</v>
      </c>
      <c r="V2319" s="13"/>
      <c r="W2319" s="13"/>
      <c r="X2319" s="13"/>
      <c r="Y2319" s="13"/>
      <c r="Z2319" s="13"/>
    </row>
    <row r="2320">
      <c r="A2320" s="8">
        <v>43848.06947916667</v>
      </c>
      <c r="B2320" s="9" t="str">
        <f>HYPERLINK("https://twitter.com/KamleshArvindr1","@KamleshArvindr1")</f>
        <v>@KamleshArvindr1</v>
      </c>
      <c r="C2320" s="10" t="s">
        <v>9932</v>
      </c>
      <c r="D2320" s="10" t="s">
        <v>9933</v>
      </c>
      <c r="E2320" s="9" t="str">
        <f>HYPERLINK("https://twitter.com/KamleshArvindr1/status/1218422784616828928","1218422784616828928")</f>
        <v>1218422784616828928</v>
      </c>
      <c r="F2320" s="13"/>
      <c r="G2320" s="11" t="s">
        <v>9934</v>
      </c>
      <c r="H2320" s="13"/>
      <c r="I2320" s="14">
        <v>0.0</v>
      </c>
      <c r="J2320" s="14">
        <v>0.0</v>
      </c>
      <c r="K2320" s="9" t="str">
        <f t="shared" si="293"/>
        <v>Twitter for Android</v>
      </c>
      <c r="L2320" s="15">
        <v>21.0</v>
      </c>
      <c r="M2320" s="15">
        <v>234.0</v>
      </c>
      <c r="N2320" s="15">
        <v>1.0</v>
      </c>
      <c r="O2320" s="16"/>
      <c r="P2320" s="17">
        <v>43326.41150462963</v>
      </c>
      <c r="Q2320" s="10" t="s">
        <v>9935</v>
      </c>
      <c r="R2320" s="10" t="s">
        <v>9936</v>
      </c>
      <c r="S2320" s="13"/>
      <c r="T2320" s="13"/>
      <c r="U2320" s="18" t="str">
        <f>HYPERLINK("https://pbs.twimg.com/profile_images/1062922744482787328/QQ6Ojgq2.jpg","View")</f>
        <v>View</v>
      </c>
      <c r="V2320" s="13"/>
      <c r="W2320" s="13"/>
      <c r="X2320" s="13"/>
      <c r="Y2320" s="13"/>
      <c r="Z2320" s="13"/>
    </row>
    <row r="2321">
      <c r="A2321" s="8">
        <v>43848.069236111114</v>
      </c>
      <c r="B2321" s="9" t="str">
        <f>HYPERLINK("https://twitter.com/chango600","@chango600")</f>
        <v>@chango600</v>
      </c>
      <c r="C2321" s="10" t="s">
        <v>9937</v>
      </c>
      <c r="D2321" s="10" t="s">
        <v>238</v>
      </c>
      <c r="E2321" s="9" t="str">
        <f>HYPERLINK("https://twitter.com/chango600/status/1218422697451016192","1218422697451016192")</f>
        <v>1218422697451016192</v>
      </c>
      <c r="F2321" s="13"/>
      <c r="G2321" s="13"/>
      <c r="H2321" s="13"/>
      <c r="I2321" s="14">
        <v>0.0</v>
      </c>
      <c r="J2321" s="14">
        <v>0.0</v>
      </c>
      <c r="K2321" s="9" t="str">
        <f t="shared" si="293"/>
        <v>Twitter for Android</v>
      </c>
      <c r="L2321" s="15">
        <v>94.0</v>
      </c>
      <c r="M2321" s="15">
        <v>292.0</v>
      </c>
      <c r="N2321" s="15">
        <v>0.0</v>
      </c>
      <c r="O2321" s="16"/>
      <c r="P2321" s="17">
        <v>40039.3290625</v>
      </c>
      <c r="Q2321" s="10" t="s">
        <v>35</v>
      </c>
      <c r="R2321" s="13"/>
      <c r="S2321" s="13"/>
      <c r="T2321" s="13"/>
      <c r="U2321" s="18" t="str">
        <f>HYPERLINK("https://pbs.twimg.com/profile_images/1181774905479593985/m3ALeyiF.jpg","View")</f>
        <v>View</v>
      </c>
      <c r="V2321" s="13"/>
      <c r="W2321" s="13"/>
      <c r="X2321" s="13"/>
      <c r="Y2321" s="13"/>
      <c r="Z2321" s="13"/>
    </row>
    <row r="2322">
      <c r="A2322" s="8">
        <v>43848.068506944444</v>
      </c>
      <c r="B2322" s="9" t="str">
        <f>HYPERLINK("https://twitter.com/DenizReno","@DenizReno")</f>
        <v>@DenizReno</v>
      </c>
      <c r="C2322" s="10" t="s">
        <v>9938</v>
      </c>
      <c r="D2322" s="10" t="s">
        <v>9939</v>
      </c>
      <c r="E2322" s="9" t="str">
        <f>HYPERLINK("https://twitter.com/DenizReno/status/1218422430617620480","1218422430617620480")</f>
        <v>1218422430617620480</v>
      </c>
      <c r="F2322" s="11" t="s">
        <v>9940</v>
      </c>
      <c r="G2322" s="11" t="s">
        <v>9941</v>
      </c>
      <c r="H2322" s="13"/>
      <c r="I2322" s="14">
        <v>0.0</v>
      </c>
      <c r="J2322" s="14">
        <v>1.0</v>
      </c>
      <c r="K2322" s="9" t="str">
        <f t="shared" ref="K2322:K2323" si="294">HYPERLINK("http://twitter.com/download/iphone","Twitter for iPhone")</f>
        <v>Twitter for iPhone</v>
      </c>
      <c r="L2322" s="15">
        <v>357.0</v>
      </c>
      <c r="M2322" s="15">
        <v>75.0</v>
      </c>
      <c r="N2322" s="15">
        <v>3.0</v>
      </c>
      <c r="O2322" s="16"/>
      <c r="P2322" s="17">
        <v>43070.97174768518</v>
      </c>
      <c r="Q2322" s="10" t="s">
        <v>474</v>
      </c>
      <c r="R2322" s="10" t="s">
        <v>9942</v>
      </c>
      <c r="S2322" s="11" t="s">
        <v>9943</v>
      </c>
      <c r="T2322" s="13"/>
      <c r="U2322" s="18" t="str">
        <f>HYPERLINK("https://pbs.twimg.com/profile_images/1218421407048032257/CPYxbBii.jpg","View")</f>
        <v>View</v>
      </c>
      <c r="V2322" s="13"/>
      <c r="W2322" s="13"/>
      <c r="X2322" s="13"/>
      <c r="Y2322" s="13"/>
      <c r="Z2322" s="13"/>
    </row>
    <row r="2323">
      <c r="A2323" s="8">
        <v>43848.06827546297</v>
      </c>
      <c r="B2323" s="9" t="str">
        <f>HYPERLINK("https://twitter.com/DJClimpo","@DJClimpo")</f>
        <v>@DJClimpo</v>
      </c>
      <c r="C2323" s="10" t="s">
        <v>9944</v>
      </c>
      <c r="D2323" s="10" t="s">
        <v>9945</v>
      </c>
      <c r="E2323" s="9" t="str">
        <f>HYPERLINK("https://twitter.com/DJClimpo/status/1218422345465040900","1218422345465040900")</f>
        <v>1218422345465040900</v>
      </c>
      <c r="F2323" s="13"/>
      <c r="G2323" s="11" t="s">
        <v>9946</v>
      </c>
      <c r="H2323" s="13"/>
      <c r="I2323" s="14">
        <v>3.0</v>
      </c>
      <c r="J2323" s="14">
        <v>7.0</v>
      </c>
      <c r="K2323" s="9" t="str">
        <f t="shared" si="294"/>
        <v>Twitter for iPhone</v>
      </c>
      <c r="L2323" s="15">
        <v>3133.0</v>
      </c>
      <c r="M2323" s="15">
        <v>3009.0</v>
      </c>
      <c r="N2323" s="15">
        <v>11.0</v>
      </c>
      <c r="O2323" s="16"/>
      <c r="P2323" s="17">
        <v>43321.582870370374</v>
      </c>
      <c r="Q2323" s="10" t="s">
        <v>9947</v>
      </c>
      <c r="R2323" s="10" t="s">
        <v>9948</v>
      </c>
      <c r="S2323" s="11" t="s">
        <v>9949</v>
      </c>
      <c r="T2323" s="13"/>
      <c r="U2323" s="18" t="str">
        <f>HYPERLINK("https://pbs.twimg.com/profile_images/1213050135678201856/YrNpBfML.jpg","View")</f>
        <v>View</v>
      </c>
      <c r="V2323" s="13"/>
      <c r="W2323" s="13"/>
      <c r="X2323" s="13"/>
      <c r="Y2323" s="13"/>
      <c r="Z2323" s="13"/>
    </row>
    <row r="2324">
      <c r="A2324" s="8">
        <v>43848.06805555556</v>
      </c>
      <c r="B2324" s="9" t="str">
        <f>HYPERLINK("https://twitter.com/BekaLombardo","@BekaLombardo")</f>
        <v>@BekaLombardo</v>
      </c>
      <c r="C2324" s="10" t="s">
        <v>4328</v>
      </c>
      <c r="D2324" s="10" t="s">
        <v>7669</v>
      </c>
      <c r="E2324" s="9" t="str">
        <f>HYPERLINK("https://twitter.com/BekaLombardo/status/1218422269262925824","1218422269262925824")</f>
        <v>1218422269262925824</v>
      </c>
      <c r="F2324" s="11" t="s">
        <v>4330</v>
      </c>
      <c r="G2324" s="10" t="s">
        <v>9950</v>
      </c>
      <c r="H2324" s="13"/>
      <c r="I2324" s="14">
        <v>0.0</v>
      </c>
      <c r="J2324" s="14">
        <v>0.0</v>
      </c>
      <c r="K2324" s="9" t="str">
        <f t="shared" ref="K2324:K2325" si="295">HYPERLINK("http://twitter.com/download/android","Twitter for Android")</f>
        <v>Twitter for Android</v>
      </c>
      <c r="L2324" s="15">
        <v>33548.0</v>
      </c>
      <c r="M2324" s="15">
        <v>9659.0</v>
      </c>
      <c r="N2324" s="15">
        <v>672.0</v>
      </c>
      <c r="O2324" s="21" t="s">
        <v>522</v>
      </c>
      <c r="P2324" s="17">
        <v>41797.81868055556</v>
      </c>
      <c r="Q2324" s="11" t="s">
        <v>4331</v>
      </c>
      <c r="R2324" s="10" t="s">
        <v>4332</v>
      </c>
      <c r="S2324" s="11" t="s">
        <v>4333</v>
      </c>
      <c r="T2324" s="13"/>
      <c r="U2324" s="18" t="str">
        <f>HYPERLINK("https://pbs.twimg.com/profile_images/1216557433289691136/VlzpS8o_.jpg","View")</f>
        <v>View</v>
      </c>
      <c r="V2324" s="13"/>
      <c r="W2324" s="13"/>
      <c r="X2324" s="13"/>
      <c r="Y2324" s="13"/>
      <c r="Z2324" s="13"/>
    </row>
    <row r="2325">
      <c r="A2325" s="8">
        <v>43848.06685185185</v>
      </c>
      <c r="B2325" s="9" t="str">
        <f>HYPERLINK("https://twitter.com/AaronKoul14","@AaronKoul14")</f>
        <v>@AaronKoul14</v>
      </c>
      <c r="C2325" s="10" t="s">
        <v>9951</v>
      </c>
      <c r="D2325" s="10" t="s">
        <v>9952</v>
      </c>
      <c r="E2325" s="9" t="str">
        <f>HYPERLINK("https://twitter.com/AaronKoul14/status/1218421832786690048","1218421832786690048")</f>
        <v>1218421832786690048</v>
      </c>
      <c r="F2325" s="13"/>
      <c r="G2325" s="13"/>
      <c r="H2325" s="13"/>
      <c r="I2325" s="14">
        <v>1.0</v>
      </c>
      <c r="J2325" s="14">
        <v>1.0</v>
      </c>
      <c r="K2325" s="9" t="str">
        <f t="shared" si="295"/>
        <v>Twitter for Android</v>
      </c>
      <c r="L2325" s="15">
        <v>98.0</v>
      </c>
      <c r="M2325" s="15">
        <v>176.0</v>
      </c>
      <c r="N2325" s="15">
        <v>2.0</v>
      </c>
      <c r="O2325" s="16"/>
      <c r="P2325" s="17">
        <v>40920.20957175926</v>
      </c>
      <c r="Q2325" s="10" t="s">
        <v>2998</v>
      </c>
      <c r="R2325" s="10" t="s">
        <v>9953</v>
      </c>
      <c r="S2325" s="13"/>
      <c r="T2325" s="13"/>
      <c r="U2325" s="18" t="str">
        <f>HYPERLINK("https://pbs.twimg.com/profile_images/1210864162030534657/hkBRhADq.jpg","View")</f>
        <v>View</v>
      </c>
      <c r="V2325" s="13"/>
      <c r="W2325" s="13"/>
      <c r="X2325" s="13"/>
      <c r="Y2325" s="13"/>
      <c r="Z2325" s="13"/>
    </row>
    <row r="2326">
      <c r="A2326" s="8">
        <v>43848.066828703704</v>
      </c>
      <c r="B2326" s="9" t="str">
        <f>HYPERLINK("https://twitter.com/Imheret45140132","@Imheret45140132")</f>
        <v>@Imheret45140132</v>
      </c>
      <c r="C2326" s="10" t="s">
        <v>828</v>
      </c>
      <c r="D2326" s="10" t="s">
        <v>9954</v>
      </c>
      <c r="E2326" s="9" t="str">
        <f>HYPERLINK("https://twitter.com/Imheret45140132/status/1218421823009849344","1218421823009849344")</f>
        <v>1218421823009849344</v>
      </c>
      <c r="F2326" s="13"/>
      <c r="G2326" s="13"/>
      <c r="H2326" s="13"/>
      <c r="I2326" s="14">
        <v>0.0</v>
      </c>
      <c r="J2326" s="14">
        <v>0.0</v>
      </c>
      <c r="K2326" s="9" t="str">
        <f>HYPERLINK("https://cheapbotsdonequick.com","Cheap Bots, Done Quick!")</f>
        <v>Cheap Bots, Done Quick!</v>
      </c>
      <c r="L2326" s="15">
        <v>14.0</v>
      </c>
      <c r="M2326" s="15">
        <v>0.0</v>
      </c>
      <c r="N2326" s="15">
        <v>0.0</v>
      </c>
      <c r="O2326" s="16"/>
      <c r="P2326" s="17">
        <v>43686.97521990741</v>
      </c>
      <c r="Q2326" s="13"/>
      <c r="R2326" s="10" t="s">
        <v>830</v>
      </c>
      <c r="S2326" s="13"/>
      <c r="T2326" s="13"/>
      <c r="U2326" s="18" t="str">
        <f>HYPERLINK("https://pbs.twimg.com/profile_images/1160030521675722753/4elwdbfT.jpg","View")</f>
        <v>View</v>
      </c>
      <c r="V2326" s="13"/>
      <c r="W2326" s="13"/>
      <c r="X2326" s="13"/>
      <c r="Y2326" s="13"/>
      <c r="Z2326" s="13"/>
    </row>
    <row r="2327">
      <c r="A2327" s="8">
        <v>43848.066354166665</v>
      </c>
      <c r="B2327" s="9" t="str">
        <f>HYPERLINK("https://twitter.com/adamfennessy","@adamfennessy")</f>
        <v>@adamfennessy</v>
      </c>
      <c r="C2327" s="10" t="s">
        <v>9955</v>
      </c>
      <c r="D2327" s="10" t="s">
        <v>9956</v>
      </c>
      <c r="E2327" s="9" t="str">
        <f>HYPERLINK("https://twitter.com/adamfennessy/status/1218421650376417285","1218421650376417285")</f>
        <v>1218421650376417285</v>
      </c>
      <c r="F2327" s="11" t="s">
        <v>9957</v>
      </c>
      <c r="G2327" s="13"/>
      <c r="H2327" s="13"/>
      <c r="I2327" s="14">
        <v>0.0</v>
      </c>
      <c r="J2327" s="14">
        <v>1.0</v>
      </c>
      <c r="K2327" s="9" t="str">
        <f>HYPERLINK("http://twitter.com/download/iphone","Twitter for iPhone")</f>
        <v>Twitter for iPhone</v>
      </c>
      <c r="L2327" s="15">
        <v>3314.0</v>
      </c>
      <c r="M2327" s="15">
        <v>4918.0</v>
      </c>
      <c r="N2327" s="15">
        <v>0.0</v>
      </c>
      <c r="O2327" s="16"/>
      <c r="P2327" s="17">
        <v>41449.37525462963</v>
      </c>
      <c r="Q2327" s="10" t="s">
        <v>9958</v>
      </c>
      <c r="R2327" s="10" t="s">
        <v>9959</v>
      </c>
      <c r="S2327" s="11" t="s">
        <v>9960</v>
      </c>
      <c r="T2327" s="13"/>
      <c r="U2327" s="18" t="str">
        <f>HYPERLINK("https://pbs.twimg.com/profile_images/1182828833143046144/GrxvdXCC.jpg","View")</f>
        <v>View</v>
      </c>
      <c r="V2327" s="13"/>
      <c r="W2327" s="13"/>
      <c r="X2327" s="13"/>
      <c r="Y2327" s="13"/>
      <c r="Z2327" s="13"/>
    </row>
    <row r="2328">
      <c r="A2328" s="8">
        <v>43848.06623842593</v>
      </c>
      <c r="B2328" s="9" t="str">
        <f>HYPERLINK("https://twitter.com/meannectarine","@meannectarine")</f>
        <v>@meannectarine</v>
      </c>
      <c r="C2328" s="10" t="s">
        <v>9961</v>
      </c>
      <c r="D2328" s="10" t="s">
        <v>9962</v>
      </c>
      <c r="E2328" s="9" t="str">
        <f>HYPERLINK("https://twitter.com/meannectarine/status/1218421611256328192","1218421611256328192")</f>
        <v>1218421611256328192</v>
      </c>
      <c r="F2328" s="11" t="s">
        <v>9963</v>
      </c>
      <c r="G2328" s="13"/>
      <c r="H2328" s="13"/>
      <c r="I2328" s="14">
        <v>0.0</v>
      </c>
      <c r="J2328" s="14">
        <v>1.0</v>
      </c>
      <c r="K2328" s="9" t="str">
        <f t="shared" ref="K2328:K2329" si="296">HYPERLINK("http://twitter.com/download/android","Twitter for Android")</f>
        <v>Twitter for Android</v>
      </c>
      <c r="L2328" s="15">
        <v>112.0</v>
      </c>
      <c r="M2328" s="15">
        <v>279.0</v>
      </c>
      <c r="N2328" s="15">
        <v>3.0</v>
      </c>
      <c r="O2328" s="16"/>
      <c r="P2328" s="17">
        <v>41884.588217592594</v>
      </c>
      <c r="Q2328" s="10" t="s">
        <v>9964</v>
      </c>
      <c r="R2328" s="10" t="s">
        <v>9965</v>
      </c>
      <c r="S2328" s="11" t="s">
        <v>9966</v>
      </c>
      <c r="T2328" s="13"/>
      <c r="U2328" s="18" t="str">
        <f>HYPERLINK("https://pbs.twimg.com/profile_images/1181894068210749440/6Qmef3Cr.jpg","View")</f>
        <v>View</v>
      </c>
      <c r="V2328" s="13"/>
      <c r="W2328" s="13"/>
      <c r="X2328" s="13"/>
      <c r="Y2328" s="13"/>
      <c r="Z2328" s="13"/>
    </row>
    <row r="2329">
      <c r="A2329" s="8">
        <v>43848.0646412037</v>
      </c>
      <c r="B2329" s="9" t="str">
        <f>HYPERLINK("https://twitter.com/kausal_8","@kausal_8")</f>
        <v>@kausal_8</v>
      </c>
      <c r="C2329" s="10" t="s">
        <v>9967</v>
      </c>
      <c r="D2329" s="10" t="s">
        <v>238</v>
      </c>
      <c r="E2329" s="9" t="str">
        <f>HYPERLINK("https://twitter.com/kausal_8/status/1218421031821381632","1218421031821381632")</f>
        <v>1218421031821381632</v>
      </c>
      <c r="F2329" s="13"/>
      <c r="G2329" s="13"/>
      <c r="H2329" s="13"/>
      <c r="I2329" s="14">
        <v>0.0</v>
      </c>
      <c r="J2329" s="14">
        <v>0.0</v>
      </c>
      <c r="K2329" s="9" t="str">
        <f t="shared" si="296"/>
        <v>Twitter for Android</v>
      </c>
      <c r="L2329" s="15">
        <v>362.0</v>
      </c>
      <c r="M2329" s="15">
        <v>3942.0</v>
      </c>
      <c r="N2329" s="15">
        <v>0.0</v>
      </c>
      <c r="O2329" s="16"/>
      <c r="P2329" s="17">
        <v>40429.38285879629</v>
      </c>
      <c r="Q2329" s="10" t="s">
        <v>9968</v>
      </c>
      <c r="R2329" s="10" t="s">
        <v>9969</v>
      </c>
      <c r="S2329" s="13"/>
      <c r="T2329" s="13"/>
      <c r="U2329" s="18" t="str">
        <f>HYPERLINK("https://pbs.twimg.com/profile_images/735080121426677760/VKh9CADo.jpg","View")</f>
        <v>View</v>
      </c>
      <c r="V2329" s="13"/>
      <c r="W2329" s="13"/>
      <c r="X2329" s="13"/>
      <c r="Y2329" s="13"/>
      <c r="Z2329" s="13"/>
    </row>
    <row r="2330">
      <c r="A2330" s="8">
        <v>43848.064618055556</v>
      </c>
      <c r="B2330" s="9" t="str">
        <f>HYPERLINK("https://twitter.com/cptsdfoundation","@cptsdfoundation")</f>
        <v>@cptsdfoundation</v>
      </c>
      <c r="C2330" s="10" t="s">
        <v>9970</v>
      </c>
      <c r="D2330" s="10" t="s">
        <v>9971</v>
      </c>
      <c r="E2330" s="9" t="str">
        <f>HYPERLINK("https://twitter.com/cptsdfoundation/status/1218421020673048576","1218421020673048576")</f>
        <v>1218421020673048576</v>
      </c>
      <c r="F2330" s="13"/>
      <c r="G2330" s="11" t="s">
        <v>9972</v>
      </c>
      <c r="H2330" s="13"/>
      <c r="I2330" s="14">
        <v>6.0</v>
      </c>
      <c r="J2330" s="14">
        <v>11.0</v>
      </c>
      <c r="K2330" s="9" t="str">
        <f>HYPERLINK("https://panel.socialpilot.co/","SocialPilot.co")</f>
        <v>SocialPilot.co</v>
      </c>
      <c r="L2330" s="15">
        <v>1370.0</v>
      </c>
      <c r="M2330" s="15">
        <v>18.0</v>
      </c>
      <c r="N2330" s="15">
        <v>18.0</v>
      </c>
      <c r="O2330" s="16"/>
      <c r="P2330" s="17">
        <v>42619.81172453704</v>
      </c>
      <c r="Q2330" s="10" t="s">
        <v>9973</v>
      </c>
      <c r="R2330" s="10" t="s">
        <v>9974</v>
      </c>
      <c r="S2330" s="11" t="s">
        <v>9975</v>
      </c>
      <c r="T2330" s="13"/>
      <c r="U2330" s="18" t="str">
        <f>HYPERLINK("https://pbs.twimg.com/profile_images/1018905781167509504/lMqp8_Yp.jpg","View")</f>
        <v>View</v>
      </c>
      <c r="V2330" s="13"/>
      <c r="W2330" s="13"/>
      <c r="X2330" s="13"/>
      <c r="Y2330" s="13"/>
      <c r="Z2330" s="13"/>
    </row>
    <row r="2331">
      <c r="A2331" s="8">
        <v>43848.062627314815</v>
      </c>
      <c r="B2331" s="9" t="str">
        <f>HYPERLINK("https://twitter.com/FSonnenberg","@FSonnenberg")</f>
        <v>@FSonnenberg</v>
      </c>
      <c r="C2331" s="10" t="s">
        <v>2059</v>
      </c>
      <c r="D2331" s="10" t="s">
        <v>9976</v>
      </c>
      <c r="E2331" s="9" t="str">
        <f>HYPERLINK("https://twitter.com/FSonnenberg/status/1218420300938870784","1218420300938870784")</f>
        <v>1218420300938870784</v>
      </c>
      <c r="F2331" s="11" t="s">
        <v>9977</v>
      </c>
      <c r="G2331" s="13"/>
      <c r="H2331" s="13"/>
      <c r="I2331" s="14">
        <v>0.0</v>
      </c>
      <c r="J2331" s="14">
        <v>0.0</v>
      </c>
      <c r="K2331" s="9" t="str">
        <f>HYPERLINK("https://www.socialjukebox.com","The Social Jukebox")</f>
        <v>The Social Jukebox</v>
      </c>
      <c r="L2331" s="15">
        <v>93856.0</v>
      </c>
      <c r="M2331" s="15">
        <v>61542.0</v>
      </c>
      <c r="N2331" s="15">
        <v>2658.0</v>
      </c>
      <c r="O2331" s="16"/>
      <c r="P2331" s="17">
        <v>40419.65079861111</v>
      </c>
      <c r="Q2331" s="10" t="s">
        <v>2062</v>
      </c>
      <c r="R2331" s="10" t="s">
        <v>2063</v>
      </c>
      <c r="S2331" s="11" t="s">
        <v>2064</v>
      </c>
      <c r="T2331" s="13"/>
      <c r="U2331" s="18" t="str">
        <f>HYPERLINK("https://pbs.twimg.com/profile_images/841693592733155328/Hk0DSFtA.jpg","View")</f>
        <v>View</v>
      </c>
      <c r="V2331" s="13"/>
      <c r="W2331" s="13"/>
      <c r="X2331" s="13"/>
      <c r="Y2331" s="13"/>
      <c r="Z2331" s="13"/>
    </row>
    <row r="2332">
      <c r="A2332" s="8">
        <v>43848.06251157407</v>
      </c>
      <c r="B2332" s="9" t="str">
        <f>HYPERLINK("https://twitter.com/wysabuddy","@wysabuddy")</f>
        <v>@wysabuddy</v>
      </c>
      <c r="C2332" s="10" t="s">
        <v>325</v>
      </c>
      <c r="D2332" s="10" t="s">
        <v>9978</v>
      </c>
      <c r="E2332" s="9" t="str">
        <f>HYPERLINK("https://twitter.com/wysabuddy/status/1218420258870038529","1218420258870038529")</f>
        <v>1218420258870038529</v>
      </c>
      <c r="F2332" s="11" t="s">
        <v>9979</v>
      </c>
      <c r="G2332" s="13"/>
      <c r="H2332" s="13"/>
      <c r="I2332" s="14">
        <v>1.0</v>
      </c>
      <c r="J2332" s="14">
        <v>6.0</v>
      </c>
      <c r="K2332" s="9" t="str">
        <f>HYPERLINK("https://sproutsocial.com","Sprout Social")</f>
        <v>Sprout Social</v>
      </c>
      <c r="L2332" s="15">
        <v>3943.0</v>
      </c>
      <c r="M2332" s="15">
        <v>981.0</v>
      </c>
      <c r="N2332" s="15">
        <v>163.0</v>
      </c>
      <c r="O2332" s="16"/>
      <c r="P2332" s="17">
        <v>41735.31763888889</v>
      </c>
      <c r="Q2332" s="10" t="s">
        <v>329</v>
      </c>
      <c r="R2332" s="10" t="s">
        <v>330</v>
      </c>
      <c r="S2332" s="11" t="s">
        <v>327</v>
      </c>
      <c r="T2332" s="13"/>
      <c r="U2332" s="18" t="str">
        <f>HYPERLINK("https://pbs.twimg.com/profile_images/986922852900159488/b-suTNS6.jpg","View")</f>
        <v>View</v>
      </c>
      <c r="V2332" s="13"/>
      <c r="W2332" s="13"/>
      <c r="X2332" s="13"/>
      <c r="Y2332" s="13"/>
      <c r="Z2332" s="13"/>
    </row>
    <row r="2333">
      <c r="A2333" s="8">
        <v>43848.06238425926</v>
      </c>
      <c r="B2333" s="9" t="str">
        <f>HYPERLINK("https://twitter.com/bkabugo","@bkabugo")</f>
        <v>@bkabugo</v>
      </c>
      <c r="C2333" s="10" t="s">
        <v>9980</v>
      </c>
      <c r="D2333" s="10" t="s">
        <v>238</v>
      </c>
      <c r="E2333" s="9" t="str">
        <f>HYPERLINK("https://twitter.com/bkabugo/status/1218420213403783168","1218420213403783168")</f>
        <v>1218420213403783168</v>
      </c>
      <c r="F2333" s="13"/>
      <c r="G2333" s="13"/>
      <c r="H2333" s="13"/>
      <c r="I2333" s="14">
        <v>0.0</v>
      </c>
      <c r="J2333" s="14">
        <v>0.0</v>
      </c>
      <c r="K2333" s="9" t="str">
        <f t="shared" ref="K2333:K2334" si="297">HYPERLINK("http://twitter.com/download/android","Twitter for Android")</f>
        <v>Twitter for Android</v>
      </c>
      <c r="L2333" s="15">
        <v>22.0</v>
      </c>
      <c r="M2333" s="15">
        <v>77.0</v>
      </c>
      <c r="N2333" s="15">
        <v>0.0</v>
      </c>
      <c r="O2333" s="16"/>
      <c r="P2333" s="17">
        <v>40349.3790625</v>
      </c>
      <c r="Q2333" s="10" t="s">
        <v>9981</v>
      </c>
      <c r="R2333" s="10" t="s">
        <v>9982</v>
      </c>
      <c r="S2333" s="13"/>
      <c r="T2333" s="13"/>
      <c r="U2333" s="21" t="s">
        <v>292</v>
      </c>
      <c r="V2333" s="13"/>
      <c r="W2333" s="13"/>
      <c r="X2333" s="13"/>
      <c r="Y2333" s="13"/>
      <c r="Z2333" s="13"/>
    </row>
    <row r="2334">
      <c r="A2334" s="8">
        <v>43848.0622337963</v>
      </c>
      <c r="B2334" s="9" t="str">
        <f>HYPERLINK("https://twitter.com/dr_samirparikh","@dr_samirparikh")</f>
        <v>@dr_samirparikh</v>
      </c>
      <c r="C2334" s="10" t="s">
        <v>9983</v>
      </c>
      <c r="D2334" s="10" t="s">
        <v>9984</v>
      </c>
      <c r="E2334" s="9" t="str">
        <f>HYPERLINK("https://twitter.com/dr_samirparikh/status/1218420156759773185","1218420156759773185")</f>
        <v>1218420156759773185</v>
      </c>
      <c r="F2334" s="11" t="s">
        <v>9927</v>
      </c>
      <c r="G2334" s="11" t="s">
        <v>9928</v>
      </c>
      <c r="H2334" s="13"/>
      <c r="I2334" s="14">
        <v>3.0</v>
      </c>
      <c r="J2334" s="14">
        <v>10.0</v>
      </c>
      <c r="K2334" s="9" t="str">
        <f t="shared" si="297"/>
        <v>Twitter for Android</v>
      </c>
      <c r="L2334" s="15">
        <v>1580.0</v>
      </c>
      <c r="M2334" s="15">
        <v>17.0</v>
      </c>
      <c r="N2334" s="15">
        <v>23.0</v>
      </c>
      <c r="O2334" s="16"/>
      <c r="P2334" s="17">
        <v>40306.1478125</v>
      </c>
      <c r="Q2334" s="10" t="s">
        <v>9985</v>
      </c>
      <c r="R2334" s="10" t="s">
        <v>9986</v>
      </c>
      <c r="S2334" s="13"/>
      <c r="T2334" s="13"/>
      <c r="U2334" s="18" t="str">
        <f>HYPERLINK("https://pbs.twimg.com/profile_images/857447341434978304/U2yZnwH-.jpg","View")</f>
        <v>View</v>
      </c>
      <c r="V2334" s="13"/>
      <c r="W2334" s="13"/>
      <c r="X2334" s="13"/>
      <c r="Y2334" s="13"/>
      <c r="Z2334" s="13"/>
    </row>
    <row r="2335">
      <c r="A2335" s="8">
        <v>43848.06181712963</v>
      </c>
      <c r="B2335" s="9" t="str">
        <f>HYPERLINK("https://twitter.com/ceruleanbludev","@ceruleanbludev")</f>
        <v>@ceruleanbludev</v>
      </c>
      <c r="C2335" s="10" t="s">
        <v>9987</v>
      </c>
      <c r="D2335" s="10" t="s">
        <v>9988</v>
      </c>
      <c r="E2335" s="9" t="str">
        <f>HYPERLINK("https://twitter.com/ceruleanbludev/status/1218420007421534213","1218420007421534213")</f>
        <v>1218420007421534213</v>
      </c>
      <c r="F2335" s="11" t="s">
        <v>9989</v>
      </c>
      <c r="G2335" s="11" t="s">
        <v>9990</v>
      </c>
      <c r="H2335" s="13"/>
      <c r="I2335" s="14">
        <v>0.0</v>
      </c>
      <c r="J2335" s="14">
        <v>0.0</v>
      </c>
      <c r="K2335" s="9" t="str">
        <f>HYPERLINK("https://buffer.com","Buffer")</f>
        <v>Buffer</v>
      </c>
      <c r="L2335" s="15">
        <v>2226.0</v>
      </c>
      <c r="M2335" s="15">
        <v>3131.0</v>
      </c>
      <c r="N2335" s="15">
        <v>125.0</v>
      </c>
      <c r="O2335" s="16"/>
      <c r="P2335" s="17">
        <v>40346.69100694444</v>
      </c>
      <c r="Q2335" s="10" t="s">
        <v>9991</v>
      </c>
      <c r="R2335" s="10" t="s">
        <v>9992</v>
      </c>
      <c r="S2335" s="11" t="s">
        <v>9993</v>
      </c>
      <c r="T2335" s="13"/>
      <c r="U2335" s="18" t="str">
        <f>HYPERLINK("https://pbs.twimg.com/profile_images/716327892003733504/ba2hhjem.jpg","View")</f>
        <v>View</v>
      </c>
      <c r="V2335" s="13"/>
      <c r="W2335" s="13"/>
      <c r="X2335" s="13"/>
      <c r="Y2335" s="13"/>
      <c r="Z2335" s="13"/>
    </row>
    <row r="2336">
      <c r="A2336" s="8">
        <v>43848.06141203704</v>
      </c>
      <c r="B2336" s="9" t="str">
        <f>HYPERLINK("https://twitter.com/ShakaBrownComic","@ShakaBrownComic")</f>
        <v>@ShakaBrownComic</v>
      </c>
      <c r="C2336" s="10" t="s">
        <v>974</v>
      </c>
      <c r="D2336" s="10" t="s">
        <v>9994</v>
      </c>
      <c r="E2336" s="9" t="str">
        <f>HYPERLINK("https://twitter.com/ShakaBrownComic/status/1218419858918051840","1218419858918051840")</f>
        <v>1218419858918051840</v>
      </c>
      <c r="F2336" s="13"/>
      <c r="G2336" s="13"/>
      <c r="H2336" s="13"/>
      <c r="I2336" s="14">
        <v>0.0</v>
      </c>
      <c r="J2336" s="14">
        <v>0.0</v>
      </c>
      <c r="K2336" s="9" t="str">
        <f t="shared" ref="K2336:K2337" si="298">HYPERLINK("http://twitter.com/download/android","Twitter for Android")</f>
        <v>Twitter for Android</v>
      </c>
      <c r="L2336" s="15">
        <v>136.0</v>
      </c>
      <c r="M2336" s="15">
        <v>39.0</v>
      </c>
      <c r="N2336" s="15">
        <v>4.0</v>
      </c>
      <c r="O2336" s="16"/>
      <c r="P2336" s="17">
        <v>41995.06672453704</v>
      </c>
      <c r="Q2336" s="10" t="s">
        <v>976</v>
      </c>
      <c r="R2336" s="10" t="s">
        <v>977</v>
      </c>
      <c r="S2336" s="11" t="s">
        <v>978</v>
      </c>
      <c r="T2336" s="13"/>
      <c r="U2336" s="18" t="str">
        <f>HYPERLINK("https://pbs.twimg.com/profile_images/1195420809277427713/cLFbEoBk.jpg","View")</f>
        <v>View</v>
      </c>
      <c r="V2336" s="13"/>
      <c r="W2336" s="13"/>
      <c r="X2336" s="13"/>
      <c r="Y2336" s="13"/>
      <c r="Z2336" s="13"/>
    </row>
    <row r="2337">
      <c r="A2337" s="8">
        <v>43848.061377314814</v>
      </c>
      <c r="B2337" s="9" t="str">
        <f>HYPERLINK("https://twitter.com/mitochondriooon","@mitochondriooon")</f>
        <v>@mitochondriooon</v>
      </c>
      <c r="C2337" s="10" t="s">
        <v>9995</v>
      </c>
      <c r="D2337" s="10" t="s">
        <v>238</v>
      </c>
      <c r="E2337" s="9" t="str">
        <f>HYPERLINK("https://twitter.com/mitochondriooon/status/1218419847844917248","1218419847844917248")</f>
        <v>1218419847844917248</v>
      </c>
      <c r="F2337" s="13"/>
      <c r="G2337" s="13"/>
      <c r="H2337" s="13"/>
      <c r="I2337" s="14">
        <v>0.0</v>
      </c>
      <c r="J2337" s="14">
        <v>1.0</v>
      </c>
      <c r="K2337" s="9" t="str">
        <f t="shared" si="298"/>
        <v>Twitter for Android</v>
      </c>
      <c r="L2337" s="15">
        <v>1134.0</v>
      </c>
      <c r="M2337" s="15">
        <v>737.0</v>
      </c>
      <c r="N2337" s="15">
        <v>7.0</v>
      </c>
      <c r="O2337" s="16"/>
      <c r="P2337" s="17">
        <v>41601.22226851852</v>
      </c>
      <c r="Q2337" s="10" t="s">
        <v>9996</v>
      </c>
      <c r="R2337" s="10" t="s">
        <v>9997</v>
      </c>
      <c r="S2337" s="13"/>
      <c r="T2337" s="13"/>
      <c r="U2337" s="18" t="str">
        <f>HYPERLINK("https://pbs.twimg.com/profile_images/1210545666126008321/NGDJbt2V.jpg","View")</f>
        <v>View</v>
      </c>
      <c r="V2337" s="13"/>
      <c r="W2337" s="13"/>
      <c r="X2337" s="13"/>
      <c r="Y2337" s="13"/>
      <c r="Z2337" s="13"/>
    </row>
    <row r="2338">
      <c r="A2338" s="8">
        <v>43848.06079861111</v>
      </c>
      <c r="B2338" s="9" t="str">
        <f>HYPERLINK("https://twitter.com/MedicatingNorm1","@MedicatingNorm1")</f>
        <v>@MedicatingNorm1</v>
      </c>
      <c r="C2338" s="10" t="s">
        <v>9998</v>
      </c>
      <c r="D2338" s="10" t="s">
        <v>9999</v>
      </c>
      <c r="E2338" s="9" t="str">
        <f>HYPERLINK("https://twitter.com/MedicatingNorm1/status/1218419636552646656","1218419636552646656")</f>
        <v>1218419636552646656</v>
      </c>
      <c r="F2338" s="11" t="s">
        <v>10000</v>
      </c>
      <c r="G2338" s="13"/>
      <c r="H2338" s="13"/>
      <c r="I2338" s="14">
        <v>0.0</v>
      </c>
      <c r="J2338" s="14">
        <v>0.0</v>
      </c>
      <c r="K2338" s="9" t="str">
        <f>HYPERLINK("http://instagram.com","Instagram")</f>
        <v>Instagram</v>
      </c>
      <c r="L2338" s="15">
        <v>499.0</v>
      </c>
      <c r="M2338" s="15">
        <v>755.0</v>
      </c>
      <c r="N2338" s="15">
        <v>0.0</v>
      </c>
      <c r="O2338" s="16"/>
      <c r="P2338" s="17">
        <v>43642.466944444444</v>
      </c>
      <c r="Q2338" s="10" t="s">
        <v>266</v>
      </c>
      <c r="R2338" s="10" t="s">
        <v>10001</v>
      </c>
      <c r="S2338" s="13"/>
      <c r="T2338" s="13"/>
      <c r="U2338" s="18" t="str">
        <f>HYPERLINK("https://pbs.twimg.com/profile_images/1178149950405971968/wCT4RT1S.jpg","View")</f>
        <v>View</v>
      </c>
      <c r="V2338" s="13"/>
      <c r="W2338" s="13"/>
      <c r="X2338" s="13"/>
      <c r="Y2338" s="13"/>
      <c r="Z2338" s="13"/>
    </row>
    <row r="2339">
      <c r="A2339" s="8">
        <v>43848.05980324074</v>
      </c>
      <c r="B2339" s="9" t="str">
        <f>HYPERLINK("https://twitter.com/MapsofIndia","@MapsofIndia")</f>
        <v>@MapsofIndia</v>
      </c>
      <c r="C2339" s="10" t="s">
        <v>6384</v>
      </c>
      <c r="D2339" s="10" t="s">
        <v>10002</v>
      </c>
      <c r="E2339" s="9" t="str">
        <f>HYPERLINK("https://twitter.com/MapsofIndia/status/1218419278745079808","1218419278745079808")</f>
        <v>1218419278745079808</v>
      </c>
      <c r="F2339" s="11" t="s">
        <v>10003</v>
      </c>
      <c r="G2339" s="13"/>
      <c r="H2339" s="13"/>
      <c r="I2339" s="14">
        <v>2.0</v>
      </c>
      <c r="J2339" s="14">
        <v>0.0</v>
      </c>
      <c r="K2339" s="9" t="str">
        <f>HYPERLINK("https://mobile.twitter.com","Twitter Web App")</f>
        <v>Twitter Web App</v>
      </c>
      <c r="L2339" s="15">
        <v>3369.0</v>
      </c>
      <c r="M2339" s="15">
        <v>55.0</v>
      </c>
      <c r="N2339" s="15">
        <v>214.0</v>
      </c>
      <c r="O2339" s="16"/>
      <c r="P2339" s="17">
        <v>39799.18666666667</v>
      </c>
      <c r="Q2339" s="10" t="s">
        <v>35</v>
      </c>
      <c r="R2339" s="10" t="s">
        <v>6387</v>
      </c>
      <c r="S2339" s="11" t="s">
        <v>6388</v>
      </c>
      <c r="T2339" s="13"/>
      <c r="U2339" s="18" t="str">
        <f>HYPERLINK("https://pbs.twimg.com/profile_images/715353988/moi-icon.png","View")</f>
        <v>View</v>
      </c>
      <c r="V2339" s="13"/>
      <c r="W2339" s="13"/>
      <c r="X2339" s="13"/>
      <c r="Y2339" s="13"/>
      <c r="Z2339" s="13"/>
    </row>
    <row r="2340">
      <c r="A2340" s="8">
        <v>43848.05961805556</v>
      </c>
      <c r="B2340" s="9" t="str">
        <f>HYPERLINK("https://twitter.com/zanga_musakuzi7","@zanga_musakuzi7")</f>
        <v>@zanga_musakuzi7</v>
      </c>
      <c r="C2340" s="10" t="s">
        <v>10004</v>
      </c>
      <c r="D2340" s="10" t="s">
        <v>10005</v>
      </c>
      <c r="E2340" s="9" t="str">
        <f>HYPERLINK("https://twitter.com/zanga_musakuzi7/status/1218419212034682880","1218419212034682880")</f>
        <v>1218419212034682880</v>
      </c>
      <c r="F2340" s="13"/>
      <c r="G2340" s="11" t="s">
        <v>10006</v>
      </c>
      <c r="H2340" s="13"/>
      <c r="I2340" s="14">
        <v>9.0</v>
      </c>
      <c r="J2340" s="14">
        <v>17.0</v>
      </c>
      <c r="K2340" s="9" t="str">
        <f t="shared" ref="K2340:K2343" si="299">HYPERLINK("http://twitter.com/download/android","Twitter for Android")</f>
        <v>Twitter for Android</v>
      </c>
      <c r="L2340" s="15">
        <v>398.0</v>
      </c>
      <c r="M2340" s="15">
        <v>714.0</v>
      </c>
      <c r="N2340" s="15">
        <v>2.0</v>
      </c>
      <c r="O2340" s="16"/>
      <c r="P2340" s="17">
        <v>40084.45827546297</v>
      </c>
      <c r="Q2340" s="10" t="s">
        <v>10007</v>
      </c>
      <c r="R2340" s="10" t="s">
        <v>10008</v>
      </c>
      <c r="S2340" s="13"/>
      <c r="T2340" s="13"/>
      <c r="U2340" s="18" t="str">
        <f>HYPERLINK("https://pbs.twimg.com/profile_images/977515249434808321/tyO4-ekc.jpg","View")</f>
        <v>View</v>
      </c>
      <c r="V2340" s="13"/>
      <c r="W2340" s="13"/>
      <c r="X2340" s="13"/>
      <c r="Y2340" s="13"/>
      <c r="Z2340" s="13"/>
    </row>
    <row r="2341">
      <c r="A2341" s="8">
        <v>43848.05960648148</v>
      </c>
      <c r="B2341" s="9" t="str">
        <f>HYPERLINK("https://twitter.com/ShakaBrownComic","@ShakaBrownComic")</f>
        <v>@ShakaBrownComic</v>
      </c>
      <c r="C2341" s="10" t="s">
        <v>974</v>
      </c>
      <c r="D2341" s="10" t="s">
        <v>10009</v>
      </c>
      <c r="E2341" s="9" t="str">
        <f>HYPERLINK("https://twitter.com/ShakaBrownComic/status/1218419207475486721","1218419207475486721")</f>
        <v>1218419207475486721</v>
      </c>
      <c r="F2341" s="13"/>
      <c r="G2341" s="13"/>
      <c r="H2341" s="13"/>
      <c r="I2341" s="14">
        <v>0.0</v>
      </c>
      <c r="J2341" s="14">
        <v>0.0</v>
      </c>
      <c r="K2341" s="9" t="str">
        <f t="shared" si="299"/>
        <v>Twitter for Android</v>
      </c>
      <c r="L2341" s="15">
        <v>136.0</v>
      </c>
      <c r="M2341" s="15">
        <v>39.0</v>
      </c>
      <c r="N2341" s="15">
        <v>4.0</v>
      </c>
      <c r="O2341" s="16"/>
      <c r="P2341" s="17">
        <v>41995.06672453704</v>
      </c>
      <c r="Q2341" s="10" t="s">
        <v>976</v>
      </c>
      <c r="R2341" s="10" t="s">
        <v>977</v>
      </c>
      <c r="S2341" s="11" t="s">
        <v>978</v>
      </c>
      <c r="T2341" s="13"/>
      <c r="U2341" s="18" t="str">
        <f>HYPERLINK("https://pbs.twimg.com/profile_images/1195420809277427713/cLFbEoBk.jpg","View")</f>
        <v>View</v>
      </c>
      <c r="V2341" s="13"/>
      <c r="W2341" s="13"/>
      <c r="X2341" s="13"/>
      <c r="Y2341" s="13"/>
      <c r="Z2341" s="13"/>
    </row>
    <row r="2342">
      <c r="A2342" s="8">
        <v>43848.05944444444</v>
      </c>
      <c r="B2342" s="9" t="str">
        <f>HYPERLINK("https://twitter.com/perfectsolutio8","@perfectsolutio8")</f>
        <v>@perfectsolutio8</v>
      </c>
      <c r="C2342" s="10" t="s">
        <v>10010</v>
      </c>
      <c r="D2342" s="10" t="s">
        <v>10011</v>
      </c>
      <c r="E2342" s="9" t="str">
        <f>HYPERLINK("https://twitter.com/perfectsolutio8/status/1218419146683297792","1218419146683297792")</f>
        <v>1218419146683297792</v>
      </c>
      <c r="F2342" s="11" t="s">
        <v>10012</v>
      </c>
      <c r="G2342" s="11" t="s">
        <v>10013</v>
      </c>
      <c r="H2342" s="13"/>
      <c r="I2342" s="14">
        <v>0.0</v>
      </c>
      <c r="J2342" s="14">
        <v>2.0</v>
      </c>
      <c r="K2342" s="9" t="str">
        <f t="shared" si="299"/>
        <v>Twitter for Android</v>
      </c>
      <c r="L2342" s="15">
        <v>342.0</v>
      </c>
      <c r="M2342" s="15">
        <v>501.0</v>
      </c>
      <c r="N2342" s="15">
        <v>15.0</v>
      </c>
      <c r="O2342" s="16"/>
      <c r="P2342" s="17">
        <v>42207.33652777778</v>
      </c>
      <c r="Q2342" s="10" t="s">
        <v>7389</v>
      </c>
      <c r="R2342" s="10" t="s">
        <v>10014</v>
      </c>
      <c r="S2342" s="11" t="s">
        <v>10015</v>
      </c>
      <c r="T2342" s="13"/>
      <c r="U2342" s="18" t="str">
        <f>HYPERLINK("https://pbs.twimg.com/profile_images/1073662586896433152/-_cc70R2.jpg","View")</f>
        <v>View</v>
      </c>
      <c r="V2342" s="13"/>
      <c r="W2342" s="13"/>
      <c r="X2342" s="13"/>
      <c r="Y2342" s="13"/>
      <c r="Z2342" s="13"/>
    </row>
    <row r="2343">
      <c r="A2343" s="8">
        <v>43848.058958333335</v>
      </c>
      <c r="B2343" s="9" t="str">
        <f>HYPERLINK("https://twitter.com/breakthroughc11","@breakthroughc11")</f>
        <v>@breakthroughc11</v>
      </c>
      <c r="C2343" s="10" t="s">
        <v>10016</v>
      </c>
      <c r="D2343" s="10" t="s">
        <v>10017</v>
      </c>
      <c r="E2343" s="9" t="str">
        <f>HYPERLINK("https://twitter.com/breakthroughc11/status/1218418971621449728","1218418971621449728")</f>
        <v>1218418971621449728</v>
      </c>
      <c r="F2343" s="13"/>
      <c r="G2343" s="11" t="s">
        <v>10018</v>
      </c>
      <c r="H2343" s="13"/>
      <c r="I2343" s="14">
        <v>0.0</v>
      </c>
      <c r="J2343" s="14">
        <v>0.0</v>
      </c>
      <c r="K2343" s="9" t="str">
        <f t="shared" si="299"/>
        <v>Twitter for Android</v>
      </c>
      <c r="L2343" s="15">
        <v>9.0</v>
      </c>
      <c r="M2343" s="15">
        <v>36.0</v>
      </c>
      <c r="N2343" s="15">
        <v>0.0</v>
      </c>
      <c r="O2343" s="16"/>
      <c r="P2343" s="17">
        <v>43733.93366898148</v>
      </c>
      <c r="Q2343" s="10" t="s">
        <v>10019</v>
      </c>
      <c r="R2343" s="10" t="s">
        <v>10020</v>
      </c>
      <c r="S2343" s="11" t="s">
        <v>10021</v>
      </c>
      <c r="T2343" s="13"/>
      <c r="U2343" s="18" t="str">
        <f>HYPERLINK("https://pbs.twimg.com/profile_images/1177063754875506688/0rpJPums.jpg","View")</f>
        <v>View</v>
      </c>
      <c r="V2343" s="13"/>
      <c r="W2343" s="13"/>
      <c r="X2343" s="13"/>
      <c r="Y2343" s="13"/>
      <c r="Z2343" s="13"/>
    </row>
    <row r="2344">
      <c r="A2344" s="8">
        <v>43848.05863425926</v>
      </c>
      <c r="B2344" s="9" t="str">
        <f>HYPERLINK("https://twitter.com/xaviyacelga","@xaviyacelga")</f>
        <v>@xaviyacelga</v>
      </c>
      <c r="C2344" s="10" t="s">
        <v>10022</v>
      </c>
      <c r="D2344" s="10" t="s">
        <v>238</v>
      </c>
      <c r="E2344" s="9" t="str">
        <f>HYPERLINK("https://twitter.com/xaviyacelga/status/1218418855426580481","1218418855426580481")</f>
        <v>1218418855426580481</v>
      </c>
      <c r="F2344" s="13"/>
      <c r="G2344" s="13"/>
      <c r="H2344" s="13"/>
      <c r="I2344" s="14">
        <v>0.0</v>
      </c>
      <c r="J2344" s="14">
        <v>0.0</v>
      </c>
      <c r="K2344" s="9" t="str">
        <f>HYPERLINK("http://twitter.com/download/iphone","Twitter for iPhone")</f>
        <v>Twitter for iPhone</v>
      </c>
      <c r="L2344" s="15">
        <v>136.0</v>
      </c>
      <c r="M2344" s="15">
        <v>551.0</v>
      </c>
      <c r="N2344" s="15">
        <v>3.0</v>
      </c>
      <c r="O2344" s="16"/>
      <c r="P2344" s="17">
        <v>40454.86891203704</v>
      </c>
      <c r="Q2344" s="10" t="s">
        <v>10023</v>
      </c>
      <c r="R2344" s="10" t="s">
        <v>10024</v>
      </c>
      <c r="S2344" s="13"/>
      <c r="T2344" s="13"/>
      <c r="U2344" s="18" t="str">
        <f>HYPERLINK("https://pbs.twimg.com/profile_images/1218419602113409024/U-YaUJHZ.jpg","View")</f>
        <v>View</v>
      </c>
      <c r="V2344" s="13"/>
      <c r="W2344" s="13"/>
      <c r="X2344" s="13"/>
      <c r="Y2344" s="13"/>
      <c r="Z2344" s="13"/>
    </row>
    <row r="2345">
      <c r="A2345" s="8">
        <v>43848.05853009259</v>
      </c>
      <c r="B2345" s="9" t="str">
        <f>HYPERLINK("https://twitter.com/JourneyFog","@JourneyFog")</f>
        <v>@JourneyFog</v>
      </c>
      <c r="C2345" s="10" t="s">
        <v>10025</v>
      </c>
      <c r="D2345" s="10" t="s">
        <v>10026</v>
      </c>
      <c r="E2345" s="9" t="str">
        <f>HYPERLINK("https://twitter.com/JourneyFog/status/1218418816910340096","1218418816910340096")</f>
        <v>1218418816910340096</v>
      </c>
      <c r="F2345" s="11" t="s">
        <v>10027</v>
      </c>
      <c r="G2345" s="13"/>
      <c r="H2345" s="13"/>
      <c r="I2345" s="14">
        <v>2.0</v>
      </c>
      <c r="J2345" s="14">
        <v>8.0</v>
      </c>
      <c r="K2345" s="9" t="str">
        <f>HYPERLINK("http://twitter.com/download/android","Twitter for Android")</f>
        <v>Twitter for Android</v>
      </c>
      <c r="L2345" s="15">
        <v>2998.0</v>
      </c>
      <c r="M2345" s="15">
        <v>2071.0</v>
      </c>
      <c r="N2345" s="15">
        <v>30.0</v>
      </c>
      <c r="O2345" s="16"/>
      <c r="P2345" s="17">
        <v>43128.43640046296</v>
      </c>
      <c r="Q2345" s="10" t="s">
        <v>10028</v>
      </c>
      <c r="R2345" s="10" t="s">
        <v>10029</v>
      </c>
      <c r="S2345" s="11" t="s">
        <v>10030</v>
      </c>
      <c r="T2345" s="13"/>
      <c r="U2345" s="18" t="str">
        <f>HYPERLINK("https://pbs.twimg.com/profile_images/1134825734999105536/cie5xUa_.jpg","View")</f>
        <v>View</v>
      </c>
      <c r="V2345" s="13"/>
      <c r="W2345" s="13"/>
      <c r="X2345" s="13"/>
      <c r="Y2345" s="13"/>
      <c r="Z2345" s="13"/>
    </row>
    <row r="2346">
      <c r="A2346" s="8">
        <v>43848.05804398148</v>
      </c>
      <c r="B2346" s="9" t="str">
        <f>HYPERLINK("https://twitter.com/ashwiniwii","@ashwiniwii")</f>
        <v>@ashwiniwii</v>
      </c>
      <c r="C2346" s="10" t="s">
        <v>10031</v>
      </c>
      <c r="D2346" s="10" t="s">
        <v>238</v>
      </c>
      <c r="E2346" s="9" t="str">
        <f>HYPERLINK("https://twitter.com/ashwiniwii/status/1218418638803345409","1218418638803345409")</f>
        <v>1218418638803345409</v>
      </c>
      <c r="F2346" s="13"/>
      <c r="G2346" s="13"/>
      <c r="H2346" s="13"/>
      <c r="I2346" s="14">
        <v>0.0</v>
      </c>
      <c r="J2346" s="14">
        <v>0.0</v>
      </c>
      <c r="K2346" s="9" t="str">
        <f>HYPERLINK("https://mobile.twitter.com","Twitter Web App")</f>
        <v>Twitter Web App</v>
      </c>
      <c r="L2346" s="15">
        <v>25.0</v>
      </c>
      <c r="M2346" s="15">
        <v>150.0</v>
      </c>
      <c r="N2346" s="15">
        <v>0.0</v>
      </c>
      <c r="O2346" s="16"/>
      <c r="P2346" s="17">
        <v>40224.11299768518</v>
      </c>
      <c r="Q2346" s="10" t="s">
        <v>10032</v>
      </c>
      <c r="R2346" s="10" t="s">
        <v>10033</v>
      </c>
      <c r="S2346" s="13"/>
      <c r="T2346" s="13"/>
      <c r="U2346" s="18" t="str">
        <f>HYPERLINK("https://pbs.twimg.com/profile_images/414323651572297728/mycD5eJS.jpeg","View")</f>
        <v>View</v>
      </c>
      <c r="V2346" s="13"/>
      <c r="W2346" s="13"/>
      <c r="X2346" s="13"/>
      <c r="Y2346" s="13"/>
      <c r="Z2346" s="13"/>
    </row>
    <row r="2347">
      <c r="A2347" s="8">
        <v>43848.05638888889</v>
      </c>
      <c r="B2347" s="9" t="str">
        <f>HYPERLINK("https://twitter.com/joydeepghosh","@joydeepghosh")</f>
        <v>@joydeepghosh</v>
      </c>
      <c r="C2347" s="10" t="s">
        <v>10034</v>
      </c>
      <c r="D2347" s="10" t="s">
        <v>10035</v>
      </c>
      <c r="E2347" s="9" t="str">
        <f>HYPERLINK("https://twitter.com/joydeepghosh/status/1218418040771153920","1218418040771153920")</f>
        <v>1218418040771153920</v>
      </c>
      <c r="F2347" s="11" t="s">
        <v>10036</v>
      </c>
      <c r="G2347" s="13"/>
      <c r="H2347" s="13"/>
      <c r="I2347" s="14">
        <v>1.0</v>
      </c>
      <c r="J2347" s="14">
        <v>1.0</v>
      </c>
      <c r="K2347" s="9" t="str">
        <f>HYPERLINK("http://www.linkedin.com/","LinkedIn")</f>
        <v>LinkedIn</v>
      </c>
      <c r="L2347" s="15">
        <v>842.0</v>
      </c>
      <c r="M2347" s="15">
        <v>503.0</v>
      </c>
      <c r="N2347" s="15">
        <v>191.0</v>
      </c>
      <c r="O2347" s="16"/>
      <c r="P2347" s="17">
        <v>39874.26112268519</v>
      </c>
      <c r="Q2347" s="10" t="s">
        <v>10037</v>
      </c>
      <c r="R2347" s="10" t="s">
        <v>10038</v>
      </c>
      <c r="S2347" s="13"/>
      <c r="T2347" s="13"/>
      <c r="U2347" s="18" t="str">
        <f>HYPERLINK("https://pbs.twimg.com/profile_images/1876798015/my_copy.gif","View")</f>
        <v>View</v>
      </c>
      <c r="V2347" s="13"/>
      <c r="W2347" s="13"/>
      <c r="X2347" s="13"/>
      <c r="Y2347" s="13"/>
      <c r="Z2347" s="13"/>
    </row>
    <row r="2348">
      <c r="A2348" s="8">
        <v>43848.055879629625</v>
      </c>
      <c r="B2348" s="9" t="str">
        <f>HYPERLINK("https://twitter.com/sheroes","@sheroes")</f>
        <v>@sheroes</v>
      </c>
      <c r="C2348" s="10" t="s">
        <v>10039</v>
      </c>
      <c r="D2348" s="10" t="s">
        <v>10040</v>
      </c>
      <c r="E2348" s="9" t="str">
        <f>HYPERLINK("https://twitter.com/sheroes/status/1218417857492672512","1218417857492672512")</f>
        <v>1218417857492672512</v>
      </c>
      <c r="F2348" s="13"/>
      <c r="G2348" s="11" t="s">
        <v>10041</v>
      </c>
      <c r="H2348" s="13"/>
      <c r="I2348" s="14">
        <v>1.0</v>
      </c>
      <c r="J2348" s="14">
        <v>6.0</v>
      </c>
      <c r="K2348" s="9" t="str">
        <f>HYPERLINK("http://twitter.com/download/android","Twitter for Android")</f>
        <v>Twitter for Android</v>
      </c>
      <c r="L2348" s="15">
        <v>52441.0</v>
      </c>
      <c r="M2348" s="15">
        <v>3189.0</v>
      </c>
      <c r="N2348" s="15">
        <v>658.0</v>
      </c>
      <c r="O2348" s="21" t="s">
        <v>522</v>
      </c>
      <c r="P2348" s="17">
        <v>41374.38339120371</v>
      </c>
      <c r="Q2348" s="10" t="s">
        <v>35</v>
      </c>
      <c r="R2348" s="10" t="s">
        <v>10042</v>
      </c>
      <c r="S2348" s="11" t="s">
        <v>10043</v>
      </c>
      <c r="T2348" s="13"/>
      <c r="U2348" s="18" t="str">
        <f>HYPERLINK("https://pbs.twimg.com/profile_images/952850076141080576/Ehe-a3V1.jpg","View")</f>
        <v>View</v>
      </c>
      <c r="V2348" s="13"/>
      <c r="W2348" s="13"/>
      <c r="X2348" s="13"/>
      <c r="Y2348" s="13"/>
      <c r="Z2348" s="13"/>
    </row>
    <row r="2349">
      <c r="A2349" s="8">
        <v>43848.05582175926</v>
      </c>
      <c r="B2349" s="9" t="str">
        <f>HYPERLINK("https://twitter.com/adamspong","@adamspong")</f>
        <v>@adamspong</v>
      </c>
      <c r="C2349" s="10" t="s">
        <v>10044</v>
      </c>
      <c r="D2349" s="10" t="s">
        <v>238</v>
      </c>
      <c r="E2349" s="9" t="str">
        <f>HYPERLINK("https://twitter.com/adamspong/status/1218417834813992961","1218417834813992961")</f>
        <v>1218417834813992961</v>
      </c>
      <c r="F2349" s="13"/>
      <c r="G2349" s="13"/>
      <c r="H2349" s="13"/>
      <c r="I2349" s="14">
        <v>0.0</v>
      </c>
      <c r="J2349" s="14">
        <v>0.0</v>
      </c>
      <c r="K2349" s="9" t="str">
        <f>HYPERLINK("https://mobile.twitter.com","Twitter Web App")</f>
        <v>Twitter Web App</v>
      </c>
      <c r="L2349" s="15">
        <v>1770.0</v>
      </c>
      <c r="M2349" s="15">
        <v>4945.0</v>
      </c>
      <c r="N2349" s="15">
        <v>80.0</v>
      </c>
      <c r="O2349" s="16"/>
      <c r="P2349" s="17">
        <v>39864.85592592593</v>
      </c>
      <c r="Q2349" s="10" t="s">
        <v>10045</v>
      </c>
      <c r="R2349" s="10" t="s">
        <v>10046</v>
      </c>
      <c r="S2349" s="11" t="s">
        <v>10047</v>
      </c>
      <c r="T2349" s="13"/>
      <c r="U2349" s="18" t="str">
        <f>HYPERLINK("https://pbs.twimg.com/profile_images/1064036304525045760/4-ohqXdI.jpg","View")</f>
        <v>View</v>
      </c>
      <c r="V2349" s="13"/>
      <c r="W2349" s="13"/>
      <c r="X2349" s="13"/>
      <c r="Y2349" s="13"/>
      <c r="Z2349" s="13"/>
    </row>
    <row r="2350">
      <c r="A2350" s="8">
        <v>43848.05564814815</v>
      </c>
      <c r="B2350" s="9" t="str">
        <f>HYPERLINK("https://twitter.com/Fearpluaise","@Fearpluaise")</f>
        <v>@Fearpluaise</v>
      </c>
      <c r="C2350" s="10" t="s">
        <v>10048</v>
      </c>
      <c r="D2350" s="10" t="s">
        <v>238</v>
      </c>
      <c r="E2350" s="9" t="str">
        <f>HYPERLINK("https://twitter.com/Fearpluaise/status/1218417770343346177","1218417770343346177")</f>
        <v>1218417770343346177</v>
      </c>
      <c r="F2350" s="13"/>
      <c r="G2350" s="13"/>
      <c r="H2350" s="13"/>
      <c r="I2350" s="14">
        <v>0.0</v>
      </c>
      <c r="J2350" s="14">
        <v>0.0</v>
      </c>
      <c r="K2350" s="9" t="str">
        <f>HYPERLINK("http://twitter.com/download/android","Twitter for Android")</f>
        <v>Twitter for Android</v>
      </c>
      <c r="L2350" s="15">
        <v>78.0</v>
      </c>
      <c r="M2350" s="15">
        <v>146.0</v>
      </c>
      <c r="N2350" s="15">
        <v>20.0</v>
      </c>
      <c r="O2350" s="16"/>
      <c r="P2350" s="17">
        <v>40296.366481481484</v>
      </c>
      <c r="Q2350" s="10" t="s">
        <v>10049</v>
      </c>
      <c r="R2350" s="10" t="s">
        <v>10050</v>
      </c>
      <c r="S2350" s="13"/>
      <c r="T2350" s="13"/>
      <c r="U2350" s="18" t="str">
        <f>HYPERLINK("https://pbs.twimg.com/profile_images/857593413/fools_cap_map1.jpg","View")</f>
        <v>View</v>
      </c>
      <c r="V2350" s="13"/>
      <c r="W2350" s="13"/>
      <c r="X2350" s="13"/>
      <c r="Y2350" s="13"/>
      <c r="Z2350" s="13"/>
    </row>
    <row r="2351">
      <c r="A2351" s="8">
        <v>43848.05378472222</v>
      </c>
      <c r="B2351" s="9" t="str">
        <f>HYPERLINK("https://twitter.com/DrRaviWairagade","@DrRaviWairagade")</f>
        <v>@DrRaviWairagade</v>
      </c>
      <c r="C2351" s="10" t="s">
        <v>10051</v>
      </c>
      <c r="D2351" s="10" t="s">
        <v>10052</v>
      </c>
      <c r="E2351" s="9" t="str">
        <f>HYPERLINK("https://twitter.com/DrRaviWairagade/status/1218417097883021312","1218417097883021312")</f>
        <v>1218417097883021312</v>
      </c>
      <c r="F2351" s="11" t="s">
        <v>10053</v>
      </c>
      <c r="G2351" s="13"/>
      <c r="H2351" s="13"/>
      <c r="I2351" s="14">
        <v>0.0</v>
      </c>
      <c r="J2351" s="14">
        <v>1.0</v>
      </c>
      <c r="K2351" s="9" t="str">
        <f>HYPERLINK("http://twitter.com","Twitter Web Client")</f>
        <v>Twitter Web Client</v>
      </c>
      <c r="L2351" s="15">
        <v>194.0</v>
      </c>
      <c r="M2351" s="15">
        <v>127.0</v>
      </c>
      <c r="N2351" s="15">
        <v>8.0</v>
      </c>
      <c r="O2351" s="16"/>
      <c r="P2351" s="17">
        <v>41572.493425925924</v>
      </c>
      <c r="Q2351" s="13"/>
      <c r="R2351" s="10" t="s">
        <v>10054</v>
      </c>
      <c r="S2351" s="13"/>
      <c r="T2351" s="13"/>
      <c r="U2351" s="18" t="str">
        <f>HYPERLINK("https://pbs.twimg.com/profile_images/900960584761344001/flSRhRkM.jpg","View")</f>
        <v>View</v>
      </c>
      <c r="V2351" s="13"/>
      <c r="W2351" s="13"/>
      <c r="X2351" s="13"/>
      <c r="Y2351" s="13"/>
      <c r="Z2351" s="13"/>
    </row>
    <row r="2352">
      <c r="A2352" s="8">
        <v>43848.05329861111</v>
      </c>
      <c r="B2352" s="9" t="str">
        <f>HYPERLINK("https://twitter.com/Sairee","@Sairee")</f>
        <v>@Sairee</v>
      </c>
      <c r="C2352" s="10" t="s">
        <v>10055</v>
      </c>
      <c r="D2352" s="10" t="s">
        <v>10056</v>
      </c>
      <c r="E2352" s="9" t="str">
        <f>HYPERLINK("https://twitter.com/Sairee/status/1218416921491562496","1218416921491562496")</f>
        <v>1218416921491562496</v>
      </c>
      <c r="F2352" s="13"/>
      <c r="G2352" s="11" t="s">
        <v>9928</v>
      </c>
      <c r="H2352" s="13"/>
      <c r="I2352" s="14">
        <v>7.0</v>
      </c>
      <c r="J2352" s="14">
        <v>29.0</v>
      </c>
      <c r="K2352" s="9" t="str">
        <f>HYPERLINK("http://twitter.com/download/android","Twitter for Android")</f>
        <v>Twitter for Android</v>
      </c>
      <c r="L2352" s="15">
        <v>393261.0</v>
      </c>
      <c r="M2352" s="15">
        <v>14875.0</v>
      </c>
      <c r="N2352" s="15">
        <v>801.0</v>
      </c>
      <c r="O2352" s="21" t="s">
        <v>522</v>
      </c>
      <c r="P2352" s="17">
        <v>39770.31435185185</v>
      </c>
      <c r="Q2352" s="10" t="s">
        <v>35</v>
      </c>
      <c r="R2352" s="10" t="s">
        <v>10057</v>
      </c>
      <c r="S2352" s="13"/>
      <c r="T2352" s="13"/>
      <c r="U2352" s="18" t="str">
        <f>HYPERLINK("https://pbs.twimg.com/profile_images/640704193573982209/dKgauCHh.jpg","View")</f>
        <v>View</v>
      </c>
      <c r="V2352" s="13"/>
      <c r="W2352" s="13"/>
      <c r="X2352" s="13"/>
      <c r="Y2352" s="13"/>
      <c r="Z2352" s="13"/>
    </row>
    <row r="2353">
      <c r="A2353" s="8">
        <v>43848.05322916667</v>
      </c>
      <c r="B2353" s="9" t="str">
        <f>HYPERLINK("https://twitter.com/DrRaviWairagade","@DrRaviWairagade")</f>
        <v>@DrRaviWairagade</v>
      </c>
      <c r="C2353" s="10" t="s">
        <v>10051</v>
      </c>
      <c r="D2353" s="10" t="s">
        <v>10058</v>
      </c>
      <c r="E2353" s="9" t="str">
        <f>HYPERLINK("https://twitter.com/DrRaviWairagade/status/1218416896896167937","1218416896896167937")</f>
        <v>1218416896896167937</v>
      </c>
      <c r="F2353" s="11" t="s">
        <v>10059</v>
      </c>
      <c r="G2353" s="13"/>
      <c r="H2353" s="13"/>
      <c r="I2353" s="14">
        <v>0.0</v>
      </c>
      <c r="J2353" s="14">
        <v>1.0</v>
      </c>
      <c r="K2353" s="9" t="str">
        <f>HYPERLINK("http://twitter.com","Twitter Web Client")</f>
        <v>Twitter Web Client</v>
      </c>
      <c r="L2353" s="15">
        <v>194.0</v>
      </c>
      <c r="M2353" s="15">
        <v>127.0</v>
      </c>
      <c r="N2353" s="15">
        <v>8.0</v>
      </c>
      <c r="O2353" s="16"/>
      <c r="P2353" s="17">
        <v>41572.493425925924</v>
      </c>
      <c r="Q2353" s="13"/>
      <c r="R2353" s="10" t="s">
        <v>10054</v>
      </c>
      <c r="S2353" s="13"/>
      <c r="T2353" s="13"/>
      <c r="U2353" s="18" t="str">
        <f>HYPERLINK("https://pbs.twimg.com/profile_images/900960584761344001/flSRhRkM.jpg","View")</f>
        <v>View</v>
      </c>
      <c r="V2353" s="13"/>
      <c r="W2353" s="13"/>
      <c r="X2353" s="13"/>
      <c r="Y2353" s="13"/>
      <c r="Z2353" s="13"/>
    </row>
    <row r="2354">
      <c r="A2354" s="8">
        <v>43848.052615740744</v>
      </c>
      <c r="B2354" s="9" t="str">
        <f>HYPERLINK("https://twitter.com/empresslocss","@empresslocss")</f>
        <v>@empresslocss</v>
      </c>
      <c r="C2354" s="10" t="s">
        <v>10060</v>
      </c>
      <c r="D2354" s="10" t="s">
        <v>10061</v>
      </c>
      <c r="E2354" s="9" t="str">
        <f>HYPERLINK("https://twitter.com/empresslocss/status/1218416674296254465","1218416674296254465")</f>
        <v>1218416674296254465</v>
      </c>
      <c r="F2354" s="13"/>
      <c r="G2354" s="11" t="s">
        <v>10062</v>
      </c>
      <c r="H2354" s="13"/>
      <c r="I2354" s="14">
        <v>0.0</v>
      </c>
      <c r="J2354" s="14">
        <v>0.0</v>
      </c>
      <c r="K2354" s="9" t="str">
        <f t="shared" ref="K2354:K2355" si="300">HYPERLINK("http://twitter.com/download/iphone","Twitter for iPhone")</f>
        <v>Twitter for iPhone</v>
      </c>
      <c r="L2354" s="15">
        <v>3536.0</v>
      </c>
      <c r="M2354" s="15">
        <v>3492.0</v>
      </c>
      <c r="N2354" s="15">
        <v>10.0</v>
      </c>
      <c r="O2354" s="16"/>
      <c r="P2354" s="17">
        <v>41001.49880787037</v>
      </c>
      <c r="Q2354" s="13"/>
      <c r="R2354" s="10" t="s">
        <v>10063</v>
      </c>
      <c r="S2354" s="11" t="s">
        <v>10064</v>
      </c>
      <c r="T2354" s="13"/>
      <c r="U2354" s="18" t="str">
        <f>HYPERLINK("https://pbs.twimg.com/profile_images/1209545420793425920/8PJg4NJ_.jpg","View")</f>
        <v>View</v>
      </c>
      <c r="V2354" s="13"/>
      <c r="W2354" s="13"/>
      <c r="X2354" s="13"/>
      <c r="Y2354" s="13"/>
      <c r="Z2354" s="13"/>
    </row>
    <row r="2355">
      <c r="A2355" s="8">
        <v>43848.05210648148</v>
      </c>
      <c r="B2355" s="9" t="str">
        <f>HYPERLINK("https://twitter.com/WisdomCoaching","@WisdomCoaching")</f>
        <v>@WisdomCoaching</v>
      </c>
      <c r="C2355" s="10" t="s">
        <v>10065</v>
      </c>
      <c r="D2355" s="10" t="s">
        <v>10066</v>
      </c>
      <c r="E2355" s="9" t="str">
        <f>HYPERLINK("https://twitter.com/WisdomCoaching/status/1218416489897910272","1218416489897910272")</f>
        <v>1218416489897910272</v>
      </c>
      <c r="F2355" s="13"/>
      <c r="G2355" s="13"/>
      <c r="H2355" s="13"/>
      <c r="I2355" s="14">
        <v>1.0</v>
      </c>
      <c r="J2355" s="14">
        <v>0.0</v>
      </c>
      <c r="K2355" s="9" t="str">
        <f t="shared" si="300"/>
        <v>Twitter for iPhone</v>
      </c>
      <c r="L2355" s="15">
        <v>4.0</v>
      </c>
      <c r="M2355" s="15">
        <v>56.0</v>
      </c>
      <c r="N2355" s="15">
        <v>0.0</v>
      </c>
      <c r="O2355" s="16"/>
      <c r="P2355" s="17">
        <v>43819.99193287037</v>
      </c>
      <c r="Q2355" s="13"/>
      <c r="R2355" s="10" t="s">
        <v>10067</v>
      </c>
      <c r="S2355" s="13"/>
      <c r="T2355" s="13"/>
      <c r="U2355" s="18" t="str">
        <f>HYPERLINK("https://pbs.twimg.com/profile_images/1208247903145185280/N882k04x.jpg","View")</f>
        <v>View</v>
      </c>
      <c r="V2355" s="13"/>
      <c r="W2355" s="13"/>
      <c r="X2355" s="13"/>
      <c r="Y2355" s="13"/>
      <c r="Z2355" s="13"/>
    </row>
    <row r="2356">
      <c r="A2356" s="8">
        <v>43848.051527777774</v>
      </c>
      <c r="B2356" s="9" t="str">
        <f t="shared" ref="B2356:B2357" si="301">HYPERLINK("https://twitter.com/DrRaviWairagade","@DrRaviWairagade")</f>
        <v>@DrRaviWairagade</v>
      </c>
      <c r="C2356" s="10" t="s">
        <v>10051</v>
      </c>
      <c r="D2356" s="10" t="s">
        <v>10068</v>
      </c>
      <c r="E2356" s="9" t="str">
        <f>HYPERLINK("https://twitter.com/DrRaviWairagade/status/1218416279587115009","1218416279587115009")</f>
        <v>1218416279587115009</v>
      </c>
      <c r="F2356" s="11" t="s">
        <v>10069</v>
      </c>
      <c r="G2356" s="13"/>
      <c r="H2356" s="13"/>
      <c r="I2356" s="14">
        <v>1.0</v>
      </c>
      <c r="J2356" s="14">
        <v>0.0</v>
      </c>
      <c r="K2356" s="9" t="str">
        <f t="shared" ref="K2356:K2357" si="302">HYPERLINK("http://twitter.com","Twitter Web Client")</f>
        <v>Twitter Web Client</v>
      </c>
      <c r="L2356" s="15">
        <v>194.0</v>
      </c>
      <c r="M2356" s="15">
        <v>127.0</v>
      </c>
      <c r="N2356" s="15">
        <v>8.0</v>
      </c>
      <c r="O2356" s="16"/>
      <c r="P2356" s="17">
        <v>41572.493425925924</v>
      </c>
      <c r="Q2356" s="13"/>
      <c r="R2356" s="10" t="s">
        <v>10054</v>
      </c>
      <c r="S2356" s="13"/>
      <c r="T2356" s="13"/>
      <c r="U2356" s="18" t="str">
        <f t="shared" ref="U2356:U2357" si="303">HYPERLINK("https://pbs.twimg.com/profile_images/900960584761344001/flSRhRkM.jpg","View")</f>
        <v>View</v>
      </c>
      <c r="V2356" s="13"/>
      <c r="W2356" s="13"/>
      <c r="X2356" s="13"/>
      <c r="Y2356" s="13"/>
      <c r="Z2356" s="13"/>
    </row>
    <row r="2357">
      <c r="A2357" s="8">
        <v>43848.051527777774</v>
      </c>
      <c r="B2357" s="9" t="str">
        <f t="shared" si="301"/>
        <v>@DrRaviWairagade</v>
      </c>
      <c r="C2357" s="10" t="s">
        <v>10051</v>
      </c>
      <c r="D2357" s="10" t="s">
        <v>10068</v>
      </c>
      <c r="E2357" s="9" t="str">
        <f>HYPERLINK("https://twitter.com/DrRaviWairagade/status/1218416277921792000","1218416277921792000")</f>
        <v>1218416277921792000</v>
      </c>
      <c r="F2357" s="11" t="s">
        <v>10069</v>
      </c>
      <c r="G2357" s="13"/>
      <c r="H2357" s="13"/>
      <c r="I2357" s="14">
        <v>1.0</v>
      </c>
      <c r="J2357" s="14">
        <v>0.0</v>
      </c>
      <c r="K2357" s="9" t="str">
        <f t="shared" si="302"/>
        <v>Twitter Web Client</v>
      </c>
      <c r="L2357" s="15">
        <v>194.0</v>
      </c>
      <c r="M2357" s="15">
        <v>127.0</v>
      </c>
      <c r="N2357" s="15">
        <v>8.0</v>
      </c>
      <c r="O2357" s="16"/>
      <c r="P2357" s="17">
        <v>41572.493425925924</v>
      </c>
      <c r="Q2357" s="13"/>
      <c r="R2357" s="10" t="s">
        <v>10054</v>
      </c>
      <c r="S2357" s="13"/>
      <c r="T2357" s="13"/>
      <c r="U2357" s="18" t="str">
        <f t="shared" si="303"/>
        <v>View</v>
      </c>
      <c r="V2357" s="13"/>
      <c r="W2357" s="13"/>
      <c r="X2357" s="13"/>
      <c r="Y2357" s="13"/>
      <c r="Z2357" s="13"/>
    </row>
    <row r="2358">
      <c r="A2358" s="8">
        <v>43848.05024305556</v>
      </c>
      <c r="B2358" s="9" t="str">
        <f>HYPERLINK("https://twitter.com/KishanSRao","@KishanSRao")</f>
        <v>@KishanSRao</v>
      </c>
      <c r="C2358" s="10" t="s">
        <v>10070</v>
      </c>
      <c r="D2358" s="10" t="s">
        <v>238</v>
      </c>
      <c r="E2358" s="9" t="str">
        <f>HYPERLINK("https://twitter.com/KishanSRao/status/1218415813771743232","1218415813771743232")</f>
        <v>1218415813771743232</v>
      </c>
      <c r="F2358" s="13"/>
      <c r="G2358" s="13"/>
      <c r="H2358" s="13"/>
      <c r="I2358" s="14">
        <v>1.0</v>
      </c>
      <c r="J2358" s="14">
        <v>0.0</v>
      </c>
      <c r="K2358" s="9" t="str">
        <f t="shared" ref="K2358:K2359" si="304">HYPERLINK("http://twitter.com/download/android","Twitter for Android")</f>
        <v>Twitter for Android</v>
      </c>
      <c r="L2358" s="15">
        <v>77.0</v>
      </c>
      <c r="M2358" s="15">
        <v>529.0</v>
      </c>
      <c r="N2358" s="15">
        <v>1.0</v>
      </c>
      <c r="O2358" s="16"/>
      <c r="P2358" s="17">
        <v>41580.37428240741</v>
      </c>
      <c r="Q2358" s="10" t="s">
        <v>10071</v>
      </c>
      <c r="R2358" s="10" t="s">
        <v>10072</v>
      </c>
      <c r="S2358" s="13"/>
      <c r="T2358" s="13"/>
      <c r="U2358" s="18" t="str">
        <f>HYPERLINK("https://pbs.twimg.com/profile_images/1215257436648628225/9h1jlWvB.jpg","View")</f>
        <v>View</v>
      </c>
      <c r="V2358" s="13"/>
      <c r="W2358" s="13"/>
      <c r="X2358" s="13"/>
      <c r="Y2358" s="13"/>
      <c r="Z2358" s="13"/>
    </row>
    <row r="2359">
      <c r="A2359" s="8">
        <v>43848.05023148148</v>
      </c>
      <c r="B2359" s="9" t="str">
        <f>HYPERLINK("https://twitter.com/nay_sue1","@nay_sue1")</f>
        <v>@nay_sue1</v>
      </c>
      <c r="C2359" s="10" t="s">
        <v>10073</v>
      </c>
      <c r="D2359" s="10" t="s">
        <v>10074</v>
      </c>
      <c r="E2359" s="9" t="str">
        <f>HYPERLINK("https://twitter.com/nay_sue1/status/1218415810428854272","1218415810428854272")</f>
        <v>1218415810428854272</v>
      </c>
      <c r="F2359" s="10" t="s">
        <v>10075</v>
      </c>
      <c r="G2359" s="13"/>
      <c r="H2359" s="13"/>
      <c r="I2359" s="14">
        <v>1.0</v>
      </c>
      <c r="J2359" s="14">
        <v>5.0</v>
      </c>
      <c r="K2359" s="9" t="str">
        <f t="shared" si="304"/>
        <v>Twitter for Android</v>
      </c>
      <c r="L2359" s="15">
        <v>1804.0</v>
      </c>
      <c r="M2359" s="15">
        <v>3190.0</v>
      </c>
      <c r="N2359" s="15">
        <v>4.0</v>
      </c>
      <c r="O2359" s="16"/>
      <c r="P2359" s="17">
        <v>41755.035949074074</v>
      </c>
      <c r="Q2359" s="10" t="s">
        <v>10076</v>
      </c>
      <c r="R2359" s="10" t="s">
        <v>10077</v>
      </c>
      <c r="S2359" s="13"/>
      <c r="T2359" s="13"/>
      <c r="U2359" s="18" t="str">
        <f>HYPERLINK("https://pbs.twimg.com/profile_images/1161701201571766272/arXRK_Ml.jpg","View")</f>
        <v>View</v>
      </c>
      <c r="V2359" s="13"/>
      <c r="W2359" s="13"/>
      <c r="X2359" s="13"/>
      <c r="Y2359" s="13"/>
      <c r="Z2359" s="13"/>
    </row>
    <row r="2360">
      <c r="A2360" s="8">
        <v>43848.05</v>
      </c>
      <c r="B2360" s="9" t="str">
        <f>HYPERLINK("https://twitter.com/boricuamarzo","@boricuamarzo")</f>
        <v>@boricuamarzo</v>
      </c>
      <c r="C2360" s="10" t="s">
        <v>10078</v>
      </c>
      <c r="D2360" s="10" t="s">
        <v>238</v>
      </c>
      <c r="E2360" s="9" t="str">
        <f>HYPERLINK("https://twitter.com/boricuamarzo/status/1218415722721837056","1218415722721837056")</f>
        <v>1218415722721837056</v>
      </c>
      <c r="F2360" s="13"/>
      <c r="G2360" s="13"/>
      <c r="H2360" s="13"/>
      <c r="I2360" s="14">
        <v>1.0</v>
      </c>
      <c r="J2360" s="14">
        <v>2.0</v>
      </c>
      <c r="K2360" s="9" t="str">
        <f>HYPERLINK("http://twitter.com/download/iphone","Twitter for iPhone")</f>
        <v>Twitter for iPhone</v>
      </c>
      <c r="L2360" s="15">
        <v>34.0</v>
      </c>
      <c r="M2360" s="15">
        <v>860.0</v>
      </c>
      <c r="N2360" s="15">
        <v>2.0</v>
      </c>
      <c r="O2360" s="16"/>
      <c r="P2360" s="17">
        <v>42872.90013888889</v>
      </c>
      <c r="Q2360" s="13"/>
      <c r="R2360" s="10" t="s">
        <v>10079</v>
      </c>
      <c r="S2360" s="13"/>
      <c r="T2360" s="13"/>
      <c r="U2360" s="18" t="str">
        <f>HYPERLINK("https://pbs.twimg.com/profile_images/865020764877078528/QOoOLEJH.jpg","View")</f>
        <v>View</v>
      </c>
      <c r="V2360" s="13"/>
      <c r="W2360" s="13"/>
      <c r="X2360" s="13"/>
      <c r="Y2360" s="13"/>
      <c r="Z2360" s="13"/>
    </row>
    <row r="2361">
      <c r="A2361" s="8">
        <v>43848.04959490741</v>
      </c>
      <c r="B2361" s="9" t="str">
        <f>HYPERLINK("https://twitter.com/abhinav9669","@abhinav9669")</f>
        <v>@abhinav9669</v>
      </c>
      <c r="C2361" s="10" t="s">
        <v>10080</v>
      </c>
      <c r="D2361" s="10" t="s">
        <v>10081</v>
      </c>
      <c r="E2361" s="9" t="str">
        <f>HYPERLINK("https://twitter.com/abhinav9669/status/1218415577040994305","1218415577040994305")</f>
        <v>1218415577040994305</v>
      </c>
      <c r="F2361" s="13"/>
      <c r="G2361" s="13"/>
      <c r="H2361" s="13"/>
      <c r="I2361" s="14">
        <v>1.0</v>
      </c>
      <c r="J2361" s="14">
        <v>8.0</v>
      </c>
      <c r="K2361" s="9" t="str">
        <f>HYPERLINK("http://twitter.com/download/android","Twitter for Android")</f>
        <v>Twitter for Android</v>
      </c>
      <c r="L2361" s="15">
        <v>170.0</v>
      </c>
      <c r="M2361" s="15">
        <v>85.0</v>
      </c>
      <c r="N2361" s="15">
        <v>0.0</v>
      </c>
      <c r="O2361" s="16"/>
      <c r="P2361" s="17">
        <v>43198.53546296296</v>
      </c>
      <c r="Q2361" s="10" t="s">
        <v>10082</v>
      </c>
      <c r="R2361" s="10" t="s">
        <v>10083</v>
      </c>
      <c r="S2361" s="13"/>
      <c r="T2361" s="13"/>
      <c r="U2361" s="18" t="str">
        <f>HYPERLINK("https://pbs.twimg.com/profile_images/1156068903971221504/8wkqZWQr.jpg","View")</f>
        <v>View</v>
      </c>
      <c r="V2361" s="13"/>
      <c r="W2361" s="13"/>
      <c r="X2361" s="13"/>
      <c r="Y2361" s="13"/>
      <c r="Z2361" s="13"/>
    </row>
    <row r="2362">
      <c r="A2362" s="8">
        <v>43848.04900462963</v>
      </c>
      <c r="B2362" s="9" t="str">
        <f>HYPERLINK("https://twitter.com/alfaleh_i","@alfaleh_i")</f>
        <v>@alfaleh_i</v>
      </c>
      <c r="C2362" s="10" t="s">
        <v>10084</v>
      </c>
      <c r="D2362" s="10" t="s">
        <v>238</v>
      </c>
      <c r="E2362" s="9" t="str">
        <f>HYPERLINK("https://twitter.com/alfaleh_i/status/1218415364620668929","1218415364620668929")</f>
        <v>1218415364620668929</v>
      </c>
      <c r="F2362" s="13"/>
      <c r="G2362" s="13"/>
      <c r="H2362" s="13"/>
      <c r="I2362" s="14">
        <v>0.0</v>
      </c>
      <c r="J2362" s="14">
        <v>1.0</v>
      </c>
      <c r="K2362" s="9" t="str">
        <f>HYPERLINK("http://twitter.com/download/iphone","Twitter for iPhone")</f>
        <v>Twitter for iPhone</v>
      </c>
      <c r="L2362" s="15">
        <v>99.0</v>
      </c>
      <c r="M2362" s="15">
        <v>435.0</v>
      </c>
      <c r="N2362" s="15">
        <v>1.0</v>
      </c>
      <c r="O2362" s="16"/>
      <c r="P2362" s="17">
        <v>43367.35949074074</v>
      </c>
      <c r="Q2362" s="10" t="s">
        <v>10085</v>
      </c>
      <c r="R2362" s="10" t="s">
        <v>10086</v>
      </c>
      <c r="S2362" s="13"/>
      <c r="T2362" s="13"/>
      <c r="U2362" s="18" t="str">
        <f>HYPERLINK("https://pbs.twimg.com/profile_images/1044205368405053441/oWmS95lx.jpg","View")</f>
        <v>View</v>
      </c>
      <c r="V2362" s="13"/>
      <c r="W2362" s="13"/>
      <c r="X2362" s="13"/>
      <c r="Y2362" s="13"/>
      <c r="Z2362" s="13"/>
    </row>
    <row r="2363">
      <c r="A2363" s="8">
        <v>43848.04821759259</v>
      </c>
      <c r="B2363" s="9" t="str">
        <f>HYPERLINK("https://twitter.com/Zanahoriashida","@Zanahoriashida")</f>
        <v>@Zanahoriashida</v>
      </c>
      <c r="C2363" s="10" t="s">
        <v>10087</v>
      </c>
      <c r="D2363" s="10" t="s">
        <v>238</v>
      </c>
      <c r="E2363" s="9" t="str">
        <f>HYPERLINK("https://twitter.com/Zanahoriashida/status/1218415080234266624","1218415080234266624")</f>
        <v>1218415080234266624</v>
      </c>
      <c r="F2363" s="13"/>
      <c r="G2363" s="13"/>
      <c r="H2363" s="13"/>
      <c r="I2363" s="14">
        <v>0.0</v>
      </c>
      <c r="J2363" s="14">
        <v>1.0</v>
      </c>
      <c r="K2363" s="9" t="str">
        <f>HYPERLINK("https://mobile.twitter.com","Twitter Web App")</f>
        <v>Twitter Web App</v>
      </c>
      <c r="L2363" s="15">
        <v>23.0</v>
      </c>
      <c r="M2363" s="15">
        <v>45.0</v>
      </c>
      <c r="N2363" s="15">
        <v>0.0</v>
      </c>
      <c r="O2363" s="16"/>
      <c r="P2363" s="17">
        <v>43746.05408564815</v>
      </c>
      <c r="Q2363" s="10" t="s">
        <v>10088</v>
      </c>
      <c r="R2363" s="10" t="s">
        <v>10089</v>
      </c>
      <c r="S2363" s="13"/>
      <c r="T2363" s="13"/>
      <c r="U2363" s="18" t="str">
        <f>HYPERLINK("https://pbs.twimg.com/profile_images/1218296761854451713/Jb6zgkZs.jpg","View")</f>
        <v>View</v>
      </c>
      <c r="V2363" s="13"/>
      <c r="W2363" s="13"/>
      <c r="X2363" s="13"/>
      <c r="Y2363" s="13"/>
      <c r="Z2363" s="13"/>
    </row>
    <row r="2364">
      <c r="A2364" s="8">
        <v>43848.048171296294</v>
      </c>
      <c r="B2364" s="9" t="str">
        <f>HYPERLINK("https://twitter.com/pharmdee25","@pharmdee25")</f>
        <v>@pharmdee25</v>
      </c>
      <c r="C2364" s="10" t="s">
        <v>10090</v>
      </c>
      <c r="D2364" s="10" t="s">
        <v>238</v>
      </c>
      <c r="E2364" s="9" t="str">
        <f>HYPERLINK("https://twitter.com/pharmdee25/status/1218415062135775232","1218415062135775232")</f>
        <v>1218415062135775232</v>
      </c>
      <c r="F2364" s="13"/>
      <c r="G2364" s="13"/>
      <c r="H2364" s="13"/>
      <c r="I2364" s="14">
        <v>1.0</v>
      </c>
      <c r="J2364" s="14">
        <v>2.0</v>
      </c>
      <c r="K2364" s="9" t="str">
        <f>HYPERLINK("http://twitter.com/download/iphone","Twitter for iPhone")</f>
        <v>Twitter for iPhone</v>
      </c>
      <c r="L2364" s="15">
        <v>443.0</v>
      </c>
      <c r="M2364" s="15">
        <v>870.0</v>
      </c>
      <c r="N2364" s="15">
        <v>3.0</v>
      </c>
      <c r="O2364" s="16"/>
      <c r="P2364" s="17">
        <v>40451.5771875</v>
      </c>
      <c r="Q2364" s="10" t="s">
        <v>9424</v>
      </c>
      <c r="R2364" s="10" t="s">
        <v>10091</v>
      </c>
      <c r="S2364" s="13"/>
      <c r="T2364" s="13"/>
      <c r="U2364" s="18" t="str">
        <f>HYPERLINK("https://pbs.twimg.com/profile_images/1171129533778616321/_ZgduBVZ.jpg","View")</f>
        <v>View</v>
      </c>
      <c r="V2364" s="13"/>
      <c r="W2364" s="13"/>
      <c r="X2364" s="13"/>
      <c r="Y2364" s="13"/>
      <c r="Z2364" s="13"/>
    </row>
    <row r="2365">
      <c r="A2365" s="8">
        <v>43848.047939814816</v>
      </c>
      <c r="B2365" s="9" t="str">
        <f>HYPERLINK("https://twitter.com/HalitKalelioglu","@HalitKalelioglu")</f>
        <v>@HalitKalelioglu</v>
      </c>
      <c r="C2365" s="10" t="s">
        <v>10092</v>
      </c>
      <c r="D2365" s="10" t="s">
        <v>238</v>
      </c>
      <c r="E2365" s="9" t="str">
        <f>HYPERLINK("https://twitter.com/HalitKalelioglu/status/1218414976290955264","1218414976290955264")</f>
        <v>1218414976290955264</v>
      </c>
      <c r="F2365" s="13"/>
      <c r="G2365" s="13"/>
      <c r="H2365" s="13"/>
      <c r="I2365" s="14">
        <v>0.0</v>
      </c>
      <c r="J2365" s="14">
        <v>1.0</v>
      </c>
      <c r="K2365" s="9" t="str">
        <f>HYPERLINK("http://twitter.com/download/android","Twitter for Android")</f>
        <v>Twitter for Android</v>
      </c>
      <c r="L2365" s="15">
        <v>238.0</v>
      </c>
      <c r="M2365" s="15">
        <v>793.0</v>
      </c>
      <c r="N2365" s="15">
        <v>1.0</v>
      </c>
      <c r="O2365" s="16"/>
      <c r="P2365" s="17">
        <v>41689.595625</v>
      </c>
      <c r="Q2365" s="10" t="s">
        <v>10093</v>
      </c>
      <c r="R2365" s="10" t="s">
        <v>10094</v>
      </c>
      <c r="S2365" s="11" t="s">
        <v>10095</v>
      </c>
      <c r="T2365" s="13"/>
      <c r="U2365" s="18" t="str">
        <f>HYPERLINK("https://pbs.twimg.com/profile_images/762205993350692864/qxm_0KiE.jpg","View")</f>
        <v>View</v>
      </c>
      <c r="V2365" s="13"/>
      <c r="W2365" s="13"/>
      <c r="X2365" s="13"/>
      <c r="Y2365" s="13"/>
      <c r="Z2365" s="13"/>
    </row>
    <row r="2366">
      <c r="A2366" s="8">
        <v>43848.04755787037</v>
      </c>
      <c r="B2366" s="9" t="str">
        <f>HYPERLINK("https://twitter.com/143maemae","@143maemae")</f>
        <v>@143maemae</v>
      </c>
      <c r="C2366" s="10" t="s">
        <v>10096</v>
      </c>
      <c r="D2366" s="10" t="s">
        <v>10097</v>
      </c>
      <c r="E2366" s="9" t="str">
        <f>HYPERLINK("https://twitter.com/143maemae/status/1218414837769953280","1218414837769953280")</f>
        <v>1218414837769953280</v>
      </c>
      <c r="F2366" s="11" t="s">
        <v>10098</v>
      </c>
      <c r="G2366" s="13"/>
      <c r="H2366" s="13"/>
      <c r="I2366" s="14">
        <v>0.0</v>
      </c>
      <c r="J2366" s="14">
        <v>0.0</v>
      </c>
      <c r="K2366" s="9" t="str">
        <f>HYPERLINK("http://instagram.com","Instagram")</f>
        <v>Instagram</v>
      </c>
      <c r="L2366" s="15">
        <v>226.0</v>
      </c>
      <c r="M2366" s="15">
        <v>333.0</v>
      </c>
      <c r="N2366" s="15">
        <v>3.0</v>
      </c>
      <c r="O2366" s="16"/>
      <c r="P2366" s="17">
        <v>40748.34236111111</v>
      </c>
      <c r="Q2366" s="10" t="s">
        <v>10099</v>
      </c>
      <c r="R2366" s="10" t="s">
        <v>10100</v>
      </c>
      <c r="S2366" s="13"/>
      <c r="T2366" s="13"/>
      <c r="U2366" s="18" t="str">
        <f>HYPERLINK("https://pbs.twimg.com/profile_images/1212524773017677825/Cr_SMrtf.jpg","View")</f>
        <v>View</v>
      </c>
      <c r="V2366" s="13"/>
      <c r="W2366" s="13"/>
      <c r="X2366" s="13"/>
      <c r="Y2366" s="13"/>
      <c r="Z2366" s="13"/>
    </row>
    <row r="2367">
      <c r="A2367" s="8">
        <v>43848.04690972222</v>
      </c>
      <c r="B2367" s="9" t="str">
        <f>HYPERLINK("https://twitter.com/yasmeen_9","@yasmeen_9")</f>
        <v>@yasmeen_9</v>
      </c>
      <c r="C2367" s="10" t="s">
        <v>10101</v>
      </c>
      <c r="D2367" s="10" t="s">
        <v>238</v>
      </c>
      <c r="E2367" s="9" t="str">
        <f>HYPERLINK("https://twitter.com/yasmeen_9/status/1218414605829054464","1218414605829054464")</f>
        <v>1218414605829054464</v>
      </c>
      <c r="F2367" s="13"/>
      <c r="G2367" s="13"/>
      <c r="H2367" s="13"/>
      <c r="I2367" s="14">
        <v>0.0</v>
      </c>
      <c r="J2367" s="14">
        <v>0.0</v>
      </c>
      <c r="K2367" s="9" t="str">
        <f>HYPERLINK("http://twitter.com/download/android","Twitter for Android")</f>
        <v>Twitter for Android</v>
      </c>
      <c r="L2367" s="15">
        <v>38932.0</v>
      </c>
      <c r="M2367" s="15">
        <v>719.0</v>
      </c>
      <c r="N2367" s="15">
        <v>210.0</v>
      </c>
      <c r="O2367" s="16"/>
      <c r="P2367" s="17">
        <v>40692.88732638889</v>
      </c>
      <c r="Q2367" s="10" t="s">
        <v>10102</v>
      </c>
      <c r="R2367" s="10" t="s">
        <v>10103</v>
      </c>
      <c r="S2367" s="13"/>
      <c r="T2367" s="13"/>
      <c r="U2367" s="18" t="str">
        <f>HYPERLINK("https://pbs.twimg.com/profile_images/1120738082557517824/QOH0qzJC.jpg","View")</f>
        <v>View</v>
      </c>
      <c r="V2367" s="13"/>
      <c r="W2367" s="13"/>
      <c r="X2367" s="13"/>
      <c r="Y2367" s="13"/>
      <c r="Z2367" s="13"/>
    </row>
    <row r="2368">
      <c r="A2368" s="8">
        <v>43848.04673611111</v>
      </c>
      <c r="B2368" s="9" t="str">
        <f>HYPERLINK("https://twitter.com/PTSDpuzzle","@PTSDpuzzle")</f>
        <v>@PTSDpuzzle</v>
      </c>
      <c r="C2368" s="10" t="s">
        <v>10104</v>
      </c>
      <c r="D2368" s="10" t="s">
        <v>10105</v>
      </c>
      <c r="E2368" s="9" t="str">
        <f>HYPERLINK("https://twitter.com/PTSDpuzzle/status/1218414540594900992","1218414540594900992")</f>
        <v>1218414540594900992</v>
      </c>
      <c r="F2368" s="13"/>
      <c r="G2368" s="13"/>
      <c r="H2368" s="13"/>
      <c r="I2368" s="14">
        <v>0.0</v>
      </c>
      <c r="J2368" s="14">
        <v>0.0</v>
      </c>
      <c r="K2368" s="9" t="str">
        <f>HYPERLINK("http://twitter.com/#!/download/ipad","Twitter for iPad")</f>
        <v>Twitter for iPad</v>
      </c>
      <c r="L2368" s="15">
        <v>232.0</v>
      </c>
      <c r="M2368" s="15">
        <v>443.0</v>
      </c>
      <c r="N2368" s="15">
        <v>2.0</v>
      </c>
      <c r="O2368" s="16"/>
      <c r="P2368" s="17">
        <v>42122.871886574074</v>
      </c>
      <c r="Q2368" s="10" t="s">
        <v>171</v>
      </c>
      <c r="R2368" s="10" t="s">
        <v>10106</v>
      </c>
      <c r="S2368" s="11" t="s">
        <v>10107</v>
      </c>
      <c r="T2368" s="13"/>
      <c r="U2368" s="18" t="str">
        <f>HYPERLINK("https://pbs.twimg.com/profile_images/1143227093825642496/ePZv0aZ6.png","View")</f>
        <v>View</v>
      </c>
      <c r="V2368" s="13"/>
      <c r="W2368" s="13"/>
      <c r="X2368" s="13"/>
      <c r="Y2368" s="13"/>
      <c r="Z2368" s="13"/>
    </row>
    <row r="2369">
      <c r="A2369" s="8">
        <v>43848.04625</v>
      </c>
      <c r="B2369" s="9" t="str">
        <f>HYPERLINK("https://twitter.com/DShorb","@DShorb")</f>
        <v>@DShorb</v>
      </c>
      <c r="C2369" s="10" t="s">
        <v>21</v>
      </c>
      <c r="D2369" s="10" t="s">
        <v>1864</v>
      </c>
      <c r="E2369" s="9" t="str">
        <f>HYPERLINK("https://twitter.com/DShorb/status/1218414366875357184","1218414366875357184")</f>
        <v>1218414366875357184</v>
      </c>
      <c r="F2369" s="11" t="s">
        <v>10108</v>
      </c>
      <c r="G2369" s="13"/>
      <c r="H2369" s="13"/>
      <c r="I2369" s="14">
        <v>0.0</v>
      </c>
      <c r="J2369" s="14">
        <v>0.0</v>
      </c>
      <c r="K2369" s="9" t="str">
        <f>HYPERLINK("https://www.smedian.com","Penname")</f>
        <v>Penname</v>
      </c>
      <c r="L2369" s="15">
        <v>3871.0</v>
      </c>
      <c r="M2369" s="15">
        <v>4543.0</v>
      </c>
      <c r="N2369" s="15">
        <v>185.0</v>
      </c>
      <c r="O2369" s="16"/>
      <c r="P2369" s="17">
        <v>40991.739027777774</v>
      </c>
      <c r="Q2369" s="10" t="s">
        <v>24</v>
      </c>
      <c r="R2369" s="10" t="s">
        <v>25</v>
      </c>
      <c r="S2369" s="11" t="s">
        <v>26</v>
      </c>
      <c r="T2369" s="13"/>
      <c r="U2369" s="18" t="str">
        <f>HYPERLINK("https://pbs.twimg.com/profile_images/1134459629478408192/VnPf0dlm.jpg","View")</f>
        <v>View</v>
      </c>
      <c r="V2369" s="13"/>
      <c r="W2369" s="13"/>
      <c r="X2369" s="13"/>
      <c r="Y2369" s="13"/>
      <c r="Z2369" s="13"/>
    </row>
    <row r="2370">
      <c r="A2370" s="8">
        <v>43848.04530092592</v>
      </c>
      <c r="B2370" s="9" t="str">
        <f>HYPERLINK("https://twitter.com/TMHATweets","@TMHATweets")</f>
        <v>@TMHATweets</v>
      </c>
      <c r="C2370" s="10" t="s">
        <v>10109</v>
      </c>
      <c r="D2370" s="10" t="s">
        <v>10110</v>
      </c>
      <c r="E2370" s="9" t="str">
        <f>HYPERLINK("https://twitter.com/TMHATweets/status/1218414023680479234","1218414023680479234")</f>
        <v>1218414023680479234</v>
      </c>
      <c r="F2370" s="11" t="s">
        <v>10111</v>
      </c>
      <c r="G2370" s="13"/>
      <c r="H2370" s="13"/>
      <c r="I2370" s="14">
        <v>0.0</v>
      </c>
      <c r="J2370" s="14">
        <v>0.0</v>
      </c>
      <c r="K2370" s="9" t="str">
        <f>HYPERLINK("http://twitter.com/download/iphone","Twitter for iPhone")</f>
        <v>Twitter for iPhone</v>
      </c>
      <c r="L2370" s="15">
        <v>25.0</v>
      </c>
      <c r="M2370" s="15">
        <v>22.0</v>
      </c>
      <c r="N2370" s="15">
        <v>0.0</v>
      </c>
      <c r="O2370" s="16"/>
      <c r="P2370" s="17">
        <v>43717.61313657407</v>
      </c>
      <c r="Q2370" s="10" t="s">
        <v>10112</v>
      </c>
      <c r="R2370" s="10" t="s">
        <v>10113</v>
      </c>
      <c r="S2370" s="11" t="s">
        <v>10114</v>
      </c>
      <c r="T2370" s="13"/>
      <c r="U2370" s="18" t="str">
        <f>HYPERLINK("https://pbs.twimg.com/profile_images/1213167928524148736/f7YdUvZF.jpg","View")</f>
        <v>View</v>
      </c>
      <c r="V2370" s="13"/>
      <c r="W2370" s="13"/>
      <c r="X2370" s="13"/>
      <c r="Y2370" s="13"/>
      <c r="Z2370" s="13"/>
    </row>
    <row r="2371">
      <c r="A2371" s="8">
        <v>43848.04502314815</v>
      </c>
      <c r="B2371" s="9" t="str">
        <f>HYPERLINK("https://twitter.com/Chitrali19","@Chitrali19")</f>
        <v>@Chitrali19</v>
      </c>
      <c r="C2371" s="10" t="s">
        <v>10115</v>
      </c>
      <c r="D2371" s="10" t="s">
        <v>10116</v>
      </c>
      <c r="E2371" s="9" t="str">
        <f>HYPERLINK("https://twitter.com/Chitrali19/status/1218413920442032128","1218413920442032128")</f>
        <v>1218413920442032128</v>
      </c>
      <c r="F2371" s="11" t="s">
        <v>10117</v>
      </c>
      <c r="G2371" s="13"/>
      <c r="H2371" s="13"/>
      <c r="I2371" s="14">
        <v>0.0</v>
      </c>
      <c r="J2371" s="14">
        <v>0.0</v>
      </c>
      <c r="K2371" s="9" t="str">
        <f>HYPERLINK("http://twitter.com/download/android","Twitter for Android")</f>
        <v>Twitter for Android</v>
      </c>
      <c r="L2371" s="15">
        <v>180.0</v>
      </c>
      <c r="M2371" s="15">
        <v>1200.0</v>
      </c>
      <c r="N2371" s="15">
        <v>0.0</v>
      </c>
      <c r="O2371" s="16"/>
      <c r="P2371" s="17">
        <v>42680.93393518518</v>
      </c>
      <c r="Q2371" s="13"/>
      <c r="R2371" s="13"/>
      <c r="S2371" s="13"/>
      <c r="T2371" s="13"/>
      <c r="U2371" s="18" t="str">
        <f>HYPERLINK("https://pbs.twimg.com/profile_images/913350542998548480/bUaW5kfs.jpg","View")</f>
        <v>View</v>
      </c>
      <c r="V2371" s="13"/>
      <c r="W2371" s="13"/>
      <c r="X2371" s="13"/>
      <c r="Y2371" s="13"/>
      <c r="Z2371" s="13"/>
    </row>
    <row r="2372">
      <c r="A2372" s="8">
        <v>43848.04430555555</v>
      </c>
      <c r="B2372" s="9" t="str">
        <f>HYPERLINK("https://twitter.com/counselloranna","@counselloranna")</f>
        <v>@counselloranna</v>
      </c>
      <c r="C2372" s="10" t="s">
        <v>10118</v>
      </c>
      <c r="D2372" s="10" t="s">
        <v>238</v>
      </c>
      <c r="E2372" s="9" t="str">
        <f>HYPERLINK("https://twitter.com/counselloranna/status/1218413659396853763","1218413659396853763")</f>
        <v>1218413659396853763</v>
      </c>
      <c r="F2372" s="13"/>
      <c r="G2372" s="13"/>
      <c r="H2372" s="13"/>
      <c r="I2372" s="14">
        <v>0.0</v>
      </c>
      <c r="J2372" s="14">
        <v>1.0</v>
      </c>
      <c r="K2372" s="9" t="str">
        <f t="shared" ref="K2372:K2373" si="305">HYPERLINK("http://twitter.com/download/iphone","Twitter for iPhone")</f>
        <v>Twitter for iPhone</v>
      </c>
      <c r="L2372" s="15">
        <v>1459.0</v>
      </c>
      <c r="M2372" s="15">
        <v>417.0</v>
      </c>
      <c r="N2372" s="15">
        <v>11.0</v>
      </c>
      <c r="O2372" s="16"/>
      <c r="P2372" s="17">
        <v>40083.37740740741</v>
      </c>
      <c r="Q2372" s="10" t="s">
        <v>10119</v>
      </c>
      <c r="R2372" s="10" t="s">
        <v>10120</v>
      </c>
      <c r="S2372" s="11" t="s">
        <v>10121</v>
      </c>
      <c r="T2372" s="13"/>
      <c r="U2372" s="18" t="str">
        <f>HYPERLINK("https://pbs.twimg.com/profile_images/1191227540771201025/3ncmtcRi.jpg","View")</f>
        <v>View</v>
      </c>
      <c r="V2372" s="13"/>
      <c r="W2372" s="13"/>
      <c r="X2372" s="13"/>
      <c r="Y2372" s="13"/>
      <c r="Z2372" s="13"/>
    </row>
    <row r="2373">
      <c r="A2373" s="8">
        <v>43848.04325231482</v>
      </c>
      <c r="B2373" s="9" t="str">
        <f>HYPERLINK("https://twitter.com/DebraLindh","@DebraLindh")</f>
        <v>@DebraLindh</v>
      </c>
      <c r="C2373" s="10" t="s">
        <v>4428</v>
      </c>
      <c r="D2373" s="10" t="s">
        <v>10122</v>
      </c>
      <c r="E2373" s="9" t="str">
        <f>HYPERLINK("https://twitter.com/DebraLindh/status/1218413278512193536","1218413278512193536")</f>
        <v>1218413278512193536</v>
      </c>
      <c r="F2373" s="13"/>
      <c r="G2373" s="13"/>
      <c r="H2373" s="13"/>
      <c r="I2373" s="14">
        <v>1.0</v>
      </c>
      <c r="J2373" s="14">
        <v>16.0</v>
      </c>
      <c r="K2373" s="9" t="str">
        <f t="shared" si="305"/>
        <v>Twitter for iPhone</v>
      </c>
      <c r="L2373" s="15">
        <v>9991.0</v>
      </c>
      <c r="M2373" s="15">
        <v>10585.0</v>
      </c>
      <c r="N2373" s="15">
        <v>467.0</v>
      </c>
      <c r="O2373" s="16"/>
      <c r="P2373" s="17">
        <v>40756.47195601852</v>
      </c>
      <c r="Q2373" s="10" t="s">
        <v>4431</v>
      </c>
      <c r="R2373" s="10" t="s">
        <v>4432</v>
      </c>
      <c r="S2373" s="11" t="s">
        <v>4433</v>
      </c>
      <c r="T2373" s="13"/>
      <c r="U2373" s="18" t="str">
        <f>HYPERLINK("https://pbs.twimg.com/profile_images/1187264103905136640/lS-fKvUp.jpg","View")</f>
        <v>View</v>
      </c>
      <c r="V2373" s="13"/>
      <c r="W2373" s="13"/>
      <c r="X2373" s="13"/>
      <c r="Y2373" s="13"/>
      <c r="Z2373" s="13"/>
    </row>
    <row r="2374">
      <c r="A2374" s="8">
        <v>43848.04324074074</v>
      </c>
      <c r="B2374" s="9" t="str">
        <f>HYPERLINK("https://twitter.com/lameduck1960","@lameduck1960")</f>
        <v>@lameduck1960</v>
      </c>
      <c r="C2374" s="10" t="s">
        <v>10123</v>
      </c>
      <c r="D2374" s="10" t="s">
        <v>238</v>
      </c>
      <c r="E2374" s="9" t="str">
        <f>HYPERLINK("https://twitter.com/lameduck1960/status/1218413273499959296","1218413273499959296")</f>
        <v>1218413273499959296</v>
      </c>
      <c r="F2374" s="13"/>
      <c r="G2374" s="13"/>
      <c r="H2374" s="13"/>
      <c r="I2374" s="14">
        <v>1.0</v>
      </c>
      <c r="J2374" s="14">
        <v>0.0</v>
      </c>
      <c r="K2374" s="9" t="str">
        <f>HYPERLINK("http://twitter.com/download/android","Twitter for Android")</f>
        <v>Twitter for Android</v>
      </c>
      <c r="L2374" s="15">
        <v>12553.0</v>
      </c>
      <c r="M2374" s="15">
        <v>1430.0</v>
      </c>
      <c r="N2374" s="15">
        <v>148.0</v>
      </c>
      <c r="O2374" s="16"/>
      <c r="P2374" s="17">
        <v>40097.544953703706</v>
      </c>
      <c r="Q2374" s="10" t="s">
        <v>10124</v>
      </c>
      <c r="R2374" s="10" t="s">
        <v>10125</v>
      </c>
      <c r="S2374" s="11" t="s">
        <v>10126</v>
      </c>
      <c r="T2374" s="13"/>
      <c r="U2374" s="18" t="str">
        <f>HYPERLINK("https://pbs.twimg.com/profile_images/1194379183570505729/YMVugwa3.jpg","View")</f>
        <v>View</v>
      </c>
      <c r="V2374" s="13"/>
      <c r="W2374" s="13"/>
      <c r="X2374" s="13"/>
      <c r="Y2374" s="13"/>
      <c r="Z2374" s="13"/>
    </row>
    <row r="2375">
      <c r="A2375" s="8">
        <v>43848.043125</v>
      </c>
      <c r="B2375" s="9" t="str">
        <f>HYPERLINK("https://twitter.com/venglishILS","@venglishILS")</f>
        <v>@venglishILS</v>
      </c>
      <c r="C2375" s="10" t="s">
        <v>10127</v>
      </c>
      <c r="D2375" s="10" t="s">
        <v>10128</v>
      </c>
      <c r="E2375" s="9" t="str">
        <f>HYPERLINK("https://twitter.com/venglishILS/status/1218413234933370880","1218413234933370880")</f>
        <v>1218413234933370880</v>
      </c>
      <c r="F2375" s="13"/>
      <c r="G2375" s="11" t="s">
        <v>10129</v>
      </c>
      <c r="H2375" s="13"/>
      <c r="I2375" s="14">
        <v>0.0</v>
      </c>
      <c r="J2375" s="14">
        <v>2.0</v>
      </c>
      <c r="K2375" s="9" t="str">
        <f t="shared" ref="K2375:K2376" si="306">HYPERLINK("http://twitter.com/download/iphone","Twitter for iPhone")</f>
        <v>Twitter for iPhone</v>
      </c>
      <c r="L2375" s="15">
        <v>1014.0</v>
      </c>
      <c r="M2375" s="15">
        <v>310.0</v>
      </c>
      <c r="N2375" s="15">
        <v>25.0</v>
      </c>
      <c r="O2375" s="16"/>
      <c r="P2375" s="17">
        <v>42452.262453703705</v>
      </c>
      <c r="Q2375" s="10" t="s">
        <v>3138</v>
      </c>
      <c r="R2375" s="10" t="s">
        <v>10130</v>
      </c>
      <c r="S2375" s="13"/>
      <c r="T2375" s="13"/>
      <c r="U2375" s="18" t="str">
        <f>HYPERLINK("https://pbs.twimg.com/profile_images/1127641987648299010/RcqTzxqf.jpg","View")</f>
        <v>View</v>
      </c>
      <c r="V2375" s="13"/>
      <c r="W2375" s="13"/>
      <c r="X2375" s="13"/>
      <c r="Y2375" s="13"/>
      <c r="Z2375" s="13"/>
    </row>
    <row r="2376">
      <c r="A2376" s="8">
        <v>43848.042499999996</v>
      </c>
      <c r="B2376" s="9" t="str">
        <f>HYPERLINK("https://twitter.com/MissGrimsArt","@MissGrimsArt")</f>
        <v>@MissGrimsArt</v>
      </c>
      <c r="C2376" s="10" t="s">
        <v>10131</v>
      </c>
      <c r="D2376" s="10" t="s">
        <v>10132</v>
      </c>
      <c r="E2376" s="9" t="str">
        <f>HYPERLINK("https://twitter.com/MissGrimsArt/status/1218413007153369088","1218413007153369088")</f>
        <v>1218413007153369088</v>
      </c>
      <c r="F2376" s="13"/>
      <c r="G2376" s="11" t="s">
        <v>10133</v>
      </c>
      <c r="H2376" s="13"/>
      <c r="I2376" s="14">
        <v>0.0</v>
      </c>
      <c r="J2376" s="14">
        <v>3.0</v>
      </c>
      <c r="K2376" s="9" t="str">
        <f t="shared" si="306"/>
        <v>Twitter for iPhone</v>
      </c>
      <c r="L2376" s="15">
        <v>158.0</v>
      </c>
      <c r="M2376" s="15">
        <v>469.0</v>
      </c>
      <c r="N2376" s="15">
        <v>7.0</v>
      </c>
      <c r="O2376" s="16"/>
      <c r="P2376" s="17">
        <v>41659.59300925926</v>
      </c>
      <c r="Q2376" s="10" t="s">
        <v>360</v>
      </c>
      <c r="R2376" s="10" t="s">
        <v>10134</v>
      </c>
      <c r="S2376" s="11" t="s">
        <v>10135</v>
      </c>
      <c r="T2376" s="13"/>
      <c r="U2376" s="18" t="str">
        <f>HYPERLINK("https://pbs.twimg.com/profile_images/1145379312385892352/r5LQQbP9.jpg","View")</f>
        <v>View</v>
      </c>
      <c r="V2376" s="13"/>
      <c r="W2376" s="13"/>
      <c r="X2376" s="13"/>
      <c r="Y2376" s="13"/>
      <c r="Z2376" s="13"/>
    </row>
    <row r="2377">
      <c r="A2377" s="8">
        <v>43848.04243055556</v>
      </c>
      <c r="B2377" s="9" t="str">
        <f>HYPERLINK("https://twitter.com/MsMaynes","@MsMaynes")</f>
        <v>@MsMaynes</v>
      </c>
      <c r="C2377" s="10" t="s">
        <v>10136</v>
      </c>
      <c r="D2377" s="10" t="s">
        <v>10137</v>
      </c>
      <c r="E2377" s="9" t="str">
        <f>HYPERLINK("https://twitter.com/MsMaynes/status/1218412979974107136","1218412979974107136")</f>
        <v>1218412979974107136</v>
      </c>
      <c r="F2377" s="11" t="s">
        <v>10138</v>
      </c>
      <c r="G2377" s="11" t="s">
        <v>10139</v>
      </c>
      <c r="H2377" s="13"/>
      <c r="I2377" s="14">
        <v>0.0</v>
      </c>
      <c r="J2377" s="14">
        <v>1.0</v>
      </c>
      <c r="K2377" s="9" t="str">
        <f>HYPERLINK("https://mobile.twitter.com","Twitter Web App")</f>
        <v>Twitter Web App</v>
      </c>
      <c r="L2377" s="15">
        <v>164.0</v>
      </c>
      <c r="M2377" s="15">
        <v>452.0</v>
      </c>
      <c r="N2377" s="15">
        <v>7.0</v>
      </c>
      <c r="O2377" s="16"/>
      <c r="P2377" s="17">
        <v>42234.52548611111</v>
      </c>
      <c r="Q2377" s="13"/>
      <c r="R2377" s="10" t="s">
        <v>10140</v>
      </c>
      <c r="S2377" s="13"/>
      <c r="T2377" s="13"/>
      <c r="U2377" s="18" t="str">
        <f>HYPERLINK("https://pbs.twimg.com/profile_images/1171591914572804099/kZChcHBo.jpg","View")</f>
        <v>View</v>
      </c>
      <c r="V2377" s="13"/>
      <c r="W2377" s="13"/>
      <c r="X2377" s="13"/>
      <c r="Y2377" s="13"/>
      <c r="Z2377" s="13"/>
    </row>
    <row r="2378">
      <c r="A2378" s="8">
        <v>43848.042395833334</v>
      </c>
      <c r="B2378" s="9" t="str">
        <f>HYPERLINK("https://twitter.com/CarrieFairygirl","@CarrieFairygirl")</f>
        <v>@CarrieFairygirl</v>
      </c>
      <c r="C2378" s="10" t="s">
        <v>10141</v>
      </c>
      <c r="D2378" s="10" t="s">
        <v>10142</v>
      </c>
      <c r="E2378" s="9" t="str">
        <f>HYPERLINK("https://twitter.com/CarrieFairygirl/status/1218412967315824640","1218412967315824640")</f>
        <v>1218412967315824640</v>
      </c>
      <c r="F2378" s="13"/>
      <c r="G2378" s="11" t="s">
        <v>10143</v>
      </c>
      <c r="H2378" s="13"/>
      <c r="I2378" s="14">
        <v>0.0</v>
      </c>
      <c r="J2378" s="14">
        <v>0.0</v>
      </c>
      <c r="K2378" s="9" t="str">
        <f>HYPERLINK("http://twitter.com/download/iphone","Twitter for iPhone")</f>
        <v>Twitter for iPhone</v>
      </c>
      <c r="L2378" s="15">
        <v>1194.0</v>
      </c>
      <c r="M2378" s="15">
        <v>1251.0</v>
      </c>
      <c r="N2378" s="15">
        <v>35.0</v>
      </c>
      <c r="O2378" s="16"/>
      <c r="P2378" s="17">
        <v>40290.32329861111</v>
      </c>
      <c r="Q2378" s="10" t="s">
        <v>360</v>
      </c>
      <c r="R2378" s="10" t="s">
        <v>10144</v>
      </c>
      <c r="S2378" s="13"/>
      <c r="T2378" s="13"/>
      <c r="U2378" s="18" t="str">
        <f>HYPERLINK("https://pbs.twimg.com/profile_images/1215081797371027456/uATw23Qm.jpg","View")</f>
        <v>View</v>
      </c>
      <c r="V2378" s="13"/>
      <c r="W2378" s="13"/>
      <c r="X2378" s="13"/>
      <c r="Y2378" s="13"/>
      <c r="Z2378" s="13"/>
    </row>
    <row r="2379">
      <c r="A2379" s="8">
        <v>43848.042337962965</v>
      </c>
      <c r="B2379" s="9" t="str">
        <f>HYPERLINK("https://twitter.com/Relivenow1","@Relivenow1")</f>
        <v>@Relivenow1</v>
      </c>
      <c r="C2379" s="10" t="s">
        <v>10145</v>
      </c>
      <c r="D2379" s="10" t="s">
        <v>10146</v>
      </c>
      <c r="E2379" s="9" t="str">
        <f>HYPERLINK("https://twitter.com/Relivenow1/status/1218412946432446464","1218412946432446464")</f>
        <v>1218412946432446464</v>
      </c>
      <c r="F2379" s="13"/>
      <c r="G2379" s="11" t="s">
        <v>10147</v>
      </c>
      <c r="H2379" s="13"/>
      <c r="I2379" s="14">
        <v>0.0</v>
      </c>
      <c r="J2379" s="14">
        <v>0.0</v>
      </c>
      <c r="K2379" s="9" t="str">
        <f t="shared" ref="K2379:K2380" si="307">HYPERLINK("https://mobile.twitter.com","Twitter Web App")</f>
        <v>Twitter Web App</v>
      </c>
      <c r="L2379" s="15">
        <v>56.0</v>
      </c>
      <c r="M2379" s="15">
        <v>53.0</v>
      </c>
      <c r="N2379" s="15">
        <v>0.0</v>
      </c>
      <c r="O2379" s="16"/>
      <c r="P2379" s="17">
        <v>43119.28685185185</v>
      </c>
      <c r="Q2379" s="10" t="s">
        <v>10148</v>
      </c>
      <c r="R2379" s="10" t="s">
        <v>10149</v>
      </c>
      <c r="S2379" s="11" t="s">
        <v>10150</v>
      </c>
      <c r="T2379" s="13"/>
      <c r="U2379" s="18" t="str">
        <f>HYPERLINK("https://pbs.twimg.com/profile_images/1177571641288773632/H5sdHS4T.jpg","View")</f>
        <v>View</v>
      </c>
      <c r="V2379" s="13"/>
      <c r="W2379" s="13"/>
      <c r="X2379" s="13"/>
      <c r="Y2379" s="13"/>
      <c r="Z2379" s="13"/>
    </row>
    <row r="2380">
      <c r="A2380" s="8">
        <v>43848.042175925926</v>
      </c>
      <c r="B2380" s="9" t="str">
        <f>HYPERLINK("https://twitter.com/EuropeMeetings","@EuropeMeetings")</f>
        <v>@EuropeMeetings</v>
      </c>
      <c r="C2380" s="10" t="s">
        <v>10151</v>
      </c>
      <c r="D2380" s="10" t="s">
        <v>10152</v>
      </c>
      <c r="E2380" s="9" t="str">
        <f>HYPERLINK("https://twitter.com/EuropeMeetings/status/1218412888076931072","1218412888076931072")</f>
        <v>1218412888076931072</v>
      </c>
      <c r="F2380" s="11" t="s">
        <v>10153</v>
      </c>
      <c r="G2380" s="11" t="s">
        <v>10154</v>
      </c>
      <c r="H2380" s="13"/>
      <c r="I2380" s="14">
        <v>0.0</v>
      </c>
      <c r="J2380" s="14">
        <v>0.0</v>
      </c>
      <c r="K2380" s="9" t="str">
        <f t="shared" si="307"/>
        <v>Twitter Web App</v>
      </c>
      <c r="L2380" s="15">
        <v>0.0</v>
      </c>
      <c r="M2380" s="15">
        <v>1.0</v>
      </c>
      <c r="N2380" s="15">
        <v>0.0</v>
      </c>
      <c r="O2380" s="16"/>
      <c r="P2380" s="17">
        <v>43818.446875</v>
      </c>
      <c r="Q2380" s="10" t="s">
        <v>2805</v>
      </c>
      <c r="R2380" s="10" t="s">
        <v>10155</v>
      </c>
      <c r="S2380" s="13"/>
      <c r="T2380" s="13"/>
      <c r="U2380" s="18" t="str">
        <f>HYPERLINK("https://pbs.twimg.com/profile_images/1214920645466820609/_Ez0gQOR.jpg","View")</f>
        <v>View</v>
      </c>
      <c r="V2380" s="13"/>
      <c r="W2380" s="13"/>
      <c r="X2380" s="13"/>
      <c r="Y2380" s="13"/>
      <c r="Z2380" s="13"/>
    </row>
    <row r="2381">
      <c r="A2381" s="8">
        <v>43848.041712962964</v>
      </c>
      <c r="B2381" s="9" t="str">
        <f>HYPERLINK("https://twitter.com/livefortmw","@livefortmw")</f>
        <v>@livefortmw</v>
      </c>
      <c r="C2381" s="10" t="s">
        <v>10156</v>
      </c>
      <c r="D2381" s="10" t="s">
        <v>10157</v>
      </c>
      <c r="E2381" s="9" t="str">
        <f>HYPERLINK("https://twitter.com/livefortmw/status/1218412719566659587","1218412719566659587")</f>
        <v>1218412719566659587</v>
      </c>
      <c r="F2381" s="13"/>
      <c r="G2381" s="11" t="s">
        <v>10158</v>
      </c>
      <c r="H2381" s="13"/>
      <c r="I2381" s="14">
        <v>0.0</v>
      </c>
      <c r="J2381" s="14">
        <v>3.0</v>
      </c>
      <c r="K2381" s="9" t="str">
        <f>HYPERLINK("https://buffer.com","Buffer")</f>
        <v>Buffer</v>
      </c>
      <c r="L2381" s="15">
        <v>1548.0</v>
      </c>
      <c r="M2381" s="15">
        <v>689.0</v>
      </c>
      <c r="N2381" s="15">
        <v>12.0</v>
      </c>
      <c r="O2381" s="16"/>
      <c r="P2381" s="17">
        <v>41473.871886574074</v>
      </c>
      <c r="Q2381" s="10" t="s">
        <v>10159</v>
      </c>
      <c r="R2381" s="10" t="s">
        <v>10160</v>
      </c>
      <c r="S2381" s="11" t="s">
        <v>10161</v>
      </c>
      <c r="T2381" s="13"/>
      <c r="U2381" s="18" t="str">
        <f>HYPERLINK("https://pbs.twimg.com/profile_images/1169842858804699137/eKVXmOGz.jpg","View")</f>
        <v>View</v>
      </c>
      <c r="V2381" s="13"/>
      <c r="W2381" s="13"/>
      <c r="X2381" s="13"/>
      <c r="Y2381" s="13"/>
      <c r="Z2381" s="13"/>
    </row>
    <row r="2382">
      <c r="A2382" s="8">
        <v>43848.0408449074</v>
      </c>
      <c r="B2382" s="9" t="str">
        <f>HYPERLINK("https://twitter.com/JaneDoeBPD","@JaneDoeBPD")</f>
        <v>@JaneDoeBPD</v>
      </c>
      <c r="C2382" s="10" t="s">
        <v>10162</v>
      </c>
      <c r="D2382" s="10" t="s">
        <v>10163</v>
      </c>
      <c r="E2382" s="9" t="str">
        <f>HYPERLINK("https://twitter.com/JaneDoeBPD/status/1218412406545711104","1218412406545711104")</f>
        <v>1218412406545711104</v>
      </c>
      <c r="F2382" s="13"/>
      <c r="G2382" s="13"/>
      <c r="H2382" s="13"/>
      <c r="I2382" s="14">
        <v>0.0</v>
      </c>
      <c r="J2382" s="14">
        <v>0.0</v>
      </c>
      <c r="K2382" s="9" t="str">
        <f>HYPERLINK("http://twitter.com/download/iphone","Twitter for iPhone")</f>
        <v>Twitter for iPhone</v>
      </c>
      <c r="L2382" s="15">
        <v>664.0</v>
      </c>
      <c r="M2382" s="15">
        <v>341.0</v>
      </c>
      <c r="N2382" s="15">
        <v>3.0</v>
      </c>
      <c r="O2382" s="16"/>
      <c r="P2382" s="17">
        <v>42985.00274305556</v>
      </c>
      <c r="Q2382" s="13"/>
      <c r="R2382" s="10" t="s">
        <v>10164</v>
      </c>
      <c r="S2382" s="13"/>
      <c r="T2382" s="13"/>
      <c r="U2382" s="18" t="str">
        <f>HYPERLINK("https://pbs.twimg.com/profile_images/905648519020609537/xE4Gl12_.jpg","View")</f>
        <v>View</v>
      </c>
      <c r="V2382" s="13"/>
      <c r="W2382" s="13"/>
      <c r="X2382" s="13"/>
      <c r="Y2382" s="13"/>
      <c r="Z2382" s="13"/>
    </row>
    <row r="2383">
      <c r="A2383" s="8">
        <v>43848.0403125</v>
      </c>
      <c r="B2383" s="9" t="str">
        <f>HYPERLINK("https://twitter.com/TheDopamineFlux","@TheDopamineFlux")</f>
        <v>@TheDopamineFlux</v>
      </c>
      <c r="C2383" s="10" t="s">
        <v>3047</v>
      </c>
      <c r="D2383" s="10" t="s">
        <v>10165</v>
      </c>
      <c r="E2383" s="9" t="str">
        <f>HYPERLINK("https://twitter.com/TheDopamineFlux/status/1218412214748622849","1218412214748622849")</f>
        <v>1218412214748622849</v>
      </c>
      <c r="F2383" s="11" t="s">
        <v>3049</v>
      </c>
      <c r="G2383" s="13"/>
      <c r="H2383" s="13"/>
      <c r="I2383" s="14">
        <v>0.0</v>
      </c>
      <c r="J2383" s="14">
        <v>1.0</v>
      </c>
      <c r="K2383" s="9" t="str">
        <f>HYPERLINK("http://twitter.com","Twitter Web Client")</f>
        <v>Twitter Web Client</v>
      </c>
      <c r="L2383" s="15">
        <v>473.0</v>
      </c>
      <c r="M2383" s="15">
        <v>423.0</v>
      </c>
      <c r="N2383" s="15">
        <v>4.0</v>
      </c>
      <c r="O2383" s="16"/>
      <c r="P2383" s="17">
        <v>43611.49140046297</v>
      </c>
      <c r="Q2383" s="10" t="s">
        <v>3050</v>
      </c>
      <c r="R2383" s="10" t="s">
        <v>3051</v>
      </c>
      <c r="S2383" s="11" t="s">
        <v>3052</v>
      </c>
      <c r="T2383" s="13"/>
      <c r="U2383" s="18" t="str">
        <f>HYPERLINK("https://pbs.twimg.com/profile_images/1187548790582140928/jUZ6ff3J.jpg","View")</f>
        <v>View</v>
      </c>
      <c r="V2383" s="13"/>
      <c r="W2383" s="13"/>
      <c r="X2383" s="13"/>
      <c r="Y2383" s="13"/>
      <c r="Z2383" s="13"/>
    </row>
    <row r="2384">
      <c r="A2384" s="8">
        <v>43848.0403125</v>
      </c>
      <c r="B2384" s="9" t="str">
        <f>HYPERLINK("https://twitter.com/LilyMeade","@LilyMeade")</f>
        <v>@LilyMeade</v>
      </c>
      <c r="C2384" s="10" t="s">
        <v>10166</v>
      </c>
      <c r="D2384" s="10" t="s">
        <v>10167</v>
      </c>
      <c r="E2384" s="9" t="str">
        <f>HYPERLINK("https://twitter.com/LilyMeade/status/1218412214408896512","1218412214408896512")</f>
        <v>1218412214408896512</v>
      </c>
      <c r="F2384" s="11" t="s">
        <v>10168</v>
      </c>
      <c r="G2384" s="11" t="s">
        <v>10169</v>
      </c>
      <c r="H2384" s="13"/>
      <c r="I2384" s="14">
        <v>1.0</v>
      </c>
      <c r="J2384" s="14">
        <v>2.0</v>
      </c>
      <c r="K2384" s="9" t="str">
        <f>HYPERLINK("https://socialbee.io/","SocialBee.io v2")</f>
        <v>SocialBee.io v2</v>
      </c>
      <c r="L2384" s="15">
        <v>2800.0</v>
      </c>
      <c r="M2384" s="15">
        <v>420.0</v>
      </c>
      <c r="N2384" s="15">
        <v>89.0</v>
      </c>
      <c r="O2384" s="16"/>
      <c r="P2384" s="17">
        <v>39820.01356481481</v>
      </c>
      <c r="Q2384" s="10" t="s">
        <v>10170</v>
      </c>
      <c r="R2384" s="10" t="s">
        <v>10171</v>
      </c>
      <c r="S2384" s="11" t="s">
        <v>10172</v>
      </c>
      <c r="T2384" s="13"/>
      <c r="U2384" s="18" t="str">
        <f>HYPERLINK("https://pbs.twimg.com/profile_images/1165243737313689600/L9oGLbbZ.jpg","View")</f>
        <v>View</v>
      </c>
      <c r="V2384" s="13"/>
      <c r="W2384" s="13"/>
      <c r="X2384" s="13"/>
      <c r="Y2384" s="13"/>
      <c r="Z2384" s="13"/>
    </row>
    <row r="2385">
      <c r="A2385" s="8">
        <v>43848.03880787037</v>
      </c>
      <c r="B2385" s="9" t="str">
        <f>HYPERLINK("https://twitter.com/rudyrdzz","@rudyrdzz")</f>
        <v>@rudyrdzz</v>
      </c>
      <c r="C2385" s="10" t="s">
        <v>10173</v>
      </c>
      <c r="D2385" s="10" t="s">
        <v>238</v>
      </c>
      <c r="E2385" s="9" t="str">
        <f>HYPERLINK("https://twitter.com/rudyrdzz/status/1218411668373299201","1218411668373299201")</f>
        <v>1218411668373299201</v>
      </c>
      <c r="F2385" s="13"/>
      <c r="G2385" s="13"/>
      <c r="H2385" s="13"/>
      <c r="I2385" s="14">
        <v>0.0</v>
      </c>
      <c r="J2385" s="14">
        <v>2.0</v>
      </c>
      <c r="K2385" s="9" t="str">
        <f t="shared" ref="K2385:K2386" si="308">HYPERLINK("http://twitter.com/download/android","Twitter for Android")</f>
        <v>Twitter for Android</v>
      </c>
      <c r="L2385" s="15">
        <v>98.0</v>
      </c>
      <c r="M2385" s="15">
        <v>115.0</v>
      </c>
      <c r="N2385" s="15">
        <v>2.0</v>
      </c>
      <c r="O2385" s="16"/>
      <c r="P2385" s="17">
        <v>42449.77922453704</v>
      </c>
      <c r="Q2385" s="13"/>
      <c r="R2385" s="13"/>
      <c r="S2385" s="13"/>
      <c r="T2385" s="13"/>
      <c r="U2385" s="18" t="str">
        <f>HYPERLINK("https://pbs.twimg.com/profile_images/1020135850980651010/NITFsE6Y.jpg","View")</f>
        <v>View</v>
      </c>
      <c r="V2385" s="13"/>
      <c r="W2385" s="13"/>
      <c r="X2385" s="13"/>
      <c r="Y2385" s="13"/>
      <c r="Z2385" s="13"/>
    </row>
    <row r="2386">
      <c r="A2386" s="8">
        <v>43848.038194444445</v>
      </c>
      <c r="B2386" s="9" t="str">
        <f>HYPERLINK("https://twitter.com/QueenofTacos","@QueenofTacos")</f>
        <v>@QueenofTacos</v>
      </c>
      <c r="C2386" s="10" t="s">
        <v>10174</v>
      </c>
      <c r="D2386" s="10" t="s">
        <v>10175</v>
      </c>
      <c r="E2386" s="9" t="str">
        <f>HYPERLINK("https://twitter.com/QueenofTacos/status/1218411447480279046","1218411447480279046")</f>
        <v>1218411447480279046</v>
      </c>
      <c r="F2386" s="11" t="s">
        <v>10176</v>
      </c>
      <c r="G2386" s="13"/>
      <c r="H2386" s="13"/>
      <c r="I2386" s="14">
        <v>1.0</v>
      </c>
      <c r="J2386" s="14">
        <v>2.0</v>
      </c>
      <c r="K2386" s="9" t="str">
        <f t="shared" si="308"/>
        <v>Twitter for Android</v>
      </c>
      <c r="L2386" s="15">
        <v>626.0</v>
      </c>
      <c r="M2386" s="15">
        <v>294.0</v>
      </c>
      <c r="N2386" s="15">
        <v>76.0</v>
      </c>
      <c r="O2386" s="16"/>
      <c r="P2386" s="17">
        <v>40324.46420138889</v>
      </c>
      <c r="Q2386" s="10" t="s">
        <v>211</v>
      </c>
      <c r="R2386" s="10" t="s">
        <v>10177</v>
      </c>
      <c r="S2386" s="13"/>
      <c r="T2386" s="13"/>
      <c r="U2386" s="18" t="str">
        <f>HYPERLINK("https://pbs.twimg.com/profile_images/1212276696029659136/aKGWrJnd.jpg","View")</f>
        <v>View</v>
      </c>
      <c r="V2386" s="13"/>
      <c r="W2386" s="13"/>
      <c r="X2386" s="13"/>
      <c r="Y2386" s="13"/>
      <c r="Z2386" s="13"/>
    </row>
    <row r="2387">
      <c r="A2387" s="8">
        <v>43848.037627314814</v>
      </c>
      <c r="B2387" s="9" t="str">
        <f>HYPERLINK("https://twitter.com/TomTwitch91","@TomTwitch91")</f>
        <v>@TomTwitch91</v>
      </c>
      <c r="C2387" s="10" t="s">
        <v>4989</v>
      </c>
      <c r="D2387" s="10" t="s">
        <v>10178</v>
      </c>
      <c r="E2387" s="9" t="str">
        <f>HYPERLINK("https://twitter.com/TomTwitch91/status/1218411242072760320","1218411242072760320")</f>
        <v>1218411242072760320</v>
      </c>
      <c r="F2387" s="13"/>
      <c r="G2387" s="13"/>
      <c r="H2387" s="13"/>
      <c r="I2387" s="14">
        <v>0.0</v>
      </c>
      <c r="J2387" s="14">
        <v>1.0</v>
      </c>
      <c r="K2387" s="9" t="str">
        <f>HYPERLINK("https://mobile.twitter.com","Twitter Web App")</f>
        <v>Twitter Web App</v>
      </c>
      <c r="L2387" s="15">
        <v>465.0</v>
      </c>
      <c r="M2387" s="15">
        <v>383.0</v>
      </c>
      <c r="N2387" s="15">
        <v>44.0</v>
      </c>
      <c r="O2387" s="16"/>
      <c r="P2387" s="17">
        <v>40650.97225694444</v>
      </c>
      <c r="Q2387" s="10" t="s">
        <v>24</v>
      </c>
      <c r="R2387" s="13"/>
      <c r="S2387" s="13"/>
      <c r="T2387" s="13"/>
      <c r="U2387" s="18" t="str">
        <f>HYPERLINK("https://pbs.twimg.com/profile_images/1030420191350534144/Uxnn9DvR.jpg","View")</f>
        <v>View</v>
      </c>
      <c r="V2387" s="13"/>
      <c r="W2387" s="13"/>
      <c r="X2387" s="13"/>
      <c r="Y2387" s="13"/>
      <c r="Z2387" s="13"/>
    </row>
    <row r="2388">
      <c r="A2388" s="8">
        <v>43848.03560185185</v>
      </c>
      <c r="B2388" s="9" t="str">
        <f>HYPERLINK("https://twitter.com/Joshdanielspict","@Joshdanielspict")</f>
        <v>@Joshdanielspict</v>
      </c>
      <c r="C2388" s="10" t="s">
        <v>10179</v>
      </c>
      <c r="D2388" s="10" t="s">
        <v>10180</v>
      </c>
      <c r="E2388" s="9" t="str">
        <f>HYPERLINK("https://twitter.com/Joshdanielspict/status/1218410505024483328","1218410505024483328")</f>
        <v>1218410505024483328</v>
      </c>
      <c r="F2388" s="13"/>
      <c r="G2388" s="13"/>
      <c r="H2388" s="13"/>
      <c r="I2388" s="14">
        <v>0.0</v>
      </c>
      <c r="J2388" s="14">
        <v>0.0</v>
      </c>
      <c r="K2388" s="9" t="str">
        <f>HYPERLINK("http://www.facebook.com/twitter","Facebook")</f>
        <v>Facebook</v>
      </c>
      <c r="L2388" s="15">
        <v>2396.0</v>
      </c>
      <c r="M2388" s="15">
        <v>4076.0</v>
      </c>
      <c r="N2388" s="15">
        <v>50.0</v>
      </c>
      <c r="O2388" s="16"/>
      <c r="P2388" s="17">
        <v>41683.259363425925</v>
      </c>
      <c r="Q2388" s="13"/>
      <c r="R2388" s="10" t="s">
        <v>10181</v>
      </c>
      <c r="S2388" s="11" t="s">
        <v>10182</v>
      </c>
      <c r="T2388" s="13"/>
      <c r="U2388" s="18" t="str">
        <f>HYPERLINK("https://pbs.twimg.com/profile_images/912359672333635584/UmY-otXq.jpg","View")</f>
        <v>View</v>
      </c>
      <c r="V2388" s="13"/>
      <c r="W2388" s="13"/>
      <c r="X2388" s="13"/>
      <c r="Y2388" s="13"/>
      <c r="Z2388" s="13"/>
    </row>
    <row r="2389">
      <c r="A2389" s="8">
        <v>43848.03542824074</v>
      </c>
      <c r="B2389" s="9" t="str">
        <f>HYPERLINK("https://twitter.com/CraigBarbersBL2","@CraigBarbersBL2")</f>
        <v>@CraigBarbersBL2</v>
      </c>
      <c r="C2389" s="10" t="s">
        <v>10183</v>
      </c>
      <c r="D2389" s="10" t="s">
        <v>10184</v>
      </c>
      <c r="E2389" s="9" t="str">
        <f>HYPERLINK("https://twitter.com/CraigBarbersBL2/status/1218410444714582017","1218410444714582017")</f>
        <v>1218410444714582017</v>
      </c>
      <c r="F2389" s="11" t="s">
        <v>10185</v>
      </c>
      <c r="G2389" s="13"/>
      <c r="H2389" s="13"/>
      <c r="I2389" s="14">
        <v>0.0</v>
      </c>
      <c r="J2389" s="14">
        <v>0.0</v>
      </c>
      <c r="K2389" s="9" t="str">
        <f>HYPERLINK("http://instagram.com","Instagram")</f>
        <v>Instagram</v>
      </c>
      <c r="L2389" s="15">
        <v>45.0</v>
      </c>
      <c r="M2389" s="15">
        <v>149.0</v>
      </c>
      <c r="N2389" s="15">
        <v>0.0</v>
      </c>
      <c r="O2389" s="16"/>
      <c r="P2389" s="17">
        <v>43184.6890625</v>
      </c>
      <c r="Q2389" s="10" t="s">
        <v>10186</v>
      </c>
      <c r="R2389" s="10" t="s">
        <v>10187</v>
      </c>
      <c r="S2389" s="13"/>
      <c r="T2389" s="13"/>
      <c r="U2389" s="18" t="str">
        <f>HYPERLINK("https://pbs.twimg.com/profile_images/1160791061461196802/Wk2HEKWJ.jpg","View")</f>
        <v>View</v>
      </c>
      <c r="V2389" s="13"/>
      <c r="W2389" s="13"/>
      <c r="X2389" s="13"/>
      <c r="Y2389" s="13"/>
      <c r="Z2389" s="13"/>
    </row>
    <row r="2390">
      <c r="A2390" s="8">
        <v>43848.03508101852</v>
      </c>
      <c r="B2390" s="9" t="str">
        <f>HYPERLINK("https://twitter.com/cheriewhite691","@cheriewhite691")</f>
        <v>@cheriewhite691</v>
      </c>
      <c r="C2390" s="10" t="s">
        <v>942</v>
      </c>
      <c r="D2390" s="10" t="s">
        <v>10188</v>
      </c>
      <c r="E2390" s="9" t="str">
        <f>HYPERLINK("https://twitter.com/cheriewhite691/status/1218410317115547648","1218410317115547648")</f>
        <v>1218410317115547648</v>
      </c>
      <c r="F2390" s="11" t="s">
        <v>10189</v>
      </c>
      <c r="G2390" s="13"/>
      <c r="H2390" s="13"/>
      <c r="I2390" s="14">
        <v>0.0</v>
      </c>
      <c r="J2390" s="14">
        <v>0.0</v>
      </c>
      <c r="K2390" s="9" t="str">
        <f>HYPERLINK("http://twitter.com","Twitter Web Client")</f>
        <v>Twitter Web Client</v>
      </c>
      <c r="L2390" s="15">
        <v>285.0</v>
      </c>
      <c r="M2390" s="15">
        <v>284.0</v>
      </c>
      <c r="N2390" s="15">
        <v>5.0</v>
      </c>
      <c r="O2390" s="16"/>
      <c r="P2390" s="17">
        <v>42474.71098379629</v>
      </c>
      <c r="Q2390" s="10" t="s">
        <v>945</v>
      </c>
      <c r="R2390" s="10" t="s">
        <v>946</v>
      </c>
      <c r="S2390" s="11" t="s">
        <v>947</v>
      </c>
      <c r="T2390" s="13"/>
      <c r="U2390" s="18" t="str">
        <f>HYPERLINK("https://pbs.twimg.com/profile_images/991372578634821632/7UAozkpm.jpg","View")</f>
        <v>View</v>
      </c>
      <c r="V2390" s="13"/>
      <c r="W2390" s="13"/>
      <c r="X2390" s="13"/>
      <c r="Y2390" s="13"/>
      <c r="Z2390" s="13"/>
    </row>
    <row r="2391">
      <c r="A2391" s="8">
        <v>43848.03376157407</v>
      </c>
      <c r="B2391" s="9" t="str">
        <f>HYPERLINK("https://twitter.com/hanyhatbox","@hanyhatbox")</f>
        <v>@hanyhatbox</v>
      </c>
      <c r="C2391" s="10" t="s">
        <v>10190</v>
      </c>
      <c r="D2391" s="10" t="s">
        <v>10191</v>
      </c>
      <c r="E2391" s="9" t="str">
        <f>HYPERLINK("https://twitter.com/hanyhatbox/status/1218409839136657408","1218409839136657408")</f>
        <v>1218409839136657408</v>
      </c>
      <c r="F2391" s="13"/>
      <c r="G2391" s="11" t="s">
        <v>10192</v>
      </c>
      <c r="H2391" s="13"/>
      <c r="I2391" s="14">
        <v>2.0</v>
      </c>
      <c r="J2391" s="14">
        <v>4.0</v>
      </c>
      <c r="K2391" s="9" t="str">
        <f>HYPERLINK("https://mobile.twitter.com","Twitter Web App")</f>
        <v>Twitter Web App</v>
      </c>
      <c r="L2391" s="15">
        <v>14.0</v>
      </c>
      <c r="M2391" s="15">
        <v>3.0</v>
      </c>
      <c r="N2391" s="15">
        <v>1.0</v>
      </c>
      <c r="O2391" s="16"/>
      <c r="P2391" s="17">
        <v>43825.92333333333</v>
      </c>
      <c r="Q2391" s="13"/>
      <c r="R2391" s="10" t="s">
        <v>10193</v>
      </c>
      <c r="S2391" s="11" t="s">
        <v>10194</v>
      </c>
      <c r="T2391" s="13"/>
      <c r="U2391" s="18" t="str">
        <f>HYPERLINK("https://pbs.twimg.com/profile_images/1211901216906596358/uL9YW21C.jpg","View")</f>
        <v>View</v>
      </c>
      <c r="V2391" s="13"/>
      <c r="W2391" s="13"/>
      <c r="X2391" s="13"/>
      <c r="Y2391" s="13"/>
      <c r="Z2391" s="13"/>
    </row>
    <row r="2392">
      <c r="A2392" s="8">
        <v>43848.03313657407</v>
      </c>
      <c r="B2392" s="9" t="str">
        <f>HYPERLINK("https://twitter.com/ramashankery","@ramashankery")</f>
        <v>@ramashankery</v>
      </c>
      <c r="C2392" s="10" t="s">
        <v>10195</v>
      </c>
      <c r="D2392" s="10" t="s">
        <v>10196</v>
      </c>
      <c r="E2392" s="9" t="str">
        <f>HYPERLINK("https://twitter.com/ramashankery/status/1218409612992344064","1218409612992344064")</f>
        <v>1218409612992344064</v>
      </c>
      <c r="F2392" s="13"/>
      <c r="G2392" s="13"/>
      <c r="H2392" s="13"/>
      <c r="I2392" s="14">
        <v>2.0</v>
      </c>
      <c r="J2392" s="14">
        <v>4.0</v>
      </c>
      <c r="K2392" s="9" t="str">
        <f>HYPERLINK("http://twitter.com/download/android","Twitter for Android")</f>
        <v>Twitter for Android</v>
      </c>
      <c r="L2392" s="15">
        <v>351.0</v>
      </c>
      <c r="M2392" s="15">
        <v>1064.0</v>
      </c>
      <c r="N2392" s="15">
        <v>1.0</v>
      </c>
      <c r="O2392" s="16"/>
      <c r="P2392" s="17">
        <v>41097.39673611111</v>
      </c>
      <c r="Q2392" s="10" t="s">
        <v>9241</v>
      </c>
      <c r="R2392" s="10" t="s">
        <v>10197</v>
      </c>
      <c r="S2392" s="13"/>
      <c r="T2392" s="13"/>
      <c r="U2392" s="18" t="str">
        <f>HYPERLINK("https://pbs.twimg.com/profile_images/469736603334610944/_FPudq-l.jpeg","View")</f>
        <v>View</v>
      </c>
      <c r="V2392" s="13"/>
      <c r="W2392" s="13"/>
      <c r="X2392" s="13"/>
      <c r="Y2392" s="13"/>
      <c r="Z2392" s="13"/>
    </row>
    <row r="2393">
      <c r="A2393" s="8">
        <v>43848.03185185185</v>
      </c>
      <c r="B2393" s="9" t="str">
        <f>HYPERLINK("https://twitter.com/DShorb","@DShorb")</f>
        <v>@DShorb</v>
      </c>
      <c r="C2393" s="10" t="s">
        <v>21</v>
      </c>
      <c r="D2393" s="10" t="s">
        <v>2000</v>
      </c>
      <c r="E2393" s="9" t="str">
        <f>HYPERLINK("https://twitter.com/DShorb/status/1218409149467439105","1218409149467439105")</f>
        <v>1218409149467439105</v>
      </c>
      <c r="F2393" s="11" t="s">
        <v>10198</v>
      </c>
      <c r="G2393" s="13"/>
      <c r="H2393" s="13"/>
      <c r="I2393" s="14">
        <v>0.0</v>
      </c>
      <c r="J2393" s="14">
        <v>0.0</v>
      </c>
      <c r="K2393" s="9" t="str">
        <f>HYPERLINK("https://www.smedian.com","Penname")</f>
        <v>Penname</v>
      </c>
      <c r="L2393" s="15">
        <v>3871.0</v>
      </c>
      <c r="M2393" s="15">
        <v>4543.0</v>
      </c>
      <c r="N2393" s="15">
        <v>185.0</v>
      </c>
      <c r="O2393" s="16"/>
      <c r="P2393" s="17">
        <v>40991.739027777774</v>
      </c>
      <c r="Q2393" s="10" t="s">
        <v>24</v>
      </c>
      <c r="R2393" s="10" t="s">
        <v>25</v>
      </c>
      <c r="S2393" s="11" t="s">
        <v>26</v>
      </c>
      <c r="T2393" s="13"/>
      <c r="U2393" s="18" t="str">
        <f>HYPERLINK("https://pbs.twimg.com/profile_images/1134459629478408192/VnPf0dlm.jpg","View")</f>
        <v>View</v>
      </c>
      <c r="V2393" s="13"/>
      <c r="W2393" s="13"/>
      <c r="X2393" s="13"/>
      <c r="Y2393" s="13"/>
      <c r="Z2393" s="13"/>
    </row>
    <row r="2394">
      <c r="A2394" s="8">
        <v>43848.03166666666</v>
      </c>
      <c r="B2394" s="9" t="str">
        <f>HYPERLINK("https://twitter.com/Chyagsx","@Chyagsx")</f>
        <v>@Chyagsx</v>
      </c>
      <c r="C2394" s="10" t="s">
        <v>10199</v>
      </c>
      <c r="D2394" s="10" t="s">
        <v>238</v>
      </c>
      <c r="E2394" s="9" t="str">
        <f>HYPERLINK("https://twitter.com/Chyagsx/status/1218409078877294593","1218409078877294593")</f>
        <v>1218409078877294593</v>
      </c>
      <c r="F2394" s="13"/>
      <c r="G2394" s="13"/>
      <c r="H2394" s="13"/>
      <c r="I2394" s="14">
        <v>0.0</v>
      </c>
      <c r="J2394" s="14">
        <v>1.0</v>
      </c>
      <c r="K2394" s="9" t="str">
        <f t="shared" ref="K2394:K2397" si="309">HYPERLINK("http://twitter.com/download/android","Twitter for Android")</f>
        <v>Twitter for Android</v>
      </c>
      <c r="L2394" s="15">
        <v>247.0</v>
      </c>
      <c r="M2394" s="15">
        <v>479.0</v>
      </c>
      <c r="N2394" s="15">
        <v>0.0</v>
      </c>
      <c r="O2394" s="16"/>
      <c r="P2394" s="17">
        <v>42988.731458333335</v>
      </c>
      <c r="Q2394" s="10" t="s">
        <v>3593</v>
      </c>
      <c r="R2394" s="10" t="s">
        <v>10200</v>
      </c>
      <c r="S2394" s="11" t="s">
        <v>10201</v>
      </c>
      <c r="T2394" s="13"/>
      <c r="U2394" s="18" t="str">
        <f>HYPERLINK("https://pbs.twimg.com/profile_images/1187485280539959296/657K7dYE.jpg","View")</f>
        <v>View</v>
      </c>
      <c r="V2394" s="13"/>
      <c r="W2394" s="13"/>
      <c r="X2394" s="13"/>
      <c r="Y2394" s="13"/>
      <c r="Z2394" s="13"/>
    </row>
    <row r="2395">
      <c r="A2395" s="8">
        <v>43848.03003472222</v>
      </c>
      <c r="B2395" s="9" t="str">
        <f>HYPERLINK("https://twitter.com/Taetae50972246","@Taetae50972246")</f>
        <v>@Taetae50972246</v>
      </c>
      <c r="C2395" s="10" t="s">
        <v>10202</v>
      </c>
      <c r="D2395" s="10" t="s">
        <v>238</v>
      </c>
      <c r="E2395" s="9" t="str">
        <f>HYPERLINK("https://twitter.com/Taetae50972246/status/1218408490709897216","1218408490709897216")</f>
        <v>1218408490709897216</v>
      </c>
      <c r="F2395" s="13"/>
      <c r="G2395" s="13"/>
      <c r="H2395" s="13"/>
      <c r="I2395" s="14">
        <v>0.0</v>
      </c>
      <c r="J2395" s="14">
        <v>0.0</v>
      </c>
      <c r="K2395" s="9" t="str">
        <f t="shared" si="309"/>
        <v>Twitter for Android</v>
      </c>
      <c r="L2395" s="15">
        <v>13.0</v>
      </c>
      <c r="M2395" s="15">
        <v>139.0</v>
      </c>
      <c r="N2395" s="15">
        <v>0.0</v>
      </c>
      <c r="O2395" s="16"/>
      <c r="P2395" s="17">
        <v>43379.424780092595</v>
      </c>
      <c r="Q2395" s="10" t="s">
        <v>10203</v>
      </c>
      <c r="R2395" s="10" t="s">
        <v>10204</v>
      </c>
      <c r="S2395" s="13"/>
      <c r="T2395" s="13"/>
      <c r="U2395" s="18" t="str">
        <f>HYPERLINK("https://pbs.twimg.com/profile_images/1211301281316274176/2tcgDBqF.jpg","View")</f>
        <v>View</v>
      </c>
      <c r="V2395" s="13"/>
      <c r="W2395" s="13"/>
      <c r="X2395" s="13"/>
      <c r="Y2395" s="13"/>
      <c r="Z2395" s="13"/>
    </row>
    <row r="2396">
      <c r="A2396" s="8">
        <v>43848.02998842593</v>
      </c>
      <c r="B2396" s="9" t="str">
        <f>HYPERLINK("https://twitter.com/Kariendivaa","@Kariendivaa")</f>
        <v>@Kariendivaa</v>
      </c>
      <c r="C2396" s="10" t="s">
        <v>10205</v>
      </c>
      <c r="D2396" s="10" t="s">
        <v>238</v>
      </c>
      <c r="E2396" s="9" t="str">
        <f>HYPERLINK("https://twitter.com/Kariendivaa/status/1218408470992392192","1218408470992392192")</f>
        <v>1218408470992392192</v>
      </c>
      <c r="F2396" s="13"/>
      <c r="G2396" s="13"/>
      <c r="H2396" s="13"/>
      <c r="I2396" s="14">
        <v>0.0</v>
      </c>
      <c r="J2396" s="14">
        <v>0.0</v>
      </c>
      <c r="K2396" s="9" t="str">
        <f t="shared" si="309"/>
        <v>Twitter for Android</v>
      </c>
      <c r="L2396" s="15">
        <v>1088.0</v>
      </c>
      <c r="M2396" s="15">
        <v>460.0</v>
      </c>
      <c r="N2396" s="15">
        <v>5.0</v>
      </c>
      <c r="O2396" s="16"/>
      <c r="P2396" s="17">
        <v>40733.03293981482</v>
      </c>
      <c r="Q2396" s="10" t="s">
        <v>10206</v>
      </c>
      <c r="R2396" s="13"/>
      <c r="S2396" s="11" t="s">
        <v>10207</v>
      </c>
      <c r="T2396" s="13"/>
      <c r="U2396" s="18" t="str">
        <f>HYPERLINK("https://pbs.twimg.com/profile_images/1077972565685981190/n9UhroN5.jpg","View")</f>
        <v>View</v>
      </c>
      <c r="V2396" s="13"/>
      <c r="W2396" s="13"/>
      <c r="X2396" s="13"/>
      <c r="Y2396" s="13"/>
      <c r="Z2396" s="13"/>
    </row>
    <row r="2397">
      <c r="A2397" s="8">
        <v>43848.0296875</v>
      </c>
      <c r="B2397" s="9" t="str">
        <f>HYPERLINK("https://twitter.com/DrSameerKalani","@DrSameerKalani")</f>
        <v>@DrSameerKalani</v>
      </c>
      <c r="C2397" s="10" t="s">
        <v>10208</v>
      </c>
      <c r="D2397" s="10" t="s">
        <v>10209</v>
      </c>
      <c r="E2397" s="9" t="str">
        <f>HYPERLINK("https://twitter.com/DrSameerKalani/status/1218408362011975681","1218408362011975681")</f>
        <v>1218408362011975681</v>
      </c>
      <c r="F2397" s="11" t="s">
        <v>10210</v>
      </c>
      <c r="G2397" s="11" t="s">
        <v>10211</v>
      </c>
      <c r="H2397" s="13"/>
      <c r="I2397" s="14">
        <v>3.0</v>
      </c>
      <c r="J2397" s="14">
        <v>3.0</v>
      </c>
      <c r="K2397" s="9" t="str">
        <f t="shared" si="309"/>
        <v>Twitter for Android</v>
      </c>
      <c r="L2397" s="15">
        <v>97.0</v>
      </c>
      <c r="M2397" s="15">
        <v>144.0</v>
      </c>
      <c r="N2397" s="15">
        <v>1.0</v>
      </c>
      <c r="O2397" s="16"/>
      <c r="P2397" s="17">
        <v>43747.59744212963</v>
      </c>
      <c r="Q2397" s="10" t="s">
        <v>10212</v>
      </c>
      <c r="R2397" s="10" t="s">
        <v>10213</v>
      </c>
      <c r="S2397" s="11" t="s">
        <v>10214</v>
      </c>
      <c r="T2397" s="13"/>
      <c r="U2397" s="18" t="str">
        <f>HYPERLINK("https://pbs.twimg.com/profile_images/1181998192520417280/9aCbg3Z2.jpg","View")</f>
        <v>View</v>
      </c>
      <c r="V2397" s="13"/>
      <c r="W2397" s="13"/>
      <c r="X2397" s="13"/>
      <c r="Y2397" s="13"/>
      <c r="Z2397" s="13"/>
    </row>
    <row r="2398">
      <c r="A2398" s="8">
        <v>43848.02912037037</v>
      </c>
      <c r="B2398" s="9" t="str">
        <f>HYPERLINK("https://twitter.com/JuliafollowsM","@JuliafollowsM")</f>
        <v>@JuliafollowsM</v>
      </c>
      <c r="C2398" s="10" t="s">
        <v>10215</v>
      </c>
      <c r="D2398" s="10" t="s">
        <v>10216</v>
      </c>
      <c r="E2398" s="9" t="str">
        <f>HYPERLINK("https://twitter.com/JuliafollowsM/status/1218408157808091137","1218408157808091137")</f>
        <v>1218408157808091137</v>
      </c>
      <c r="F2398" s="13"/>
      <c r="G2398" s="11" t="s">
        <v>10217</v>
      </c>
      <c r="H2398" s="13"/>
      <c r="I2398" s="14">
        <v>0.0</v>
      </c>
      <c r="J2398" s="14">
        <v>0.0</v>
      </c>
      <c r="K2398" s="9" t="str">
        <f>HYPERLINK("http://twitter.com/download/iphone","Twitter for iPhone")</f>
        <v>Twitter for iPhone</v>
      </c>
      <c r="L2398" s="15">
        <v>28.0</v>
      </c>
      <c r="M2398" s="15">
        <v>114.0</v>
      </c>
      <c r="N2398" s="15">
        <v>0.0</v>
      </c>
      <c r="O2398" s="16"/>
      <c r="P2398" s="17">
        <v>43651.78738425926</v>
      </c>
      <c r="Q2398" s="13"/>
      <c r="R2398" s="10" t="s">
        <v>10218</v>
      </c>
      <c r="S2398" s="13"/>
      <c r="T2398" s="13"/>
      <c r="U2398" s="18" t="str">
        <f>HYPERLINK("https://pbs.twimg.com/profile_images/1148207989230379010/h5w71w0R.jpg","View")</f>
        <v>View</v>
      </c>
      <c r="V2398" s="13"/>
      <c r="W2398" s="13"/>
      <c r="X2398" s="13"/>
      <c r="Y2398" s="13"/>
      <c r="Z2398" s="13"/>
    </row>
    <row r="2399">
      <c r="A2399" s="8">
        <v>43848.02829861111</v>
      </c>
      <c r="B2399" s="9" t="str">
        <f>HYPERLINK("https://twitter.com/HamidRazaSandhu","@HamidRazaSandhu")</f>
        <v>@HamidRazaSandhu</v>
      </c>
      <c r="C2399" s="10" t="s">
        <v>10219</v>
      </c>
      <c r="D2399" s="10" t="s">
        <v>238</v>
      </c>
      <c r="E2399" s="9" t="str">
        <f>HYPERLINK("https://twitter.com/HamidRazaSandhu/status/1218407859651858432","1218407859651858432")</f>
        <v>1218407859651858432</v>
      </c>
      <c r="F2399" s="13"/>
      <c r="G2399" s="13"/>
      <c r="H2399" s="13"/>
      <c r="I2399" s="14">
        <v>0.0</v>
      </c>
      <c r="J2399" s="14">
        <v>0.0</v>
      </c>
      <c r="K2399" s="9" t="str">
        <f>HYPERLINK("http://twitter.com/download/android","Twitter for Android")</f>
        <v>Twitter for Android</v>
      </c>
      <c r="L2399" s="15">
        <v>39.0</v>
      </c>
      <c r="M2399" s="15">
        <v>147.0</v>
      </c>
      <c r="N2399" s="15">
        <v>0.0</v>
      </c>
      <c r="O2399" s="16"/>
      <c r="P2399" s="17">
        <v>43392.63604166667</v>
      </c>
      <c r="Q2399" s="13"/>
      <c r="R2399" s="10" t="s">
        <v>10220</v>
      </c>
      <c r="S2399" s="13"/>
      <c r="T2399" s="13"/>
      <c r="U2399" s="18" t="str">
        <f>HYPERLINK("https://pbs.twimg.com/profile_images/1162163048230084610/5-dACUKc.jpg","View")</f>
        <v>View</v>
      </c>
      <c r="V2399" s="13"/>
      <c r="W2399" s="13"/>
      <c r="X2399" s="13"/>
      <c r="Y2399" s="13"/>
      <c r="Z2399" s="13"/>
    </row>
    <row r="2400">
      <c r="A2400" s="8">
        <v>43848.028090277774</v>
      </c>
      <c r="B2400" s="9" t="str">
        <f>HYPERLINK("https://twitter.com/bigbadwolf16205","@bigbadwolf16205")</f>
        <v>@bigbadwolf16205</v>
      </c>
      <c r="C2400" s="10" t="s">
        <v>10221</v>
      </c>
      <c r="D2400" s="10" t="s">
        <v>238</v>
      </c>
      <c r="E2400" s="9" t="str">
        <f>HYPERLINK("https://twitter.com/bigbadwolf16205/status/1218407785869635584","1218407785869635584")</f>
        <v>1218407785869635584</v>
      </c>
      <c r="F2400" s="13"/>
      <c r="G2400" s="13"/>
      <c r="H2400" s="13"/>
      <c r="I2400" s="14">
        <v>0.0</v>
      </c>
      <c r="J2400" s="14">
        <v>0.0</v>
      </c>
      <c r="K2400" s="9" t="str">
        <f>HYPERLINK("https://mobile.twitter.com","Twitter Web App")</f>
        <v>Twitter Web App</v>
      </c>
      <c r="L2400" s="15">
        <v>70.0</v>
      </c>
      <c r="M2400" s="15">
        <v>399.0</v>
      </c>
      <c r="N2400" s="15">
        <v>2.0</v>
      </c>
      <c r="O2400" s="16"/>
      <c r="P2400" s="17">
        <v>42772.68335648148</v>
      </c>
      <c r="Q2400" s="10" t="s">
        <v>614</v>
      </c>
      <c r="R2400" s="10" t="s">
        <v>10222</v>
      </c>
      <c r="S2400" s="13"/>
      <c r="T2400" s="13"/>
      <c r="U2400" s="21" t="s">
        <v>292</v>
      </c>
      <c r="V2400" s="13"/>
      <c r="W2400" s="13"/>
      <c r="X2400" s="13"/>
      <c r="Y2400" s="13"/>
      <c r="Z2400" s="13"/>
    </row>
    <row r="2401">
      <c r="A2401" s="8">
        <v>43848.027812500004</v>
      </c>
      <c r="B2401" s="9" t="str">
        <f>HYPERLINK("https://twitter.com/drparas_matrrix","@drparas_matrrix")</f>
        <v>@drparas_matrrix</v>
      </c>
      <c r="C2401" s="10" t="s">
        <v>7242</v>
      </c>
      <c r="D2401" s="10" t="s">
        <v>10223</v>
      </c>
      <c r="E2401" s="9" t="str">
        <f>HYPERLINK("https://twitter.com/drparas_matrrix/status/1218407685634379776","1218407685634379776")</f>
        <v>1218407685634379776</v>
      </c>
      <c r="F2401" s="13"/>
      <c r="G2401" s="11" t="s">
        <v>10224</v>
      </c>
      <c r="H2401" s="13"/>
      <c r="I2401" s="14">
        <v>0.0</v>
      </c>
      <c r="J2401" s="14">
        <v>0.0</v>
      </c>
      <c r="K2401" s="9" t="str">
        <f>HYPERLINK("https://www.hootsuite.com","Hootsuite Inc.")</f>
        <v>Hootsuite Inc.</v>
      </c>
      <c r="L2401" s="15">
        <v>10562.0</v>
      </c>
      <c r="M2401" s="15">
        <v>193.0</v>
      </c>
      <c r="N2401" s="15">
        <v>19.0</v>
      </c>
      <c r="O2401" s="16"/>
      <c r="P2401" s="17">
        <v>41459.51773148148</v>
      </c>
      <c r="Q2401" s="10" t="s">
        <v>7245</v>
      </c>
      <c r="R2401" s="10" t="s">
        <v>7246</v>
      </c>
      <c r="S2401" s="11" t="s">
        <v>7247</v>
      </c>
      <c r="T2401" s="13"/>
      <c r="U2401" s="18" t="str">
        <f>HYPERLINK("https://pbs.twimg.com/profile_images/1182344030257987584/kPjVaZ-Q.jpg","View")</f>
        <v>View</v>
      </c>
      <c r="V2401" s="13"/>
      <c r="W2401" s="13"/>
      <c r="X2401" s="13"/>
      <c r="Y2401" s="13"/>
      <c r="Z2401" s="13"/>
    </row>
    <row r="2402">
      <c r="A2402" s="8">
        <v>43848.027395833335</v>
      </c>
      <c r="B2402" s="9" t="str">
        <f>HYPERLINK("https://twitter.com/DebraLindh","@DebraLindh")</f>
        <v>@DebraLindh</v>
      </c>
      <c r="C2402" s="10" t="s">
        <v>4428</v>
      </c>
      <c r="D2402" s="10" t="s">
        <v>10225</v>
      </c>
      <c r="E2402" s="9" t="str">
        <f>HYPERLINK("https://twitter.com/DebraLindh/status/1218407534794506240","1218407534794506240")</f>
        <v>1218407534794506240</v>
      </c>
      <c r="F2402" s="13"/>
      <c r="G2402" s="11" t="s">
        <v>10226</v>
      </c>
      <c r="H2402" s="13"/>
      <c r="I2402" s="14">
        <v>0.0</v>
      </c>
      <c r="J2402" s="14">
        <v>8.0</v>
      </c>
      <c r="K2402" s="9" t="str">
        <f>HYPERLINK("http://twitter.com/download/iphone","Twitter for iPhone")</f>
        <v>Twitter for iPhone</v>
      </c>
      <c r="L2402" s="15">
        <v>9991.0</v>
      </c>
      <c r="M2402" s="15">
        <v>10585.0</v>
      </c>
      <c r="N2402" s="15">
        <v>467.0</v>
      </c>
      <c r="O2402" s="16"/>
      <c r="P2402" s="17">
        <v>40756.47195601852</v>
      </c>
      <c r="Q2402" s="10" t="s">
        <v>4431</v>
      </c>
      <c r="R2402" s="10" t="s">
        <v>4432</v>
      </c>
      <c r="S2402" s="11" t="s">
        <v>4433</v>
      </c>
      <c r="T2402" s="13"/>
      <c r="U2402" s="18" t="str">
        <f>HYPERLINK("https://pbs.twimg.com/profile_images/1187264103905136640/lS-fKvUp.jpg","View")</f>
        <v>View</v>
      </c>
      <c r="V2402" s="13"/>
      <c r="W2402" s="13"/>
      <c r="X2402" s="13"/>
      <c r="Y2402" s="13"/>
      <c r="Z2402" s="13"/>
    </row>
    <row r="2403">
      <c r="A2403" s="8">
        <v>43848.027395833335</v>
      </c>
      <c r="B2403" s="9" t="str">
        <f>HYPERLINK("https://twitter.com/DepressionMuse","@DepressionMuse")</f>
        <v>@DepressionMuse</v>
      </c>
      <c r="C2403" s="10" t="s">
        <v>9637</v>
      </c>
      <c r="D2403" s="10" t="s">
        <v>10227</v>
      </c>
      <c r="E2403" s="9" t="str">
        <f>HYPERLINK("https://twitter.com/DepressionMuse/status/1218407532080664576","1218407532080664576")</f>
        <v>1218407532080664576</v>
      </c>
      <c r="F2403" s="13"/>
      <c r="G2403" s="13"/>
      <c r="H2403" s="13"/>
      <c r="I2403" s="14">
        <v>2.0</v>
      </c>
      <c r="J2403" s="14">
        <v>30.0</v>
      </c>
      <c r="K2403" s="9" t="str">
        <f>HYPERLINK("http://twitter.com/download/android","Twitter for Android")</f>
        <v>Twitter for Android</v>
      </c>
      <c r="L2403" s="15">
        <v>830.0</v>
      </c>
      <c r="M2403" s="15">
        <v>553.0</v>
      </c>
      <c r="N2403" s="15">
        <v>5.0</v>
      </c>
      <c r="O2403" s="16"/>
      <c r="P2403" s="17">
        <v>42474.00733796296</v>
      </c>
      <c r="Q2403" s="10" t="s">
        <v>171</v>
      </c>
      <c r="R2403" s="10" t="s">
        <v>9639</v>
      </c>
      <c r="S2403" s="11" t="s">
        <v>9640</v>
      </c>
      <c r="T2403" s="13"/>
      <c r="U2403" s="18" t="str">
        <f>HYPERLINK("https://pbs.twimg.com/profile_images/1000218463527292928/Vxcf3ztY.jpg","View")</f>
        <v>View</v>
      </c>
      <c r="V2403" s="13"/>
      <c r="W2403" s="13"/>
      <c r="X2403" s="13"/>
      <c r="Y2403" s="13"/>
      <c r="Z2403" s="13"/>
    </row>
    <row r="2404">
      <c r="A2404" s="8">
        <v>43848.02568287037</v>
      </c>
      <c r="B2404" s="9" t="str">
        <f>HYPERLINK("https://twitter.com/AshleyAzar6","@AshleyAzar6")</f>
        <v>@AshleyAzar6</v>
      </c>
      <c r="C2404" s="10" t="s">
        <v>10228</v>
      </c>
      <c r="D2404" s="10" t="s">
        <v>10229</v>
      </c>
      <c r="E2404" s="9" t="str">
        <f>HYPERLINK("https://twitter.com/AshleyAzar6/status/1218406912812703744","1218406912812703744")</f>
        <v>1218406912812703744</v>
      </c>
      <c r="F2404" s="13"/>
      <c r="G2404" s="11" t="s">
        <v>10230</v>
      </c>
      <c r="H2404" s="13"/>
      <c r="I2404" s="14">
        <v>0.0</v>
      </c>
      <c r="J2404" s="14">
        <v>1.0</v>
      </c>
      <c r="K2404" s="9" t="str">
        <f>HYPERLINK("http://twitter.com/download/iphone","Twitter for iPhone")</f>
        <v>Twitter for iPhone</v>
      </c>
      <c r="L2404" s="15">
        <v>60.0</v>
      </c>
      <c r="M2404" s="15">
        <v>329.0</v>
      </c>
      <c r="N2404" s="15">
        <v>0.0</v>
      </c>
      <c r="O2404" s="16"/>
      <c r="P2404" s="17">
        <v>43799.189687499995</v>
      </c>
      <c r="Q2404" s="10" t="s">
        <v>10231</v>
      </c>
      <c r="R2404" s="10" t="s">
        <v>10232</v>
      </c>
      <c r="S2404" s="13"/>
      <c r="T2404" s="13"/>
      <c r="U2404" s="18" t="str">
        <f>HYPERLINK("https://pbs.twimg.com/profile_images/1215895547233501184/dhYURwh3.jpg","View")</f>
        <v>View</v>
      </c>
      <c r="V2404" s="13"/>
      <c r="W2404" s="13"/>
      <c r="X2404" s="13"/>
      <c r="Y2404" s="13"/>
      <c r="Z2404" s="13"/>
    </row>
    <row r="2405">
      <c r="A2405" s="8">
        <v>43848.02392361111</v>
      </c>
      <c r="B2405" s="9" t="str">
        <f>HYPERLINK("https://twitter.com/tristanbund","@tristanbund")</f>
        <v>@tristanbund</v>
      </c>
      <c r="C2405" s="10" t="s">
        <v>10233</v>
      </c>
      <c r="D2405" s="10" t="s">
        <v>238</v>
      </c>
      <c r="E2405" s="9" t="str">
        <f>HYPERLINK("https://twitter.com/tristanbund/status/1218406272913018880","1218406272913018880")</f>
        <v>1218406272913018880</v>
      </c>
      <c r="F2405" s="13"/>
      <c r="G2405" s="13"/>
      <c r="H2405" s="13"/>
      <c r="I2405" s="14">
        <v>0.0</v>
      </c>
      <c r="J2405" s="14">
        <v>0.0</v>
      </c>
      <c r="K2405" s="9" t="str">
        <f>HYPERLINK("http://twitter.com/download/android","Twitter for Android")</f>
        <v>Twitter for Android</v>
      </c>
      <c r="L2405" s="15">
        <v>542.0</v>
      </c>
      <c r="M2405" s="15">
        <v>1042.0</v>
      </c>
      <c r="N2405" s="15">
        <v>3.0</v>
      </c>
      <c r="O2405" s="16"/>
      <c r="P2405" s="17">
        <v>41962.63685185185</v>
      </c>
      <c r="Q2405" s="10" t="s">
        <v>10234</v>
      </c>
      <c r="R2405" s="10" t="s">
        <v>10235</v>
      </c>
      <c r="S2405" s="11" t="s">
        <v>10236</v>
      </c>
      <c r="T2405" s="13"/>
      <c r="U2405" s="18" t="str">
        <f>HYPERLINK("https://pbs.twimg.com/profile_images/1217141139943383040/M5lqW6K9.jpg","View")</f>
        <v>View</v>
      </c>
      <c r="V2405" s="13"/>
      <c r="W2405" s="13"/>
      <c r="X2405" s="13"/>
      <c r="Y2405" s="13"/>
      <c r="Z2405" s="13"/>
    </row>
    <row r="2406">
      <c r="A2406" s="8">
        <v>43848.02346064815</v>
      </c>
      <c r="B2406" s="9" t="str">
        <f>HYPERLINK("https://twitter.com/DebraLindh","@DebraLindh")</f>
        <v>@DebraLindh</v>
      </c>
      <c r="C2406" s="10" t="s">
        <v>4428</v>
      </c>
      <c r="D2406" s="10" t="s">
        <v>10237</v>
      </c>
      <c r="E2406" s="9" t="str">
        <f>HYPERLINK("https://twitter.com/DebraLindh/status/1218406108030754817","1218406108030754817")</f>
        <v>1218406108030754817</v>
      </c>
      <c r="F2406" s="13"/>
      <c r="G2406" s="11" t="s">
        <v>10238</v>
      </c>
      <c r="H2406" s="13"/>
      <c r="I2406" s="14">
        <v>1.0</v>
      </c>
      <c r="J2406" s="14">
        <v>8.0</v>
      </c>
      <c r="K2406" s="9" t="str">
        <f>HYPERLINK("http://twitter.com/download/iphone","Twitter for iPhone")</f>
        <v>Twitter for iPhone</v>
      </c>
      <c r="L2406" s="15">
        <v>9991.0</v>
      </c>
      <c r="M2406" s="15">
        <v>10585.0</v>
      </c>
      <c r="N2406" s="15">
        <v>467.0</v>
      </c>
      <c r="O2406" s="16"/>
      <c r="P2406" s="17">
        <v>40756.47195601852</v>
      </c>
      <c r="Q2406" s="10" t="s">
        <v>4431</v>
      </c>
      <c r="R2406" s="10" t="s">
        <v>4432</v>
      </c>
      <c r="S2406" s="11" t="s">
        <v>4433</v>
      </c>
      <c r="T2406" s="13"/>
      <c r="U2406" s="18" t="str">
        <f>HYPERLINK("https://pbs.twimg.com/profile_images/1187264103905136640/lS-fKvUp.jpg","View")</f>
        <v>View</v>
      </c>
      <c r="V2406" s="13"/>
      <c r="W2406" s="13"/>
      <c r="X2406" s="13"/>
      <c r="Y2406" s="13"/>
      <c r="Z2406" s="13"/>
    </row>
    <row r="2407">
      <c r="A2407" s="8">
        <v>43848.02346064815</v>
      </c>
      <c r="B2407" s="9" t="str">
        <f>HYPERLINK("https://twitter.com/powerglobalus","@powerglobalus")</f>
        <v>@powerglobalus</v>
      </c>
      <c r="C2407" s="10" t="s">
        <v>10239</v>
      </c>
      <c r="D2407" s="10" t="s">
        <v>238</v>
      </c>
      <c r="E2407" s="9" t="str">
        <f>HYPERLINK("https://twitter.com/powerglobalus/status/1218406106239651840","1218406106239651840")</f>
        <v>1218406106239651840</v>
      </c>
      <c r="F2407" s="13"/>
      <c r="G2407" s="13"/>
      <c r="H2407" s="13"/>
      <c r="I2407" s="14">
        <v>0.0</v>
      </c>
      <c r="J2407" s="14">
        <v>0.0</v>
      </c>
      <c r="K2407" s="9" t="str">
        <f>HYPERLINK("https://mobile.twitter.com","Twitter Web App")</f>
        <v>Twitter Web App</v>
      </c>
      <c r="L2407" s="15">
        <v>35152.0</v>
      </c>
      <c r="M2407" s="15">
        <v>38357.0</v>
      </c>
      <c r="N2407" s="15">
        <v>233.0</v>
      </c>
      <c r="O2407" s="16"/>
      <c r="P2407" s="17">
        <v>41018.09201388889</v>
      </c>
      <c r="Q2407" s="10" t="s">
        <v>1332</v>
      </c>
      <c r="R2407" s="10" t="s">
        <v>10240</v>
      </c>
      <c r="S2407" s="11" t="s">
        <v>10241</v>
      </c>
      <c r="T2407" s="13"/>
      <c r="U2407" s="18" t="str">
        <f>HYPERLINK("https://pbs.twimg.com/profile_images/841097251061608449/zZ-JfynT.jpg","View")</f>
        <v>View</v>
      </c>
      <c r="V2407" s="13"/>
      <c r="W2407" s="13"/>
      <c r="X2407" s="13"/>
      <c r="Y2407" s="13"/>
      <c r="Z2407" s="13"/>
    </row>
    <row r="2408">
      <c r="A2408" s="8">
        <v>43848.02328703704</v>
      </c>
      <c r="B2408" s="9" t="str">
        <f>HYPERLINK("https://twitter.com/ShakaBrownComic","@ShakaBrownComic")</f>
        <v>@ShakaBrownComic</v>
      </c>
      <c r="C2408" s="10" t="s">
        <v>974</v>
      </c>
      <c r="D2408" s="10" t="s">
        <v>10242</v>
      </c>
      <c r="E2408" s="9" t="str">
        <f>HYPERLINK("https://twitter.com/ShakaBrownComic/status/1218406042469617665","1218406042469617665")</f>
        <v>1218406042469617665</v>
      </c>
      <c r="F2408" s="13"/>
      <c r="G2408" s="13"/>
      <c r="H2408" s="13"/>
      <c r="I2408" s="14">
        <v>0.0</v>
      </c>
      <c r="J2408" s="14">
        <v>0.0</v>
      </c>
      <c r="K2408" s="9" t="str">
        <f t="shared" ref="K2408:K2409" si="310">HYPERLINK("http://twitter.com/download/android","Twitter for Android")</f>
        <v>Twitter for Android</v>
      </c>
      <c r="L2408" s="15">
        <v>136.0</v>
      </c>
      <c r="M2408" s="15">
        <v>39.0</v>
      </c>
      <c r="N2408" s="15">
        <v>4.0</v>
      </c>
      <c r="O2408" s="16"/>
      <c r="P2408" s="17">
        <v>41995.06672453704</v>
      </c>
      <c r="Q2408" s="10" t="s">
        <v>976</v>
      </c>
      <c r="R2408" s="10" t="s">
        <v>977</v>
      </c>
      <c r="S2408" s="11" t="s">
        <v>978</v>
      </c>
      <c r="T2408" s="13"/>
      <c r="U2408" s="18" t="str">
        <f>HYPERLINK("https://pbs.twimg.com/profile_images/1195420809277427713/cLFbEoBk.jpg","View")</f>
        <v>View</v>
      </c>
      <c r="V2408" s="13"/>
      <c r="W2408" s="13"/>
      <c r="X2408" s="13"/>
      <c r="Y2408" s="13"/>
      <c r="Z2408" s="13"/>
    </row>
    <row r="2409">
      <c r="A2409" s="8">
        <v>43848.022939814815</v>
      </c>
      <c r="B2409" s="9" t="str">
        <f>HYPERLINK("https://twitter.com/Life_73","@Life_73")</f>
        <v>@Life_73</v>
      </c>
      <c r="C2409" s="10" t="s">
        <v>10243</v>
      </c>
      <c r="D2409" s="10" t="s">
        <v>238</v>
      </c>
      <c r="E2409" s="9" t="str">
        <f>HYPERLINK("https://twitter.com/Life_73/status/1218405916791517184","1218405916791517184")</f>
        <v>1218405916791517184</v>
      </c>
      <c r="F2409" s="13"/>
      <c r="G2409" s="13"/>
      <c r="H2409" s="13"/>
      <c r="I2409" s="14">
        <v>0.0</v>
      </c>
      <c r="J2409" s="14">
        <v>0.0</v>
      </c>
      <c r="K2409" s="9" t="str">
        <f t="shared" si="310"/>
        <v>Twitter for Android</v>
      </c>
      <c r="L2409" s="15">
        <v>1478.0</v>
      </c>
      <c r="M2409" s="15">
        <v>1899.0</v>
      </c>
      <c r="N2409" s="15">
        <v>16.0</v>
      </c>
      <c r="O2409" s="16"/>
      <c r="P2409" s="17">
        <v>40976.558483796296</v>
      </c>
      <c r="Q2409" s="10" t="s">
        <v>10244</v>
      </c>
      <c r="R2409" s="10" t="s">
        <v>10245</v>
      </c>
      <c r="S2409" s="13"/>
      <c r="T2409" s="13"/>
      <c r="U2409" s="18" t="str">
        <f>HYPERLINK("https://pbs.twimg.com/profile_images/1157527793992908800/X6mRTSjv.jpg","View")</f>
        <v>View</v>
      </c>
      <c r="V2409" s="13"/>
      <c r="W2409" s="13"/>
      <c r="X2409" s="13"/>
      <c r="Y2409" s="13"/>
      <c r="Z2409" s="13"/>
    </row>
    <row r="2410">
      <c r="A2410" s="8">
        <v>43848.02290509259</v>
      </c>
      <c r="B2410" s="9" t="str">
        <f>HYPERLINK("https://twitter.com/desl0ver","@desl0ver")</f>
        <v>@desl0ver</v>
      </c>
      <c r="C2410" s="10" t="s">
        <v>743</v>
      </c>
      <c r="D2410" s="10" t="s">
        <v>10246</v>
      </c>
      <c r="E2410" s="9" t="str">
        <f>HYPERLINK("https://twitter.com/desl0ver/status/1218405906557362177","1218405906557362177")</f>
        <v>1218405906557362177</v>
      </c>
      <c r="F2410" s="13"/>
      <c r="G2410" s="11" t="s">
        <v>10247</v>
      </c>
      <c r="H2410" s="13"/>
      <c r="I2410" s="14">
        <v>0.0</v>
      </c>
      <c r="J2410" s="14">
        <v>1.0</v>
      </c>
      <c r="K2410" s="9" t="str">
        <f>HYPERLINK("http://twitter.com/download/iphone","Twitter for iPhone")</f>
        <v>Twitter for iPhone</v>
      </c>
      <c r="L2410" s="15">
        <v>754.0</v>
      </c>
      <c r="M2410" s="15">
        <v>1817.0</v>
      </c>
      <c r="N2410" s="15">
        <v>1.0</v>
      </c>
      <c r="O2410" s="16"/>
      <c r="P2410" s="17">
        <v>43020.46737268519</v>
      </c>
      <c r="Q2410" s="10" t="s">
        <v>745</v>
      </c>
      <c r="R2410" s="10" t="s">
        <v>746</v>
      </c>
      <c r="S2410" s="13"/>
      <c r="T2410" s="13"/>
      <c r="U2410" s="18" t="str">
        <f>HYPERLINK("https://pbs.twimg.com/profile_images/1204831264873893888/gozyErL4.jpg","View")</f>
        <v>View</v>
      </c>
      <c r="V2410" s="13"/>
      <c r="W2410" s="13"/>
      <c r="X2410" s="13"/>
      <c r="Y2410" s="13"/>
      <c r="Z2410" s="13"/>
    </row>
    <row r="2411">
      <c r="A2411" s="8">
        <v>43848.02158564815</v>
      </c>
      <c r="B2411" s="9" t="str">
        <f>HYPERLINK("https://twitter.com/jabelliott","@jabelliott")</f>
        <v>@jabelliott</v>
      </c>
      <c r="C2411" s="10" t="s">
        <v>10248</v>
      </c>
      <c r="D2411" s="10" t="s">
        <v>238</v>
      </c>
      <c r="E2411" s="9" t="str">
        <f>HYPERLINK("https://twitter.com/jabelliott/status/1218405426959503361","1218405426959503361")</f>
        <v>1218405426959503361</v>
      </c>
      <c r="F2411" s="13"/>
      <c r="G2411" s="13"/>
      <c r="H2411" s="13"/>
      <c r="I2411" s="14">
        <v>0.0</v>
      </c>
      <c r="J2411" s="14">
        <v>0.0</v>
      </c>
      <c r="K2411" s="9" t="str">
        <f>HYPERLINK("http://twitter.com/download/android","Twitter for Android")</f>
        <v>Twitter for Android</v>
      </c>
      <c r="L2411" s="15">
        <v>393.0</v>
      </c>
      <c r="M2411" s="15">
        <v>521.0</v>
      </c>
      <c r="N2411" s="15">
        <v>0.0</v>
      </c>
      <c r="O2411" s="16"/>
      <c r="P2411" s="17">
        <v>40084.568703703706</v>
      </c>
      <c r="Q2411" s="13"/>
      <c r="R2411" s="10" t="s">
        <v>10249</v>
      </c>
      <c r="S2411" s="13"/>
      <c r="T2411" s="13"/>
      <c r="U2411" s="18" t="str">
        <f>HYPERLINK("https://pbs.twimg.com/profile_images/1164742962594496515/nPKVTBjU.jpg","View")</f>
        <v>View</v>
      </c>
      <c r="V2411" s="13"/>
      <c r="W2411" s="13"/>
      <c r="X2411" s="13"/>
      <c r="Y2411" s="13"/>
      <c r="Z2411" s="13"/>
    </row>
    <row r="2412">
      <c r="A2412" s="8">
        <v>43848.02104166667</v>
      </c>
      <c r="B2412" s="9" t="str">
        <f>HYPERLINK("https://twitter.com/ketocafe","@ketocafe")</f>
        <v>@ketocafe</v>
      </c>
      <c r="C2412" s="10" t="s">
        <v>10250</v>
      </c>
      <c r="D2412" s="10" t="s">
        <v>10251</v>
      </c>
      <c r="E2412" s="9" t="str">
        <f>HYPERLINK("https://twitter.com/ketocafe/status/1218405229198282753","1218405229198282753")</f>
        <v>1218405229198282753</v>
      </c>
      <c r="F2412" s="11" t="s">
        <v>10252</v>
      </c>
      <c r="G2412" s="13"/>
      <c r="H2412" s="13"/>
      <c r="I2412" s="14">
        <v>0.0</v>
      </c>
      <c r="J2412" s="14">
        <v>1.0</v>
      </c>
      <c r="K2412" s="9" t="str">
        <f>HYPERLINK("https://paper.li","Paper.li")</f>
        <v>Paper.li</v>
      </c>
      <c r="L2412" s="15">
        <v>960.0</v>
      </c>
      <c r="M2412" s="15">
        <v>249.0</v>
      </c>
      <c r="N2412" s="15">
        <v>2.0</v>
      </c>
      <c r="O2412" s="16"/>
      <c r="P2412" s="17">
        <v>41787.165</v>
      </c>
      <c r="Q2412" s="10" t="s">
        <v>2102</v>
      </c>
      <c r="R2412" s="10" t="s">
        <v>10253</v>
      </c>
      <c r="S2412" s="11" t="s">
        <v>10254</v>
      </c>
      <c r="T2412" s="13"/>
      <c r="U2412" s="18" t="str">
        <f>HYPERLINK("https://pbs.twimg.com/profile_images/471563948806766592/ZbB_Lppf.png","View")</f>
        <v>View</v>
      </c>
      <c r="V2412" s="13"/>
      <c r="W2412" s="13"/>
      <c r="X2412" s="13"/>
      <c r="Y2412" s="13"/>
      <c r="Z2412" s="13"/>
    </row>
    <row r="2413">
      <c r="A2413" s="8">
        <v>43848.02079861111</v>
      </c>
      <c r="B2413" s="9" t="str">
        <f>HYPERLINK("https://twitter.com/DebraLindh","@DebraLindh")</f>
        <v>@DebraLindh</v>
      </c>
      <c r="C2413" s="10" t="s">
        <v>4428</v>
      </c>
      <c r="D2413" s="10" t="s">
        <v>10255</v>
      </c>
      <c r="E2413" s="9" t="str">
        <f>HYPERLINK("https://twitter.com/DebraLindh/status/1218405140971053056","1218405140971053056")</f>
        <v>1218405140971053056</v>
      </c>
      <c r="F2413" s="13"/>
      <c r="G2413" s="13"/>
      <c r="H2413" s="13"/>
      <c r="I2413" s="14">
        <v>8.0</v>
      </c>
      <c r="J2413" s="14">
        <v>21.0</v>
      </c>
      <c r="K2413" s="9" t="str">
        <f t="shared" ref="K2413:K2415" si="311">HYPERLINK("http://twitter.com/download/iphone","Twitter for iPhone")</f>
        <v>Twitter for iPhone</v>
      </c>
      <c r="L2413" s="15">
        <v>9991.0</v>
      </c>
      <c r="M2413" s="15">
        <v>10585.0</v>
      </c>
      <c r="N2413" s="15">
        <v>467.0</v>
      </c>
      <c r="O2413" s="16"/>
      <c r="P2413" s="17">
        <v>40756.47195601852</v>
      </c>
      <c r="Q2413" s="10" t="s">
        <v>4431</v>
      </c>
      <c r="R2413" s="10" t="s">
        <v>4432</v>
      </c>
      <c r="S2413" s="11" t="s">
        <v>4433</v>
      </c>
      <c r="T2413" s="13"/>
      <c r="U2413" s="18" t="str">
        <f>HYPERLINK("https://pbs.twimg.com/profile_images/1187264103905136640/lS-fKvUp.jpg","View")</f>
        <v>View</v>
      </c>
      <c r="V2413" s="13"/>
      <c r="W2413" s="13"/>
      <c r="X2413" s="13"/>
      <c r="Y2413" s="13"/>
      <c r="Z2413" s="13"/>
    </row>
    <row r="2414">
      <c r="A2414" s="8">
        <v>43848.01997685185</v>
      </c>
      <c r="B2414" s="9" t="str">
        <f>HYPERLINK("https://twitter.com/es_exquisite","@es_exquisite")</f>
        <v>@es_exquisite</v>
      </c>
      <c r="C2414" s="10" t="s">
        <v>10256</v>
      </c>
      <c r="D2414" s="10" t="s">
        <v>238</v>
      </c>
      <c r="E2414" s="9" t="str">
        <f>HYPERLINK("https://twitter.com/es_exquisite/status/1218404844773482497","1218404844773482497")</f>
        <v>1218404844773482497</v>
      </c>
      <c r="F2414" s="13"/>
      <c r="G2414" s="13"/>
      <c r="H2414" s="13"/>
      <c r="I2414" s="14">
        <v>0.0</v>
      </c>
      <c r="J2414" s="14">
        <v>0.0</v>
      </c>
      <c r="K2414" s="9" t="str">
        <f t="shared" si="311"/>
        <v>Twitter for iPhone</v>
      </c>
      <c r="L2414" s="15">
        <v>192.0</v>
      </c>
      <c r="M2414" s="15">
        <v>806.0</v>
      </c>
      <c r="N2414" s="15">
        <v>0.0</v>
      </c>
      <c r="O2414" s="16"/>
      <c r="P2414" s="17">
        <v>43452.39346064815</v>
      </c>
      <c r="Q2414" s="13"/>
      <c r="R2414" s="10" t="s">
        <v>10257</v>
      </c>
      <c r="S2414" s="13"/>
      <c r="T2414" s="13"/>
      <c r="U2414" s="18" t="str">
        <f>HYPERLINK("https://pbs.twimg.com/profile_images/1159039925112778753/AllvMSD3.jpg","View")</f>
        <v>View</v>
      </c>
      <c r="V2414" s="13"/>
      <c r="W2414" s="13"/>
      <c r="X2414" s="13"/>
      <c r="Y2414" s="13"/>
      <c r="Z2414" s="13"/>
    </row>
    <row r="2415">
      <c r="A2415" s="8">
        <v>43848.018541666665</v>
      </c>
      <c r="B2415" s="9" t="str">
        <f>HYPERLINK("https://twitter.com/JuliafollowsM","@JuliafollowsM")</f>
        <v>@JuliafollowsM</v>
      </c>
      <c r="C2415" s="10" t="s">
        <v>10215</v>
      </c>
      <c r="D2415" s="10" t="s">
        <v>10258</v>
      </c>
      <c r="E2415" s="9" t="str">
        <f>HYPERLINK("https://twitter.com/JuliafollowsM/status/1218404323035701248","1218404323035701248")</f>
        <v>1218404323035701248</v>
      </c>
      <c r="F2415" s="13"/>
      <c r="G2415" s="11" t="s">
        <v>10259</v>
      </c>
      <c r="H2415" s="13"/>
      <c r="I2415" s="14">
        <v>0.0</v>
      </c>
      <c r="J2415" s="14">
        <v>0.0</v>
      </c>
      <c r="K2415" s="9" t="str">
        <f t="shared" si="311"/>
        <v>Twitter for iPhone</v>
      </c>
      <c r="L2415" s="15">
        <v>28.0</v>
      </c>
      <c r="M2415" s="15">
        <v>114.0</v>
      </c>
      <c r="N2415" s="15">
        <v>0.0</v>
      </c>
      <c r="O2415" s="16"/>
      <c r="P2415" s="17">
        <v>43651.78738425926</v>
      </c>
      <c r="Q2415" s="13"/>
      <c r="R2415" s="10" t="s">
        <v>10218</v>
      </c>
      <c r="S2415" s="13"/>
      <c r="T2415" s="13"/>
      <c r="U2415" s="18" t="str">
        <f>HYPERLINK("https://pbs.twimg.com/profile_images/1148207989230379010/h5w71w0R.jpg","View")</f>
        <v>View</v>
      </c>
      <c r="V2415" s="13"/>
      <c r="W2415" s="13"/>
      <c r="X2415" s="13"/>
      <c r="Y2415" s="13"/>
      <c r="Z2415" s="13"/>
    </row>
    <row r="2416">
      <c r="A2416" s="8">
        <v>43848.01798611111</v>
      </c>
      <c r="B2416" s="9" t="str">
        <f>HYPERLINK("https://twitter.com/binte_saleem24","@binte_saleem24")</f>
        <v>@binte_saleem24</v>
      </c>
      <c r="C2416" s="23" t="s">
        <v>10260</v>
      </c>
      <c r="D2416" s="10" t="s">
        <v>238</v>
      </c>
      <c r="E2416" s="9" t="str">
        <f>HYPERLINK("https://twitter.com/binte_saleem24/status/1218404124498300929","1218404124498300929")</f>
        <v>1218404124498300929</v>
      </c>
      <c r="F2416" s="13"/>
      <c r="G2416" s="13"/>
      <c r="H2416" s="13"/>
      <c r="I2416" s="14">
        <v>0.0</v>
      </c>
      <c r="J2416" s="14">
        <v>0.0</v>
      </c>
      <c r="K2416" s="9" t="str">
        <f t="shared" ref="K2416:K2417" si="312">HYPERLINK("https://mobile.twitter.com","Twitter Web App")</f>
        <v>Twitter Web App</v>
      </c>
      <c r="L2416" s="15">
        <v>81.0</v>
      </c>
      <c r="M2416" s="15">
        <v>74.0</v>
      </c>
      <c r="N2416" s="15">
        <v>1.0</v>
      </c>
      <c r="O2416" s="16"/>
      <c r="P2416" s="17">
        <v>42794.17083333334</v>
      </c>
      <c r="Q2416" s="10" t="s">
        <v>10261</v>
      </c>
      <c r="R2416" s="10" t="s">
        <v>10262</v>
      </c>
      <c r="S2416" s="11" t="s">
        <v>10263</v>
      </c>
      <c r="T2416" s="13"/>
      <c r="U2416" s="18" t="str">
        <f>HYPERLINK("https://pbs.twimg.com/profile_images/1217876540211580928/_lY3Pn9s.jpg","View")</f>
        <v>View</v>
      </c>
      <c r="V2416" s="13"/>
      <c r="W2416" s="13"/>
      <c r="X2416" s="13"/>
      <c r="Y2416" s="13"/>
      <c r="Z2416" s="13"/>
    </row>
    <row r="2417">
      <c r="A2417" s="8">
        <v>43848.017962962964</v>
      </c>
      <c r="B2417" s="9" t="str">
        <f>HYPERLINK("https://twitter.com/madasiapacific","@madasiapacific")</f>
        <v>@madasiapacific</v>
      </c>
      <c r="C2417" s="10" t="s">
        <v>10264</v>
      </c>
      <c r="D2417" s="10" t="s">
        <v>10265</v>
      </c>
      <c r="E2417" s="9" t="str">
        <f>HYPERLINK("https://twitter.com/madasiapacific/status/1218404114075394053","1218404114075394053")</f>
        <v>1218404114075394053</v>
      </c>
      <c r="F2417" s="11" t="s">
        <v>10266</v>
      </c>
      <c r="G2417" s="11" t="s">
        <v>10267</v>
      </c>
      <c r="H2417" s="13"/>
      <c r="I2417" s="14">
        <v>4.0</v>
      </c>
      <c r="J2417" s="14">
        <v>6.0</v>
      </c>
      <c r="K2417" s="9" t="str">
        <f t="shared" si="312"/>
        <v>Twitter Web App</v>
      </c>
      <c r="L2417" s="15">
        <v>173.0</v>
      </c>
      <c r="M2417" s="15">
        <v>14.0</v>
      </c>
      <c r="N2417" s="15">
        <v>1.0</v>
      </c>
      <c r="O2417" s="16"/>
      <c r="P2417" s="17">
        <v>43575.10454861111</v>
      </c>
      <c r="Q2417" s="13"/>
      <c r="R2417" s="10" t="s">
        <v>10268</v>
      </c>
      <c r="S2417" s="11" t="s">
        <v>10269</v>
      </c>
      <c r="T2417" s="13"/>
      <c r="U2417" s="18" t="str">
        <f>HYPERLINK("https://pbs.twimg.com/profile_images/1119490444835074048/nkOWqRT0.jpg","View")</f>
        <v>View</v>
      </c>
      <c r="V2417" s="13"/>
      <c r="W2417" s="13"/>
      <c r="X2417" s="13"/>
      <c r="Y2417" s="13"/>
      <c r="Z2417" s="13"/>
    </row>
    <row r="2418">
      <c r="A2418" s="8">
        <v>43848.017488425925</v>
      </c>
      <c r="B2418" s="9" t="str">
        <f>HYPERLINK("https://twitter.com/Trixtaria","@Trixtaria")</f>
        <v>@Trixtaria</v>
      </c>
      <c r="C2418" s="10" t="s">
        <v>10270</v>
      </c>
      <c r="D2418" s="10" t="s">
        <v>10271</v>
      </c>
      <c r="E2418" s="9" t="str">
        <f>HYPERLINK("https://twitter.com/Trixtaria/status/1218403941639049216","1218403941639049216")</f>
        <v>1218403941639049216</v>
      </c>
      <c r="F2418" s="13"/>
      <c r="G2418" s="11" t="s">
        <v>10272</v>
      </c>
      <c r="H2418" s="13"/>
      <c r="I2418" s="14">
        <v>0.0</v>
      </c>
      <c r="J2418" s="14">
        <v>1.0</v>
      </c>
      <c r="K2418" s="9" t="str">
        <f>HYPERLINK("http://twitter.com/download/iphone","Twitter for iPhone")</f>
        <v>Twitter for iPhone</v>
      </c>
      <c r="L2418" s="15">
        <v>91.0</v>
      </c>
      <c r="M2418" s="15">
        <v>117.0</v>
      </c>
      <c r="N2418" s="15">
        <v>66.0</v>
      </c>
      <c r="O2418" s="16"/>
      <c r="P2418" s="17">
        <v>40692.005891203706</v>
      </c>
      <c r="Q2418" s="10" t="s">
        <v>529</v>
      </c>
      <c r="R2418" s="10" t="s">
        <v>10273</v>
      </c>
      <c r="S2418" s="11" t="s">
        <v>10274</v>
      </c>
      <c r="T2418" s="13"/>
      <c r="U2418" s="18" t="str">
        <f>HYPERLINK("https://pbs.twimg.com/profile_images/1066198703378071552/RAn3oPXw.jpg","View")</f>
        <v>View</v>
      </c>
      <c r="V2418" s="13"/>
      <c r="W2418" s="13"/>
      <c r="X2418" s="13"/>
      <c r="Y2418" s="13"/>
      <c r="Z2418" s="13"/>
    </row>
    <row r="2419">
      <c r="A2419" s="8">
        <v>43848.01738425926</v>
      </c>
      <c r="B2419" s="9" t="str">
        <f>HYPERLINK("https://twitter.com/talentacademyhk","@talentacademyhk")</f>
        <v>@talentacademyhk</v>
      </c>
      <c r="C2419" s="10" t="s">
        <v>10275</v>
      </c>
      <c r="D2419" s="10" t="s">
        <v>10276</v>
      </c>
      <c r="E2419" s="9" t="str">
        <f>HYPERLINK("https://twitter.com/talentacademyhk/status/1218403906419556352","1218403906419556352")</f>
        <v>1218403906419556352</v>
      </c>
      <c r="F2419" s="11" t="s">
        <v>10277</v>
      </c>
      <c r="G2419" s="11" t="s">
        <v>10278</v>
      </c>
      <c r="H2419" s="13"/>
      <c r="I2419" s="14">
        <v>0.0</v>
      </c>
      <c r="J2419" s="14">
        <v>0.0</v>
      </c>
      <c r="K2419" s="9" t="str">
        <f>HYPERLINK("https://buffer.com","Buffer")</f>
        <v>Buffer</v>
      </c>
      <c r="L2419" s="15">
        <v>40.0</v>
      </c>
      <c r="M2419" s="15">
        <v>5.0</v>
      </c>
      <c r="N2419" s="15">
        <v>9.0</v>
      </c>
      <c r="O2419" s="16"/>
      <c r="P2419" s="17">
        <v>42733.733819444446</v>
      </c>
      <c r="Q2419" s="10" t="s">
        <v>10279</v>
      </c>
      <c r="R2419" s="10" t="s">
        <v>10280</v>
      </c>
      <c r="S2419" s="11" t="s">
        <v>10281</v>
      </c>
      <c r="T2419" s="13"/>
      <c r="U2419" s="18" t="str">
        <f>HYPERLINK("https://pbs.twimg.com/profile_images/1129729499753590784/jrreT81i.png","View")</f>
        <v>View</v>
      </c>
      <c r="V2419" s="13"/>
      <c r="W2419" s="13"/>
      <c r="X2419" s="13"/>
      <c r="Y2419" s="13"/>
      <c r="Z2419" s="13"/>
    </row>
    <row r="2420">
      <c r="A2420" s="8">
        <v>43848.017372685186</v>
      </c>
      <c r="B2420" s="9" t="str">
        <f>HYPERLINK("https://twitter.com/TWOsonsTOOmany","@TWOsonsTOOmany")</f>
        <v>@TWOsonsTOOmany</v>
      </c>
      <c r="C2420" s="10" t="s">
        <v>8076</v>
      </c>
      <c r="D2420" s="10" t="s">
        <v>10282</v>
      </c>
      <c r="E2420" s="9" t="str">
        <f>HYPERLINK("https://twitter.com/TWOsonsTOOmany/status/1218403902057582592","1218403902057582592")</f>
        <v>1218403902057582592</v>
      </c>
      <c r="F2420" s="11" t="s">
        <v>8078</v>
      </c>
      <c r="G2420" s="13"/>
      <c r="H2420" s="13"/>
      <c r="I2420" s="14">
        <v>3.0</v>
      </c>
      <c r="J2420" s="14">
        <v>3.0</v>
      </c>
      <c r="K2420" s="9" t="str">
        <f>HYPERLINK("https://allauthor.com","AllAuthor.com")</f>
        <v>AllAuthor.com</v>
      </c>
      <c r="L2420" s="15">
        <v>11538.0</v>
      </c>
      <c r="M2420" s="15">
        <v>12657.0</v>
      </c>
      <c r="N2420" s="15">
        <v>249.0</v>
      </c>
      <c r="O2420" s="16"/>
      <c r="P2420" s="17">
        <v>40189.57734953704</v>
      </c>
      <c r="Q2420" s="10" t="s">
        <v>8080</v>
      </c>
      <c r="R2420" s="10" t="s">
        <v>8081</v>
      </c>
      <c r="S2420" s="11" t="s">
        <v>8082</v>
      </c>
      <c r="T2420" s="13"/>
      <c r="U2420" s="18" t="str">
        <f>HYPERLINK("https://pbs.twimg.com/profile_images/1107404274378641409/y5vlv6x5.jpg","View")</f>
        <v>View</v>
      </c>
      <c r="V2420" s="13"/>
      <c r="W2420" s="13"/>
      <c r="X2420" s="13"/>
      <c r="Y2420" s="13"/>
      <c r="Z2420" s="13"/>
    </row>
    <row r="2421">
      <c r="A2421" s="8">
        <v>43848.01630787037</v>
      </c>
      <c r="B2421" s="9" t="str">
        <f>HYPERLINK("https://twitter.com/badgalsteste__","@badgalsteste__")</f>
        <v>@badgalsteste__</v>
      </c>
      <c r="C2421" s="10" t="s">
        <v>10283</v>
      </c>
      <c r="D2421" s="10" t="s">
        <v>10284</v>
      </c>
      <c r="E2421" s="9" t="str">
        <f>HYPERLINK("https://twitter.com/badgalsteste__/status/1218403513853599744","1218403513853599744")</f>
        <v>1218403513853599744</v>
      </c>
      <c r="F2421" s="11" t="s">
        <v>10285</v>
      </c>
      <c r="G2421" s="13"/>
      <c r="H2421" s="13"/>
      <c r="I2421" s="14">
        <v>0.0</v>
      </c>
      <c r="J2421" s="14">
        <v>0.0</v>
      </c>
      <c r="K2421" s="9" t="str">
        <f>HYPERLINK("http://twitter.com","Twitter Web Client")</f>
        <v>Twitter Web Client</v>
      </c>
      <c r="L2421" s="15">
        <v>22.0</v>
      </c>
      <c r="M2421" s="15">
        <v>360.0</v>
      </c>
      <c r="N2421" s="15">
        <v>0.0</v>
      </c>
      <c r="O2421" s="16"/>
      <c r="P2421" s="17">
        <v>43633.03318287037</v>
      </c>
      <c r="Q2421" s="10" t="s">
        <v>614</v>
      </c>
      <c r="R2421" s="10" t="s">
        <v>10286</v>
      </c>
      <c r="S2421" s="13"/>
      <c r="T2421" s="13"/>
      <c r="U2421" s="18" t="str">
        <f>HYPERLINK("https://pbs.twimg.com/profile_images/1214913490491588609/r3ZshnzR.jpg","View")</f>
        <v>View</v>
      </c>
      <c r="V2421" s="13"/>
      <c r="W2421" s="13"/>
      <c r="X2421" s="13"/>
      <c r="Y2421" s="13"/>
      <c r="Z2421" s="13"/>
    </row>
    <row r="2422">
      <c r="A2422" s="8">
        <v>43848.01584490741</v>
      </c>
      <c r="B2422" s="9" t="str">
        <f>HYPERLINK("https://twitter.com/IALLAND0","@IALLAND0")</f>
        <v>@IALLAND0</v>
      </c>
      <c r="C2422" s="10" t="s">
        <v>10287</v>
      </c>
      <c r="D2422" s="10" t="s">
        <v>238</v>
      </c>
      <c r="E2422" s="9" t="str">
        <f>HYPERLINK("https://twitter.com/IALLAND0/status/1218403346144538626","1218403346144538626")</f>
        <v>1218403346144538626</v>
      </c>
      <c r="F2422" s="13"/>
      <c r="G2422" s="13"/>
      <c r="H2422" s="13"/>
      <c r="I2422" s="14">
        <v>0.0</v>
      </c>
      <c r="J2422" s="14">
        <v>1.0</v>
      </c>
      <c r="K2422" s="9" t="str">
        <f t="shared" ref="K2422:K2424" si="313">HYPERLINK("http://twitter.com/download/android","Twitter for Android")</f>
        <v>Twitter for Android</v>
      </c>
      <c r="L2422" s="15">
        <v>13969.0</v>
      </c>
      <c r="M2422" s="15">
        <v>1422.0</v>
      </c>
      <c r="N2422" s="15">
        <v>0.0</v>
      </c>
      <c r="O2422" s="16"/>
      <c r="P2422" s="17">
        <v>43613.16542824074</v>
      </c>
      <c r="Q2422" s="10" t="s">
        <v>10288</v>
      </c>
      <c r="R2422" s="10" t="s">
        <v>10289</v>
      </c>
      <c r="S2422" s="13"/>
      <c r="T2422" s="13"/>
      <c r="U2422" s="18" t="str">
        <f>HYPERLINK("https://pbs.twimg.com/profile_images/1214086310983536640/3XKXU2P0.jpg","View")</f>
        <v>View</v>
      </c>
      <c r="V2422" s="13"/>
      <c r="W2422" s="13"/>
      <c r="X2422" s="13"/>
      <c r="Y2422" s="13"/>
      <c r="Z2422" s="13"/>
    </row>
    <row r="2423">
      <c r="A2423" s="8">
        <v>43848.01479166667</v>
      </c>
      <c r="B2423" s="9" t="str">
        <f>HYPERLINK("https://twitter.com/AlTaylorNZ","@AlTaylorNZ")</f>
        <v>@AlTaylorNZ</v>
      </c>
      <c r="C2423" s="10" t="s">
        <v>10290</v>
      </c>
      <c r="D2423" s="10" t="s">
        <v>238</v>
      </c>
      <c r="E2423" s="9" t="str">
        <f>HYPERLINK("https://twitter.com/AlTaylorNZ/status/1218402967323172864","1218402967323172864")</f>
        <v>1218402967323172864</v>
      </c>
      <c r="F2423" s="13"/>
      <c r="G2423" s="13"/>
      <c r="H2423" s="13"/>
      <c r="I2423" s="14">
        <v>1.0</v>
      </c>
      <c r="J2423" s="14">
        <v>1.0</v>
      </c>
      <c r="K2423" s="9" t="str">
        <f t="shared" si="313"/>
        <v>Twitter for Android</v>
      </c>
      <c r="L2423" s="15">
        <v>1228.0</v>
      </c>
      <c r="M2423" s="15">
        <v>2405.0</v>
      </c>
      <c r="N2423" s="15">
        <v>48.0</v>
      </c>
      <c r="O2423" s="16"/>
      <c r="P2423" s="17">
        <v>41082.600636574076</v>
      </c>
      <c r="Q2423" s="10" t="s">
        <v>10291</v>
      </c>
      <c r="R2423" s="10" t="s">
        <v>10292</v>
      </c>
      <c r="S2423" s="11" t="s">
        <v>10293</v>
      </c>
      <c r="T2423" s="13"/>
      <c r="U2423" s="18" t="str">
        <f>HYPERLINK("https://pbs.twimg.com/profile_images/1123538546139099139/5ZpBARFp.jpg","View")</f>
        <v>View</v>
      </c>
      <c r="V2423" s="13"/>
      <c r="W2423" s="13"/>
      <c r="X2423" s="13"/>
      <c r="Y2423" s="13"/>
      <c r="Z2423" s="13"/>
    </row>
    <row r="2424">
      <c r="A2424" s="8">
        <v>43848.01466435185</v>
      </c>
      <c r="B2424" s="9" t="str">
        <f>HYPERLINK("https://twitter.com/LindzCake","@LindzCake")</f>
        <v>@LindzCake</v>
      </c>
      <c r="C2424" s="10" t="s">
        <v>10294</v>
      </c>
      <c r="D2424" s="10" t="s">
        <v>10295</v>
      </c>
      <c r="E2424" s="9" t="str">
        <f>HYPERLINK("https://twitter.com/LindzCake/status/1218402917478211584","1218402917478211584")</f>
        <v>1218402917478211584</v>
      </c>
      <c r="F2424" s="13"/>
      <c r="G2424" s="13"/>
      <c r="H2424" s="13"/>
      <c r="I2424" s="14">
        <v>0.0</v>
      </c>
      <c r="J2424" s="14">
        <v>0.0</v>
      </c>
      <c r="K2424" s="9" t="str">
        <f t="shared" si="313"/>
        <v>Twitter for Android</v>
      </c>
      <c r="L2424" s="15">
        <v>15.0</v>
      </c>
      <c r="M2424" s="15">
        <v>21.0</v>
      </c>
      <c r="N2424" s="15">
        <v>0.0</v>
      </c>
      <c r="O2424" s="16"/>
      <c r="P2424" s="17">
        <v>43579.03766203704</v>
      </c>
      <c r="Q2424" s="13"/>
      <c r="R2424" s="10" t="s">
        <v>10296</v>
      </c>
      <c r="S2424" s="13"/>
      <c r="T2424" s="13"/>
      <c r="U2424" s="18" t="str">
        <f>HYPERLINK("https://pbs.twimg.com/profile_images/1193289166601125888/qunrjSuX.jpg","View")</f>
        <v>View</v>
      </c>
      <c r="V2424" s="13"/>
      <c r="W2424" s="13"/>
      <c r="X2424" s="13"/>
      <c r="Y2424" s="13"/>
      <c r="Z2424" s="13"/>
    </row>
    <row r="2425">
      <c r="A2425" s="8">
        <v>43848.014375</v>
      </c>
      <c r="B2425" s="9" t="str">
        <f>HYPERLINK("https://twitter.com/DebraLindh","@DebraLindh")</f>
        <v>@DebraLindh</v>
      </c>
      <c r="C2425" s="10" t="s">
        <v>4428</v>
      </c>
      <c r="D2425" s="10" t="s">
        <v>10297</v>
      </c>
      <c r="E2425" s="9" t="str">
        <f>HYPERLINK("https://twitter.com/DebraLindh/status/1218402814046691328","1218402814046691328")</f>
        <v>1218402814046691328</v>
      </c>
      <c r="F2425" s="13"/>
      <c r="G2425" s="13"/>
      <c r="H2425" s="13"/>
      <c r="I2425" s="14">
        <v>0.0</v>
      </c>
      <c r="J2425" s="14">
        <v>0.0</v>
      </c>
      <c r="K2425" s="9" t="str">
        <f t="shared" ref="K2425:K2426" si="314">HYPERLINK("http://twitter.com/download/iphone","Twitter for iPhone")</f>
        <v>Twitter for iPhone</v>
      </c>
      <c r="L2425" s="15">
        <v>9991.0</v>
      </c>
      <c r="M2425" s="15">
        <v>10585.0</v>
      </c>
      <c r="N2425" s="15">
        <v>467.0</v>
      </c>
      <c r="O2425" s="16"/>
      <c r="P2425" s="17">
        <v>40756.47195601852</v>
      </c>
      <c r="Q2425" s="10" t="s">
        <v>4431</v>
      </c>
      <c r="R2425" s="10" t="s">
        <v>4432</v>
      </c>
      <c r="S2425" s="11" t="s">
        <v>4433</v>
      </c>
      <c r="T2425" s="13"/>
      <c r="U2425" s="18" t="str">
        <f>HYPERLINK("https://pbs.twimg.com/profile_images/1187264103905136640/lS-fKvUp.jpg","View")</f>
        <v>View</v>
      </c>
      <c r="V2425" s="13"/>
      <c r="W2425" s="13"/>
      <c r="X2425" s="13"/>
      <c r="Y2425" s="13"/>
      <c r="Z2425" s="13"/>
    </row>
    <row r="2426">
      <c r="A2426" s="8">
        <v>43848.013460648144</v>
      </c>
      <c r="B2426" s="9" t="str">
        <f>HYPERLINK("https://twitter.com/lanre_selfmade","@lanre_selfmade")</f>
        <v>@lanre_selfmade</v>
      </c>
      <c r="C2426" s="10" t="s">
        <v>10298</v>
      </c>
      <c r="D2426" s="10" t="s">
        <v>238</v>
      </c>
      <c r="E2426" s="9" t="str">
        <f>HYPERLINK("https://twitter.com/lanre_selfmade/status/1218402482327576576","1218402482327576576")</f>
        <v>1218402482327576576</v>
      </c>
      <c r="F2426" s="13"/>
      <c r="G2426" s="13"/>
      <c r="H2426" s="13"/>
      <c r="I2426" s="14">
        <v>0.0</v>
      </c>
      <c r="J2426" s="14">
        <v>0.0</v>
      </c>
      <c r="K2426" s="9" t="str">
        <f t="shared" si="314"/>
        <v>Twitter for iPhone</v>
      </c>
      <c r="L2426" s="15">
        <v>239.0</v>
      </c>
      <c r="M2426" s="15">
        <v>361.0</v>
      </c>
      <c r="N2426" s="15">
        <v>0.0</v>
      </c>
      <c r="O2426" s="16"/>
      <c r="P2426" s="17">
        <v>41353.52599537037</v>
      </c>
      <c r="Q2426" s="10" t="s">
        <v>10299</v>
      </c>
      <c r="R2426" s="10" t="s">
        <v>10300</v>
      </c>
      <c r="S2426" s="13"/>
      <c r="T2426" s="13"/>
      <c r="U2426" s="18" t="str">
        <f>HYPERLINK("https://pbs.twimg.com/profile_images/1201123674453159936/o76jSOuA.jpg","View")</f>
        <v>View</v>
      </c>
      <c r="V2426" s="13"/>
      <c r="W2426" s="13"/>
      <c r="X2426" s="13"/>
      <c r="Y2426" s="13"/>
      <c r="Z2426" s="13"/>
    </row>
    <row r="2427">
      <c r="A2427" s="8">
        <v>43848.01304398148</v>
      </c>
      <c r="B2427" s="9" t="str">
        <f>HYPERLINK("https://twitter.com/_sfr27_","@_sfr27_")</f>
        <v>@_sfr27_</v>
      </c>
      <c r="C2427" s="10" t="s">
        <v>10301</v>
      </c>
      <c r="D2427" s="10" t="s">
        <v>10302</v>
      </c>
      <c r="E2427" s="9" t="str">
        <f>HYPERLINK("https://twitter.com/_sfr27_/status/1218402332968308736","1218402332968308736")</f>
        <v>1218402332968308736</v>
      </c>
      <c r="F2427" s="13"/>
      <c r="G2427" s="11" t="s">
        <v>10303</v>
      </c>
      <c r="H2427" s="13"/>
      <c r="I2427" s="14">
        <v>0.0</v>
      </c>
      <c r="J2427" s="14">
        <v>0.0</v>
      </c>
      <c r="K2427" s="9" t="str">
        <f>HYPERLINK("https://mobile.twitter.com","Twitter Web App")</f>
        <v>Twitter Web App</v>
      </c>
      <c r="L2427" s="15">
        <v>20.0</v>
      </c>
      <c r="M2427" s="15">
        <v>91.0</v>
      </c>
      <c r="N2427" s="15">
        <v>0.0</v>
      </c>
      <c r="O2427" s="16"/>
      <c r="P2427" s="17">
        <v>41601.48930555556</v>
      </c>
      <c r="Q2427" s="10" t="s">
        <v>10304</v>
      </c>
      <c r="R2427" s="10" t="s">
        <v>10305</v>
      </c>
      <c r="S2427" s="13"/>
      <c r="T2427" s="13"/>
      <c r="U2427" s="18" t="str">
        <f>HYPERLINK("https://pbs.twimg.com/profile_images/1207103005524480007/n6qENUoU.jpg","View")</f>
        <v>View</v>
      </c>
      <c r="V2427" s="13"/>
      <c r="W2427" s="13"/>
      <c r="X2427" s="13"/>
      <c r="Y2427" s="13"/>
      <c r="Z2427" s="13"/>
    </row>
    <row r="2428">
      <c r="A2428" s="8">
        <v>43848.01256944444</v>
      </c>
      <c r="B2428" s="9" t="str">
        <f>HYPERLINK("https://twitter.com/MiaLis79","@MiaLis79")</f>
        <v>@MiaLis79</v>
      </c>
      <c r="C2428" s="10" t="s">
        <v>1343</v>
      </c>
      <c r="D2428" s="10" t="s">
        <v>10306</v>
      </c>
      <c r="E2428" s="9" t="str">
        <f>HYPERLINK("https://twitter.com/MiaLis79/status/1218402160700010499","1218402160700010499")</f>
        <v>1218402160700010499</v>
      </c>
      <c r="F2428" s="11" t="s">
        <v>10307</v>
      </c>
      <c r="G2428" s="13"/>
      <c r="H2428" s="13"/>
      <c r="I2428" s="14">
        <v>0.0</v>
      </c>
      <c r="J2428" s="14">
        <v>0.0</v>
      </c>
      <c r="K2428" s="9" t="str">
        <f>HYPERLINK("https://www.mytweetpack.com","myTweetPack")</f>
        <v>myTweetPack</v>
      </c>
      <c r="L2428" s="15">
        <v>16902.0</v>
      </c>
      <c r="M2428" s="15">
        <v>12466.0</v>
      </c>
      <c r="N2428" s="15">
        <v>1642.0</v>
      </c>
      <c r="O2428" s="16"/>
      <c r="P2428" s="17">
        <v>39685.06575231481</v>
      </c>
      <c r="Q2428" s="10" t="s">
        <v>1346</v>
      </c>
      <c r="R2428" s="10" t="s">
        <v>1347</v>
      </c>
      <c r="S2428" s="11" t="s">
        <v>1348</v>
      </c>
      <c r="T2428" s="13"/>
      <c r="U2428" s="18" t="str">
        <f>HYPERLINK("https://pbs.twimg.com/profile_images/729868043153723394/O1HlkXlX.jpg","View")</f>
        <v>View</v>
      </c>
      <c r="V2428" s="13"/>
      <c r="W2428" s="13"/>
      <c r="X2428" s="13"/>
      <c r="Y2428" s="13"/>
      <c r="Z2428" s="13"/>
    </row>
    <row r="2429">
      <c r="A2429" s="8">
        <v>43848.01186342593</v>
      </c>
      <c r="B2429" s="9" t="str">
        <f>HYPERLINK("https://twitter.com/Gata_roja_la","@Gata_roja_la")</f>
        <v>@Gata_roja_la</v>
      </c>
      <c r="C2429" s="10" t="s">
        <v>10308</v>
      </c>
      <c r="D2429" s="10" t="s">
        <v>10309</v>
      </c>
      <c r="E2429" s="9" t="str">
        <f>HYPERLINK("https://twitter.com/Gata_roja_la/status/1218401906390781952","1218401906390781952")</f>
        <v>1218401906390781952</v>
      </c>
      <c r="F2429" s="13"/>
      <c r="G2429" s="13"/>
      <c r="H2429" s="13"/>
      <c r="I2429" s="14">
        <v>0.0</v>
      </c>
      <c r="J2429" s="14">
        <v>0.0</v>
      </c>
      <c r="K2429" s="9" t="str">
        <f>HYPERLINK("http://twitter.com/download/android","Twitter for Android")</f>
        <v>Twitter for Android</v>
      </c>
      <c r="L2429" s="15">
        <v>16.0</v>
      </c>
      <c r="M2429" s="15">
        <v>666.0</v>
      </c>
      <c r="N2429" s="15">
        <v>0.0</v>
      </c>
      <c r="O2429" s="16"/>
      <c r="P2429" s="17">
        <v>43290.54399305556</v>
      </c>
      <c r="Q2429" s="10" t="s">
        <v>382</v>
      </c>
      <c r="R2429" s="10" t="s">
        <v>10310</v>
      </c>
      <c r="S2429" s="13"/>
      <c r="T2429" s="13"/>
      <c r="U2429" s="18" t="str">
        <f>HYPERLINK("https://pbs.twimg.com/profile_images/1016514765726801920/2gd4xm32.jpg","View")</f>
        <v>View</v>
      </c>
      <c r="V2429" s="13"/>
      <c r="W2429" s="13"/>
      <c r="X2429" s="13"/>
      <c r="Y2429" s="13"/>
      <c r="Z2429" s="13"/>
    </row>
    <row r="2430">
      <c r="A2430" s="8">
        <v>43848.011099537034</v>
      </c>
      <c r="B2430" s="9" t="str">
        <f t="shared" ref="B2430:B2432" si="315">HYPERLINK("https://twitter.com/pentweetsthings","@pentweetsthings")</f>
        <v>@pentweetsthings</v>
      </c>
      <c r="C2430" s="10" t="s">
        <v>10311</v>
      </c>
      <c r="D2430" s="10" t="s">
        <v>10312</v>
      </c>
      <c r="E2430" s="9" t="str">
        <f>HYPERLINK("https://twitter.com/pentweetsthings/status/1218401627469729793","1218401627469729793")</f>
        <v>1218401627469729793</v>
      </c>
      <c r="F2430" s="13"/>
      <c r="G2430" s="11" t="s">
        <v>10313</v>
      </c>
      <c r="H2430" s="13"/>
      <c r="I2430" s="14">
        <v>0.0</v>
      </c>
      <c r="J2430" s="14">
        <v>3.0</v>
      </c>
      <c r="K2430" s="9" t="str">
        <f t="shared" ref="K2430:K2432" si="316">HYPERLINK("http://twitter.com/download/iphone","Twitter for iPhone")</f>
        <v>Twitter for iPhone</v>
      </c>
      <c r="L2430" s="15">
        <v>96.0</v>
      </c>
      <c r="M2430" s="15">
        <v>221.0</v>
      </c>
      <c r="N2430" s="15">
        <v>0.0</v>
      </c>
      <c r="O2430" s="16"/>
      <c r="P2430" s="17">
        <v>41849.560162037036</v>
      </c>
      <c r="Q2430" s="13"/>
      <c r="R2430" s="10" t="s">
        <v>10314</v>
      </c>
      <c r="S2430" s="11" t="s">
        <v>10315</v>
      </c>
      <c r="T2430" s="13"/>
      <c r="U2430" s="18" t="str">
        <f t="shared" ref="U2430:U2432" si="317">HYPERLINK("https://pbs.twimg.com/profile_images/1165825042300788736/IQVjPTRs.jpg","View")</f>
        <v>View</v>
      </c>
      <c r="V2430" s="13"/>
      <c r="W2430" s="13"/>
      <c r="X2430" s="13"/>
      <c r="Y2430" s="13"/>
      <c r="Z2430" s="13"/>
    </row>
    <row r="2431">
      <c r="A2431" s="8">
        <v>43848.01069444444</v>
      </c>
      <c r="B2431" s="9" t="str">
        <f t="shared" si="315"/>
        <v>@pentweetsthings</v>
      </c>
      <c r="C2431" s="10" t="s">
        <v>10311</v>
      </c>
      <c r="D2431" s="10" t="s">
        <v>10316</v>
      </c>
      <c r="E2431" s="9" t="str">
        <f>HYPERLINK("https://twitter.com/pentweetsthings/status/1218401480614580227","1218401480614580227")</f>
        <v>1218401480614580227</v>
      </c>
      <c r="F2431" s="13"/>
      <c r="G2431" s="11" t="s">
        <v>10317</v>
      </c>
      <c r="H2431" s="13"/>
      <c r="I2431" s="14">
        <v>0.0</v>
      </c>
      <c r="J2431" s="14">
        <v>1.0</v>
      </c>
      <c r="K2431" s="9" t="str">
        <f t="shared" si="316"/>
        <v>Twitter for iPhone</v>
      </c>
      <c r="L2431" s="15">
        <v>96.0</v>
      </c>
      <c r="M2431" s="15">
        <v>221.0</v>
      </c>
      <c r="N2431" s="15">
        <v>0.0</v>
      </c>
      <c r="O2431" s="16"/>
      <c r="P2431" s="17">
        <v>41849.560162037036</v>
      </c>
      <c r="Q2431" s="13"/>
      <c r="R2431" s="10" t="s">
        <v>10314</v>
      </c>
      <c r="S2431" s="11" t="s">
        <v>10315</v>
      </c>
      <c r="T2431" s="13"/>
      <c r="U2431" s="18" t="str">
        <f t="shared" si="317"/>
        <v>View</v>
      </c>
      <c r="V2431" s="13"/>
      <c r="W2431" s="13"/>
      <c r="X2431" s="13"/>
      <c r="Y2431" s="13"/>
      <c r="Z2431" s="13"/>
    </row>
    <row r="2432">
      <c r="A2432" s="8">
        <v>43848.010104166664</v>
      </c>
      <c r="B2432" s="9" t="str">
        <f t="shared" si="315"/>
        <v>@pentweetsthings</v>
      </c>
      <c r="C2432" s="10" t="s">
        <v>10311</v>
      </c>
      <c r="D2432" s="10" t="s">
        <v>10318</v>
      </c>
      <c r="E2432" s="9" t="str">
        <f>HYPERLINK("https://twitter.com/pentweetsthings/status/1218401268022022144","1218401268022022144")</f>
        <v>1218401268022022144</v>
      </c>
      <c r="F2432" s="13"/>
      <c r="G2432" s="11" t="s">
        <v>10319</v>
      </c>
      <c r="H2432" s="13"/>
      <c r="I2432" s="14">
        <v>1.0</v>
      </c>
      <c r="J2432" s="14">
        <v>2.0</v>
      </c>
      <c r="K2432" s="9" t="str">
        <f t="shared" si="316"/>
        <v>Twitter for iPhone</v>
      </c>
      <c r="L2432" s="15">
        <v>96.0</v>
      </c>
      <c r="M2432" s="15">
        <v>221.0</v>
      </c>
      <c r="N2432" s="15">
        <v>0.0</v>
      </c>
      <c r="O2432" s="16"/>
      <c r="P2432" s="17">
        <v>41849.560162037036</v>
      </c>
      <c r="Q2432" s="13"/>
      <c r="R2432" s="10" t="s">
        <v>10314</v>
      </c>
      <c r="S2432" s="11" t="s">
        <v>10315</v>
      </c>
      <c r="T2432" s="13"/>
      <c r="U2432" s="18" t="str">
        <f t="shared" si="317"/>
        <v>View</v>
      </c>
      <c r="V2432" s="13"/>
      <c r="W2432" s="13"/>
      <c r="X2432" s="13"/>
      <c r="Y2432" s="13"/>
      <c r="Z2432" s="13"/>
    </row>
    <row r="2433">
      <c r="A2433" s="8">
        <v>43848.00990740741</v>
      </c>
      <c r="B2433" s="9" t="str">
        <f>HYPERLINK("https://twitter.com/bomiraczek1","@bomiraczek1")</f>
        <v>@bomiraczek1</v>
      </c>
      <c r="C2433" s="10" t="s">
        <v>10320</v>
      </c>
      <c r="D2433" s="10" t="s">
        <v>10321</v>
      </c>
      <c r="E2433" s="9" t="str">
        <f>HYPERLINK("https://twitter.com/bomiraczek1/status/1218401196597182464","1218401196597182464")</f>
        <v>1218401196597182464</v>
      </c>
      <c r="F2433" s="13"/>
      <c r="G2433" s="13"/>
      <c r="H2433" s="13"/>
      <c r="I2433" s="14">
        <v>1.0</v>
      </c>
      <c r="J2433" s="14">
        <v>0.0</v>
      </c>
      <c r="K2433" s="9" t="str">
        <f>HYPERLINK("http://twitter.com/download/android","Twitter for Android")</f>
        <v>Twitter for Android</v>
      </c>
      <c r="L2433" s="15">
        <v>915.0</v>
      </c>
      <c r="M2433" s="15">
        <v>3235.0</v>
      </c>
      <c r="N2433" s="15">
        <v>1.0</v>
      </c>
      <c r="O2433" s="16"/>
      <c r="P2433" s="17">
        <v>42408.55571759259</v>
      </c>
      <c r="Q2433" s="10" t="s">
        <v>10322</v>
      </c>
      <c r="R2433" s="10" t="s">
        <v>10323</v>
      </c>
      <c r="S2433" s="13"/>
      <c r="T2433" s="13"/>
      <c r="U2433" s="18" t="str">
        <f>HYPERLINK("https://pbs.twimg.com/profile_images/1131039366510501889/bNlqfaEM.jpg","View")</f>
        <v>View</v>
      </c>
      <c r="V2433" s="13"/>
      <c r="W2433" s="13"/>
      <c r="X2433" s="13"/>
      <c r="Y2433" s="13"/>
      <c r="Z2433" s="13"/>
    </row>
    <row r="2434">
      <c r="A2434" s="8">
        <v>43848.009675925925</v>
      </c>
      <c r="B2434" s="9" t="str">
        <f>HYPERLINK("https://twitter.com/pentweetsthings","@pentweetsthings")</f>
        <v>@pentweetsthings</v>
      </c>
      <c r="C2434" s="10" t="s">
        <v>10311</v>
      </c>
      <c r="D2434" s="10" t="s">
        <v>10318</v>
      </c>
      <c r="E2434" s="9" t="str">
        <f>HYPERLINK("https://twitter.com/pentweetsthings/status/1218401112895709185","1218401112895709185")</f>
        <v>1218401112895709185</v>
      </c>
      <c r="F2434" s="13"/>
      <c r="G2434" s="11" t="s">
        <v>10324</v>
      </c>
      <c r="H2434" s="13"/>
      <c r="I2434" s="14">
        <v>1.0</v>
      </c>
      <c r="J2434" s="14">
        <v>2.0</v>
      </c>
      <c r="K2434" s="9" t="str">
        <f t="shared" ref="K2434:K2435" si="318">HYPERLINK("http://twitter.com/download/iphone","Twitter for iPhone")</f>
        <v>Twitter for iPhone</v>
      </c>
      <c r="L2434" s="15">
        <v>96.0</v>
      </c>
      <c r="M2434" s="15">
        <v>221.0</v>
      </c>
      <c r="N2434" s="15">
        <v>0.0</v>
      </c>
      <c r="O2434" s="16"/>
      <c r="P2434" s="17">
        <v>41849.560162037036</v>
      </c>
      <c r="Q2434" s="13"/>
      <c r="R2434" s="10" t="s">
        <v>10314</v>
      </c>
      <c r="S2434" s="11" t="s">
        <v>10315</v>
      </c>
      <c r="T2434" s="13"/>
      <c r="U2434" s="18" t="str">
        <f>HYPERLINK("https://pbs.twimg.com/profile_images/1165825042300788736/IQVjPTRs.jpg","View")</f>
        <v>View</v>
      </c>
      <c r="V2434" s="13"/>
      <c r="W2434" s="13"/>
      <c r="X2434" s="13"/>
      <c r="Y2434" s="13"/>
      <c r="Z2434" s="13"/>
    </row>
    <row r="2435">
      <c r="A2435" s="8">
        <v>43848.00945601852</v>
      </c>
      <c r="B2435" s="9" t="str">
        <f>HYPERLINK("https://twitter.com/Brythe_Carlos","@Brythe_Carlos")</f>
        <v>@Brythe_Carlos</v>
      </c>
      <c r="C2435" s="10" t="s">
        <v>10325</v>
      </c>
      <c r="D2435" s="10" t="s">
        <v>10326</v>
      </c>
      <c r="E2435" s="9" t="str">
        <f>HYPERLINK("https://twitter.com/Brythe_Carlos/status/1218401031551193088","1218401031551193088")</f>
        <v>1218401031551193088</v>
      </c>
      <c r="F2435" s="13"/>
      <c r="G2435" s="13"/>
      <c r="H2435" s="13"/>
      <c r="I2435" s="14">
        <v>1.0</v>
      </c>
      <c r="J2435" s="14">
        <v>1.0</v>
      </c>
      <c r="K2435" s="9" t="str">
        <f t="shared" si="318"/>
        <v>Twitter for iPhone</v>
      </c>
      <c r="L2435" s="15">
        <v>30.0</v>
      </c>
      <c r="M2435" s="15">
        <v>132.0</v>
      </c>
      <c r="N2435" s="15">
        <v>0.0</v>
      </c>
      <c r="O2435" s="16"/>
      <c r="P2435" s="17">
        <v>43233.91101851852</v>
      </c>
      <c r="Q2435" s="10" t="s">
        <v>10327</v>
      </c>
      <c r="R2435" s="10" t="s">
        <v>10328</v>
      </c>
      <c r="S2435" s="13"/>
      <c r="T2435" s="13"/>
      <c r="U2435" s="18" t="str">
        <f>HYPERLINK("https://pbs.twimg.com/profile_images/1214402273092108290/EFZrW7Ti.jpg","View")</f>
        <v>View</v>
      </c>
      <c r="V2435" s="13"/>
      <c r="W2435" s="13"/>
      <c r="X2435" s="13"/>
      <c r="Y2435" s="13"/>
      <c r="Z2435" s="13"/>
    </row>
    <row r="2436">
      <c r="A2436" s="8">
        <v>43848.00885416666</v>
      </c>
      <c r="B2436" s="9" t="str">
        <f>HYPERLINK("https://twitter.com/louie_morais","@louie_morais")</f>
        <v>@louie_morais</v>
      </c>
      <c r="C2436" s="10" t="s">
        <v>10329</v>
      </c>
      <c r="D2436" s="10" t="s">
        <v>10330</v>
      </c>
      <c r="E2436" s="9" t="str">
        <f>HYPERLINK("https://twitter.com/louie_morais/status/1218400812474433536","1218400812474433536")</f>
        <v>1218400812474433536</v>
      </c>
      <c r="F2436" s="13"/>
      <c r="G2436" s="13"/>
      <c r="H2436" s="13"/>
      <c r="I2436" s="14">
        <v>1.0</v>
      </c>
      <c r="J2436" s="14">
        <v>0.0</v>
      </c>
      <c r="K2436" s="9" t="str">
        <f>HYPERLINK("https://mobile.twitter.com","Twitter Web App")</f>
        <v>Twitter Web App</v>
      </c>
      <c r="L2436" s="15">
        <v>81.0</v>
      </c>
      <c r="M2436" s="15">
        <v>242.0</v>
      </c>
      <c r="N2436" s="15">
        <v>0.0</v>
      </c>
      <c r="O2436" s="16"/>
      <c r="P2436" s="17">
        <v>43789.49685185185</v>
      </c>
      <c r="Q2436" s="10" t="s">
        <v>10331</v>
      </c>
      <c r="R2436" s="10" t="s">
        <v>10332</v>
      </c>
      <c r="S2436" s="13"/>
      <c r="T2436" s="13"/>
      <c r="U2436" s="18" t="str">
        <f>HYPERLINK("https://pbs.twimg.com/profile_images/1202187298676379648/CXxS8jvE.jpg","View")</f>
        <v>View</v>
      </c>
      <c r="V2436" s="13"/>
      <c r="W2436" s="13"/>
      <c r="X2436" s="13"/>
      <c r="Y2436" s="13"/>
      <c r="Z2436" s="13"/>
    </row>
    <row r="2437">
      <c r="A2437" s="8">
        <v>43848.00864583333</v>
      </c>
      <c r="B2437" s="9" t="str">
        <f>HYPERLINK("https://twitter.com/JuliafollowsM","@JuliafollowsM")</f>
        <v>@JuliafollowsM</v>
      </c>
      <c r="C2437" s="10" t="s">
        <v>10215</v>
      </c>
      <c r="D2437" s="10" t="s">
        <v>10333</v>
      </c>
      <c r="E2437" s="9" t="str">
        <f>HYPERLINK("https://twitter.com/JuliafollowsM/status/1218400736658235392","1218400736658235392")</f>
        <v>1218400736658235392</v>
      </c>
      <c r="F2437" s="13"/>
      <c r="G2437" s="11" t="s">
        <v>10334</v>
      </c>
      <c r="H2437" s="13"/>
      <c r="I2437" s="14">
        <v>1.0</v>
      </c>
      <c r="J2437" s="14">
        <v>0.0</v>
      </c>
      <c r="K2437" s="9" t="str">
        <f>HYPERLINK("http://twitter.com/download/iphone","Twitter for iPhone")</f>
        <v>Twitter for iPhone</v>
      </c>
      <c r="L2437" s="15">
        <v>28.0</v>
      </c>
      <c r="M2437" s="15">
        <v>114.0</v>
      </c>
      <c r="N2437" s="15">
        <v>0.0</v>
      </c>
      <c r="O2437" s="16"/>
      <c r="P2437" s="17">
        <v>43651.78738425926</v>
      </c>
      <c r="Q2437" s="13"/>
      <c r="R2437" s="10" t="s">
        <v>10218</v>
      </c>
      <c r="S2437" s="13"/>
      <c r="T2437" s="13"/>
      <c r="U2437" s="18" t="str">
        <f>HYPERLINK("https://pbs.twimg.com/profile_images/1148207989230379010/h5w71w0R.jpg","View")</f>
        <v>View</v>
      </c>
      <c r="V2437" s="13"/>
      <c r="W2437" s="13"/>
      <c r="X2437" s="13"/>
      <c r="Y2437" s="13"/>
      <c r="Z2437" s="13"/>
    </row>
    <row r="2438">
      <c r="A2438" s="8">
        <v>43848.00858796296</v>
      </c>
      <c r="B2438" s="9" t="str">
        <f>HYPERLINK("https://twitter.com/HealingClouds","@HealingClouds")</f>
        <v>@HealingClouds</v>
      </c>
      <c r="C2438" s="10" t="s">
        <v>10335</v>
      </c>
      <c r="D2438" s="10" t="s">
        <v>10336</v>
      </c>
      <c r="E2438" s="9" t="str">
        <f>HYPERLINK("https://twitter.com/HealingClouds/status/1218400715996979200","1218400715996979200")</f>
        <v>1218400715996979200</v>
      </c>
      <c r="F2438" s="10" t="s">
        <v>10337</v>
      </c>
      <c r="G2438" s="11" t="s">
        <v>10338</v>
      </c>
      <c r="H2438" s="13"/>
      <c r="I2438" s="14">
        <v>3.0</v>
      </c>
      <c r="J2438" s="14">
        <v>0.0</v>
      </c>
      <c r="K2438" s="9" t="str">
        <f>HYPERLINK("http://twitter.com/download/android","Twitter for Android")</f>
        <v>Twitter for Android</v>
      </c>
      <c r="L2438" s="15">
        <v>510.0</v>
      </c>
      <c r="M2438" s="15">
        <v>387.0</v>
      </c>
      <c r="N2438" s="15">
        <v>6.0</v>
      </c>
      <c r="O2438" s="16"/>
      <c r="P2438" s="17">
        <v>42443.45434027778</v>
      </c>
      <c r="Q2438" s="10" t="s">
        <v>2805</v>
      </c>
      <c r="R2438" s="10" t="s">
        <v>10339</v>
      </c>
      <c r="S2438" s="11" t="s">
        <v>10340</v>
      </c>
      <c r="T2438" s="13"/>
      <c r="U2438" s="18" t="str">
        <f>HYPERLINK("https://pbs.twimg.com/profile_images/1214171902417104897/d5Hl1fGL.jpg","View")</f>
        <v>View</v>
      </c>
      <c r="V2438" s="13"/>
      <c r="W2438" s="13"/>
      <c r="X2438" s="13"/>
      <c r="Y2438" s="13"/>
      <c r="Z2438" s="13"/>
    </row>
    <row r="2439">
      <c r="A2439" s="8">
        <v>43848.00849537037</v>
      </c>
      <c r="B2439" s="9" t="str">
        <f>HYPERLINK("https://twitter.com/HoldMyGunsOrg","@HoldMyGunsOrg")</f>
        <v>@HoldMyGunsOrg</v>
      </c>
      <c r="C2439" s="10" t="s">
        <v>10341</v>
      </c>
      <c r="D2439" s="10" t="s">
        <v>10342</v>
      </c>
      <c r="E2439" s="9" t="str">
        <f>HYPERLINK("https://twitter.com/HoldMyGunsOrg/status/1218400683008741376","1218400683008741376")</f>
        <v>1218400683008741376</v>
      </c>
      <c r="F2439" s="11" t="s">
        <v>10343</v>
      </c>
      <c r="G2439" s="13"/>
      <c r="H2439" s="13"/>
      <c r="I2439" s="14">
        <v>1.0</v>
      </c>
      <c r="J2439" s="14">
        <v>1.0</v>
      </c>
      <c r="K2439" s="9" t="str">
        <f>HYPERLINK("http://instagram.com","Instagram")</f>
        <v>Instagram</v>
      </c>
      <c r="L2439" s="15">
        <v>80.0</v>
      </c>
      <c r="M2439" s="15">
        <v>333.0</v>
      </c>
      <c r="N2439" s="15">
        <v>1.0</v>
      </c>
      <c r="O2439" s="16"/>
      <c r="P2439" s="17">
        <v>43651.80774305556</v>
      </c>
      <c r="Q2439" s="13"/>
      <c r="R2439" s="10" t="s">
        <v>10344</v>
      </c>
      <c r="S2439" s="11" t="s">
        <v>10345</v>
      </c>
      <c r="T2439" s="13"/>
      <c r="U2439" s="18" t="str">
        <f>HYPERLINK("https://pbs.twimg.com/profile_images/1147285034338050048/rrmF3tmU.jpg","View")</f>
        <v>View</v>
      </c>
      <c r="V2439" s="13"/>
      <c r="W2439" s="13"/>
      <c r="X2439" s="13"/>
      <c r="Y2439" s="13"/>
      <c r="Z2439" s="13"/>
    </row>
    <row r="2440">
      <c r="A2440" s="8">
        <v>43848.00846064815</v>
      </c>
      <c r="B2440" s="9" t="str">
        <f>HYPERLINK("https://twitter.com/marianimhurchu","@marianimhurchu")</f>
        <v>@marianimhurchu</v>
      </c>
      <c r="C2440" s="10" t="s">
        <v>10346</v>
      </c>
      <c r="D2440" s="10" t="s">
        <v>238</v>
      </c>
      <c r="E2440" s="9" t="str">
        <f>HYPERLINK("https://twitter.com/marianimhurchu/status/1218400672166699008","1218400672166699008")</f>
        <v>1218400672166699008</v>
      </c>
      <c r="F2440" s="13"/>
      <c r="G2440" s="13"/>
      <c r="H2440" s="13"/>
      <c r="I2440" s="14">
        <v>0.0</v>
      </c>
      <c r="J2440" s="14">
        <v>0.0</v>
      </c>
      <c r="K2440" s="9" t="str">
        <f>HYPERLINK("http://twitter.com/download/android","Twitter for Android")</f>
        <v>Twitter for Android</v>
      </c>
      <c r="L2440" s="15">
        <v>3851.0</v>
      </c>
      <c r="M2440" s="15">
        <v>3973.0</v>
      </c>
      <c r="N2440" s="15">
        <v>210.0</v>
      </c>
      <c r="O2440" s="16"/>
      <c r="P2440" s="17">
        <v>39927.64896990741</v>
      </c>
      <c r="Q2440" s="10" t="s">
        <v>10347</v>
      </c>
      <c r="R2440" s="10" t="s">
        <v>10348</v>
      </c>
      <c r="S2440" s="11" t="s">
        <v>10349</v>
      </c>
      <c r="T2440" s="13"/>
      <c r="U2440" s="18" t="str">
        <f>HYPERLINK("https://pbs.twimg.com/profile_images/526521888257081344/iIlvKDuS.jpeg","View")</f>
        <v>View</v>
      </c>
      <c r="V2440" s="13"/>
      <c r="W2440" s="13"/>
      <c r="X2440" s="13"/>
      <c r="Y2440" s="13"/>
      <c r="Z2440" s="13"/>
    </row>
    <row r="2441">
      <c r="A2441" s="8">
        <v>43848.00783564815</v>
      </c>
      <c r="B2441" s="9" t="str">
        <f>HYPERLINK("https://twitter.com/SkipDougFord","@SkipDougFord")</f>
        <v>@SkipDougFord</v>
      </c>
      <c r="C2441" s="10" t="s">
        <v>10350</v>
      </c>
      <c r="D2441" s="10" t="s">
        <v>10351</v>
      </c>
      <c r="E2441" s="9" t="str">
        <f>HYPERLINK("https://twitter.com/SkipDougFord/status/1218400445539983362","1218400445539983362")</f>
        <v>1218400445539983362</v>
      </c>
      <c r="F2441" s="13"/>
      <c r="G2441" s="11" t="s">
        <v>10352</v>
      </c>
      <c r="H2441" s="13"/>
      <c r="I2441" s="14">
        <v>3.0</v>
      </c>
      <c r="J2441" s="14">
        <v>3.0</v>
      </c>
      <c r="K2441" s="9" t="str">
        <f>HYPERLINK("https://mobile.twitter.com","Twitter Web App")</f>
        <v>Twitter Web App</v>
      </c>
      <c r="L2441" s="15">
        <v>144.0</v>
      </c>
      <c r="M2441" s="15">
        <v>596.0</v>
      </c>
      <c r="N2441" s="15">
        <v>0.0</v>
      </c>
      <c r="O2441" s="16"/>
      <c r="P2441" s="17">
        <v>43188.5990625</v>
      </c>
      <c r="Q2441" s="10" t="s">
        <v>10353</v>
      </c>
      <c r="R2441" s="10" t="s">
        <v>10354</v>
      </c>
      <c r="S2441" s="13"/>
      <c r="T2441" s="13"/>
      <c r="U2441" s="18" t="str">
        <f>HYPERLINK("https://pbs.twimg.com/profile_images/979431525031739392/A0xBZwZq.jpg","View")</f>
        <v>View</v>
      </c>
      <c r="V2441" s="13"/>
      <c r="W2441" s="13"/>
      <c r="X2441" s="13"/>
      <c r="Y2441" s="13"/>
      <c r="Z2441" s="13"/>
    </row>
    <row r="2442">
      <c r="A2442" s="8">
        <v>43848.0078125</v>
      </c>
      <c r="B2442" s="9" t="str">
        <f>HYPERLINK("https://twitter.com/softbaibee","@softbaibee")</f>
        <v>@softbaibee</v>
      </c>
      <c r="C2442" s="10" t="s">
        <v>10355</v>
      </c>
      <c r="D2442" s="10" t="s">
        <v>10356</v>
      </c>
      <c r="E2442" s="9" t="str">
        <f>HYPERLINK("https://twitter.com/softbaibee/status/1218400435083583491","1218400435083583491")</f>
        <v>1218400435083583491</v>
      </c>
      <c r="F2442" s="13"/>
      <c r="G2442" s="13"/>
      <c r="H2442" s="13"/>
      <c r="I2442" s="14">
        <v>0.0</v>
      </c>
      <c r="J2442" s="14">
        <v>2.0</v>
      </c>
      <c r="K2442" s="9" t="str">
        <f t="shared" ref="K2442:K2444" si="319">HYPERLINK("http://twitter.com/download/iphone","Twitter for iPhone")</f>
        <v>Twitter for iPhone</v>
      </c>
      <c r="L2442" s="15">
        <v>70.0</v>
      </c>
      <c r="M2442" s="15">
        <v>83.0</v>
      </c>
      <c r="N2442" s="15">
        <v>0.0</v>
      </c>
      <c r="O2442" s="16"/>
      <c r="P2442" s="17">
        <v>43804.75608796296</v>
      </c>
      <c r="Q2442" s="10" t="s">
        <v>10357</v>
      </c>
      <c r="R2442" s="10" t="s">
        <v>10358</v>
      </c>
      <c r="S2442" s="11" t="s">
        <v>10359</v>
      </c>
      <c r="T2442" s="13"/>
      <c r="U2442" s="18" t="str">
        <f>HYPERLINK("https://pbs.twimg.com/profile_images/1216940603109281792/U8bJzjJN.jpg","View")</f>
        <v>View</v>
      </c>
      <c r="V2442" s="13"/>
      <c r="W2442" s="13"/>
      <c r="X2442" s="13"/>
      <c r="Y2442" s="13"/>
      <c r="Z2442" s="13"/>
    </row>
    <row r="2443">
      <c r="A2443" s="8">
        <v>43848.0071875</v>
      </c>
      <c r="B2443" s="9" t="str">
        <f>HYPERLINK("https://twitter.com/OneTechChic","@OneTechChic")</f>
        <v>@OneTechChic</v>
      </c>
      <c r="C2443" s="10" t="s">
        <v>10360</v>
      </c>
      <c r="D2443" s="10" t="s">
        <v>10361</v>
      </c>
      <c r="E2443" s="9" t="str">
        <f>HYPERLINK("https://twitter.com/OneTechChic/status/1218400208314220544","1218400208314220544")</f>
        <v>1218400208314220544</v>
      </c>
      <c r="F2443" s="13"/>
      <c r="G2443" s="11" t="s">
        <v>10362</v>
      </c>
      <c r="H2443" s="13"/>
      <c r="I2443" s="14">
        <v>1.0</v>
      </c>
      <c r="J2443" s="14">
        <v>6.0</v>
      </c>
      <c r="K2443" s="9" t="str">
        <f t="shared" si="319"/>
        <v>Twitter for iPhone</v>
      </c>
      <c r="L2443" s="15">
        <v>383.0</v>
      </c>
      <c r="M2443" s="15">
        <v>261.0</v>
      </c>
      <c r="N2443" s="15">
        <v>36.0</v>
      </c>
      <c r="O2443" s="16"/>
      <c r="P2443" s="17">
        <v>42390.45747685185</v>
      </c>
      <c r="Q2443" s="10" t="s">
        <v>905</v>
      </c>
      <c r="R2443" s="10" t="s">
        <v>10363</v>
      </c>
      <c r="S2443" s="13"/>
      <c r="T2443" s="13"/>
      <c r="U2443" s="18" t="str">
        <f>HYPERLINK("https://pbs.twimg.com/profile_images/1212691577820385282/1a4i59CQ.jpg","View")</f>
        <v>View</v>
      </c>
      <c r="V2443" s="13"/>
      <c r="W2443" s="13"/>
      <c r="X2443" s="13"/>
      <c r="Y2443" s="13"/>
      <c r="Z2443" s="13"/>
    </row>
    <row r="2444">
      <c r="A2444" s="8">
        <v>43848.007152777776</v>
      </c>
      <c r="B2444" s="9" t="str">
        <f>HYPERLINK("https://twitter.com/justtho52316524","@justtho52316524")</f>
        <v>@justtho52316524</v>
      </c>
      <c r="C2444" s="10" t="s">
        <v>10364</v>
      </c>
      <c r="D2444" s="10" t="s">
        <v>10365</v>
      </c>
      <c r="E2444" s="9" t="str">
        <f>HYPERLINK("https://twitter.com/justtho52316524/status/1218400198780604417","1218400198780604417")</f>
        <v>1218400198780604417</v>
      </c>
      <c r="F2444" s="13"/>
      <c r="G2444" s="13"/>
      <c r="H2444" s="13"/>
      <c r="I2444" s="14">
        <v>0.0</v>
      </c>
      <c r="J2444" s="14">
        <v>2.0</v>
      </c>
      <c r="K2444" s="9" t="str">
        <f t="shared" si="319"/>
        <v>Twitter for iPhone</v>
      </c>
      <c r="L2444" s="15">
        <v>133.0</v>
      </c>
      <c r="M2444" s="15">
        <v>876.0</v>
      </c>
      <c r="N2444" s="15">
        <v>0.0</v>
      </c>
      <c r="O2444" s="16"/>
      <c r="P2444" s="17">
        <v>43791.631319444445</v>
      </c>
      <c r="Q2444" s="13"/>
      <c r="R2444" s="10" t="s">
        <v>10366</v>
      </c>
      <c r="S2444" s="13"/>
      <c r="T2444" s="13"/>
      <c r="U2444" s="18" t="str">
        <f>HYPERLINK("https://pbs.twimg.com/profile_images/1197970822083670016/9HeZtFvd.jpg","View")</f>
        <v>View</v>
      </c>
      <c r="V2444" s="13"/>
      <c r="W2444" s="13"/>
      <c r="X2444" s="13"/>
      <c r="Y2444" s="13"/>
      <c r="Z2444" s="13"/>
    </row>
    <row r="2445">
      <c r="A2445" s="8">
        <v>43848.00640046297</v>
      </c>
      <c r="B2445" s="9" t="str">
        <f>HYPERLINK("https://twitter.com/KeystoneWater","@KeystoneWater")</f>
        <v>@KeystoneWater</v>
      </c>
      <c r="C2445" s="10" t="s">
        <v>10367</v>
      </c>
      <c r="D2445" s="10" t="s">
        <v>10368</v>
      </c>
      <c r="E2445" s="9" t="str">
        <f>HYPERLINK("https://twitter.com/KeystoneWater/status/1218399926096420868","1218399926096420868")</f>
        <v>1218399926096420868</v>
      </c>
      <c r="F2445" s="13"/>
      <c r="G2445" s="13"/>
      <c r="H2445" s="13"/>
      <c r="I2445" s="14">
        <v>0.0</v>
      </c>
      <c r="J2445" s="14">
        <v>0.0</v>
      </c>
      <c r="K2445" s="9" t="str">
        <f>HYPERLINK("https://mobile.twitter.com","Twitter Web App")</f>
        <v>Twitter Web App</v>
      </c>
      <c r="L2445" s="15">
        <v>307.0</v>
      </c>
      <c r="M2445" s="15">
        <v>583.0</v>
      </c>
      <c r="N2445" s="15">
        <v>6.0</v>
      </c>
      <c r="O2445" s="16"/>
      <c r="P2445" s="17">
        <v>41873.57927083333</v>
      </c>
      <c r="Q2445" s="10" t="s">
        <v>10369</v>
      </c>
      <c r="R2445" s="10" t="s">
        <v>10370</v>
      </c>
      <c r="S2445" s="11" t="s">
        <v>10371</v>
      </c>
      <c r="T2445" s="13"/>
      <c r="U2445" s="18" t="str">
        <f>HYPERLINK("https://pbs.twimg.com/profile_images/502877488599400448/xduJ8hsC.jpeg","View")</f>
        <v>View</v>
      </c>
      <c r="V2445" s="13"/>
      <c r="W2445" s="13"/>
      <c r="X2445" s="13"/>
      <c r="Y2445" s="13"/>
      <c r="Z2445" s="13"/>
    </row>
    <row r="2446">
      <c r="A2446" s="8">
        <v>43848.005798611106</v>
      </c>
      <c r="B2446" s="9" t="str">
        <f>HYPERLINK("https://twitter.com/TherapistTee","@TherapistTee")</f>
        <v>@TherapistTee</v>
      </c>
      <c r="C2446" s="10" t="s">
        <v>10372</v>
      </c>
      <c r="D2446" s="10" t="s">
        <v>10373</v>
      </c>
      <c r="E2446" s="9" t="str">
        <f>HYPERLINK("https://twitter.com/TherapistTee/status/1218399708105887744","1218399708105887744")</f>
        <v>1218399708105887744</v>
      </c>
      <c r="F2446" s="11" t="s">
        <v>10374</v>
      </c>
      <c r="G2446" s="13"/>
      <c r="H2446" s="13"/>
      <c r="I2446" s="14">
        <v>0.0</v>
      </c>
      <c r="J2446" s="14">
        <v>1.0</v>
      </c>
      <c r="K2446" s="9" t="str">
        <f>HYPERLINK("http://twitter.com/download/android","Twitter for Android")</f>
        <v>Twitter for Android</v>
      </c>
      <c r="L2446" s="15">
        <v>2716.0</v>
      </c>
      <c r="M2446" s="15">
        <v>2103.0</v>
      </c>
      <c r="N2446" s="15">
        <v>100.0</v>
      </c>
      <c r="O2446" s="16"/>
      <c r="P2446" s="17">
        <v>41223.50111111111</v>
      </c>
      <c r="Q2446" s="10" t="s">
        <v>3116</v>
      </c>
      <c r="R2446" s="10" t="s">
        <v>10375</v>
      </c>
      <c r="S2446" s="11" t="s">
        <v>10376</v>
      </c>
      <c r="T2446" s="13"/>
      <c r="U2446" s="18" t="str">
        <f>HYPERLINK("https://pbs.twimg.com/profile_images/625734734711107584/0uhFSb5g.jpg","View")</f>
        <v>View</v>
      </c>
      <c r="V2446" s="13"/>
      <c r="W2446" s="13"/>
      <c r="X2446" s="13"/>
      <c r="Y2446" s="13"/>
      <c r="Z2446" s="13"/>
    </row>
    <row r="2447">
      <c r="A2447" s="8">
        <v>43848.00520833333</v>
      </c>
      <c r="B2447" s="9" t="str">
        <f>HYPERLINK("https://twitter.com/dt_next","@dt_next")</f>
        <v>@dt_next</v>
      </c>
      <c r="C2447" s="10" t="s">
        <v>10377</v>
      </c>
      <c r="D2447" s="10" t="s">
        <v>10378</v>
      </c>
      <c r="E2447" s="9" t="str">
        <f>HYPERLINK("https://twitter.com/dt_next/status/1218399492942090240","1218399492942090240")</f>
        <v>1218399492942090240</v>
      </c>
      <c r="F2447" s="11" t="s">
        <v>10379</v>
      </c>
      <c r="G2447" s="13"/>
      <c r="H2447" s="13"/>
      <c r="I2447" s="14">
        <v>0.0</v>
      </c>
      <c r="J2447" s="14">
        <v>1.0</v>
      </c>
      <c r="K2447" s="9" t="str">
        <f>HYPERLINK("https://mobile.twitter.com","Twitter Web App")</f>
        <v>Twitter Web App</v>
      </c>
      <c r="L2447" s="15">
        <v>5207.0</v>
      </c>
      <c r="M2447" s="15">
        <v>408.0</v>
      </c>
      <c r="N2447" s="15">
        <v>730.0</v>
      </c>
      <c r="O2447" s="21" t="s">
        <v>522</v>
      </c>
      <c r="P2447" s="17">
        <v>42300.35679398148</v>
      </c>
      <c r="Q2447" s="10" t="s">
        <v>7994</v>
      </c>
      <c r="R2447" s="10" t="s">
        <v>10380</v>
      </c>
      <c r="S2447" s="11" t="s">
        <v>10381</v>
      </c>
      <c r="T2447" s="13"/>
      <c r="U2447" s="18" t="str">
        <f>HYPERLINK("https://pbs.twimg.com/profile_images/1154301447644647424/UIBuBViP.jpg","View")</f>
        <v>View</v>
      </c>
      <c r="V2447" s="13"/>
      <c r="W2447" s="13"/>
      <c r="X2447" s="13"/>
      <c r="Y2447" s="13"/>
      <c r="Z2447" s="13"/>
    </row>
    <row r="2448">
      <c r="A2448" s="8">
        <v>43848.00373842593</v>
      </c>
      <c r="B2448" s="9" t="str">
        <f>HYPERLINK("https://twitter.com/renascencemusic","@renascencemusic")</f>
        <v>@renascencemusic</v>
      </c>
      <c r="C2448" s="10" t="s">
        <v>10382</v>
      </c>
      <c r="D2448" s="10" t="s">
        <v>10383</v>
      </c>
      <c r="E2448" s="9" t="str">
        <f>HYPERLINK("https://twitter.com/renascencemusic/status/1218398961897263104","1218398961897263104")</f>
        <v>1218398961897263104</v>
      </c>
      <c r="F2448" s="11" t="s">
        <v>10384</v>
      </c>
      <c r="G2448" s="11" t="s">
        <v>10385</v>
      </c>
      <c r="H2448" s="13"/>
      <c r="I2448" s="14">
        <v>0.0</v>
      </c>
      <c r="J2448" s="14">
        <v>0.0</v>
      </c>
      <c r="K2448" s="9" t="str">
        <f>HYPERLINK("https://www.socialoomph.com","SocialOomph")</f>
        <v>SocialOomph</v>
      </c>
      <c r="L2448" s="15">
        <v>13032.0</v>
      </c>
      <c r="M2448" s="15">
        <v>11651.0</v>
      </c>
      <c r="N2448" s="15">
        <v>220.0</v>
      </c>
      <c r="O2448" s="16"/>
      <c r="P2448" s="17">
        <v>42470.67052083333</v>
      </c>
      <c r="Q2448" s="10" t="s">
        <v>10386</v>
      </c>
      <c r="R2448" s="10" t="s">
        <v>10387</v>
      </c>
      <c r="S2448" s="11" t="s">
        <v>10388</v>
      </c>
      <c r="T2448" s="13"/>
      <c r="U2448" s="18" t="str">
        <f>HYPERLINK("https://pbs.twimg.com/profile_images/1123407512743612416/g721ra2J.png","View")</f>
        <v>View</v>
      </c>
      <c r="V2448" s="13"/>
      <c r="W2448" s="13"/>
      <c r="X2448" s="13"/>
      <c r="Y2448" s="13"/>
      <c r="Z2448" s="13"/>
    </row>
    <row r="2449">
      <c r="A2449" s="8">
        <v>43848.00304398148</v>
      </c>
      <c r="B2449" s="9" t="str">
        <f>HYPERLINK("https://twitter.com/crazyandcurly","@crazyandcurly")</f>
        <v>@crazyandcurly</v>
      </c>
      <c r="C2449" s="10" t="s">
        <v>10389</v>
      </c>
      <c r="D2449" s="10" t="s">
        <v>10390</v>
      </c>
      <c r="E2449" s="9" t="str">
        <f>HYPERLINK("https://twitter.com/crazyandcurly/status/1218398706602512384","1218398706602512384")</f>
        <v>1218398706602512384</v>
      </c>
      <c r="F2449" s="13"/>
      <c r="G2449" s="13"/>
      <c r="H2449" s="13"/>
      <c r="I2449" s="14">
        <v>0.0</v>
      </c>
      <c r="J2449" s="14">
        <v>0.0</v>
      </c>
      <c r="K2449" s="9" t="str">
        <f>HYPERLINK("http://twitter.com/download/iphone","Twitter for iPhone")</f>
        <v>Twitter for iPhone</v>
      </c>
      <c r="L2449" s="15">
        <v>194.0</v>
      </c>
      <c r="M2449" s="15">
        <v>263.0</v>
      </c>
      <c r="N2449" s="15">
        <v>5.0</v>
      </c>
      <c r="O2449" s="16"/>
      <c r="P2449" s="17">
        <v>41739.65777777778</v>
      </c>
      <c r="Q2449" s="13"/>
      <c r="R2449" s="10" t="s">
        <v>10391</v>
      </c>
      <c r="S2449" s="11" t="s">
        <v>10392</v>
      </c>
      <c r="T2449" s="13"/>
      <c r="U2449" s="18" t="str">
        <f>HYPERLINK("https://pbs.twimg.com/profile_images/1199362612972183552/SrQ7_MW9.jpg","View")</f>
        <v>View</v>
      </c>
      <c r="V2449" s="13"/>
      <c r="W2449" s="13"/>
      <c r="X2449" s="13"/>
      <c r="Y2449" s="13"/>
      <c r="Z2449" s="13"/>
    </row>
    <row r="2450">
      <c r="A2450" s="8">
        <v>43848.002812499995</v>
      </c>
      <c r="B2450" s="9" t="str">
        <f>HYPERLINK("https://twitter.com/TomWhatsoever","@TomWhatsoever")</f>
        <v>@TomWhatsoever</v>
      </c>
      <c r="C2450" s="10" t="s">
        <v>10393</v>
      </c>
      <c r="D2450" s="10" t="s">
        <v>238</v>
      </c>
      <c r="E2450" s="9" t="str">
        <f>HYPERLINK("https://twitter.com/TomWhatsoever/status/1218398623639183360","1218398623639183360")</f>
        <v>1218398623639183360</v>
      </c>
      <c r="F2450" s="13"/>
      <c r="G2450" s="13"/>
      <c r="H2450" s="13"/>
      <c r="I2450" s="14">
        <v>0.0</v>
      </c>
      <c r="J2450" s="14">
        <v>0.0</v>
      </c>
      <c r="K2450" s="9" t="str">
        <f>HYPERLINK("https://mobile.twitter.com","Twitter Web App")</f>
        <v>Twitter Web App</v>
      </c>
      <c r="L2450" s="15">
        <v>46.0</v>
      </c>
      <c r="M2450" s="15">
        <v>66.0</v>
      </c>
      <c r="N2450" s="15">
        <v>0.0</v>
      </c>
      <c r="O2450" s="16"/>
      <c r="P2450" s="17">
        <v>43595.90796296296</v>
      </c>
      <c r="Q2450" s="10" t="s">
        <v>10394</v>
      </c>
      <c r="R2450" s="10" t="s">
        <v>10395</v>
      </c>
      <c r="S2450" s="13"/>
      <c r="T2450" s="13"/>
      <c r="U2450" s="18" t="str">
        <f>HYPERLINK("https://pbs.twimg.com/profile_images/1173853334295470081/X5H8Fent.jpg","View")</f>
        <v>View</v>
      </c>
      <c r="V2450" s="13"/>
      <c r="W2450" s="13"/>
      <c r="X2450" s="13"/>
      <c r="Y2450" s="13"/>
      <c r="Z2450" s="13"/>
    </row>
    <row r="2451">
      <c r="A2451" s="8">
        <v>43848.00252314815</v>
      </c>
      <c r="B2451" s="9" t="str">
        <f>HYPERLINK("https://twitter.com/MiracleEel","@MiracleEel")</f>
        <v>@MiracleEel</v>
      </c>
      <c r="C2451" s="10" t="s">
        <v>10396</v>
      </c>
      <c r="D2451" s="10" t="s">
        <v>238</v>
      </c>
      <c r="E2451" s="9" t="str">
        <f>HYPERLINK("https://twitter.com/MiracleEel/status/1218398520383655942","1218398520383655942")</f>
        <v>1218398520383655942</v>
      </c>
      <c r="F2451" s="13"/>
      <c r="G2451" s="13"/>
      <c r="H2451" s="13"/>
      <c r="I2451" s="14">
        <v>0.0</v>
      </c>
      <c r="J2451" s="14">
        <v>0.0</v>
      </c>
      <c r="K2451" s="9" t="str">
        <f t="shared" ref="K2451:K2452" si="320">HYPERLINK("http://twitter.com/download/iphone","Twitter for iPhone")</f>
        <v>Twitter for iPhone</v>
      </c>
      <c r="L2451" s="15">
        <v>201.0</v>
      </c>
      <c r="M2451" s="15">
        <v>174.0</v>
      </c>
      <c r="N2451" s="15">
        <v>1.0</v>
      </c>
      <c r="O2451" s="16"/>
      <c r="P2451" s="17">
        <v>42619.50052083333</v>
      </c>
      <c r="Q2451" s="10" t="s">
        <v>7441</v>
      </c>
      <c r="R2451" s="10" t="s">
        <v>10397</v>
      </c>
      <c r="S2451" s="13"/>
      <c r="T2451" s="13"/>
      <c r="U2451" s="18" t="str">
        <f>HYPERLINK("https://pbs.twimg.com/profile_images/778196337510666240/NBhGYnRT.jpg","View")</f>
        <v>View</v>
      </c>
      <c r="V2451" s="13"/>
      <c r="W2451" s="13"/>
      <c r="X2451" s="13"/>
      <c r="Y2451" s="13"/>
      <c r="Z2451" s="13"/>
    </row>
    <row r="2452">
      <c r="A2452" s="8">
        <v>43848.00195601852</v>
      </c>
      <c r="B2452" s="9" t="str">
        <f>HYPERLINK("https://twitter.com/tsamuelharris","@tsamuelharris")</f>
        <v>@tsamuelharris</v>
      </c>
      <c r="C2452" s="10" t="s">
        <v>10398</v>
      </c>
      <c r="D2452" s="10" t="s">
        <v>238</v>
      </c>
      <c r="E2452" s="9" t="str">
        <f>HYPERLINK("https://twitter.com/tsamuelharris/status/1218398315550666752","1218398315550666752")</f>
        <v>1218398315550666752</v>
      </c>
      <c r="F2452" s="13"/>
      <c r="G2452" s="13"/>
      <c r="H2452" s="13"/>
      <c r="I2452" s="14">
        <v>0.0</v>
      </c>
      <c r="J2452" s="14">
        <v>0.0</v>
      </c>
      <c r="K2452" s="9" t="str">
        <f t="shared" si="320"/>
        <v>Twitter for iPhone</v>
      </c>
      <c r="L2452" s="15">
        <v>156.0</v>
      </c>
      <c r="M2452" s="15">
        <v>128.0</v>
      </c>
      <c r="N2452" s="15">
        <v>1.0</v>
      </c>
      <c r="O2452" s="16"/>
      <c r="P2452" s="17">
        <v>40103.2353125</v>
      </c>
      <c r="Q2452" s="10" t="s">
        <v>10399</v>
      </c>
      <c r="R2452" s="10" t="s">
        <v>10400</v>
      </c>
      <c r="S2452" s="13"/>
      <c r="T2452" s="13"/>
      <c r="U2452" s="18" t="str">
        <f>HYPERLINK("https://pbs.twimg.com/profile_images/1215944539946373121/Ku4-9Rem.jpg","View")</f>
        <v>View</v>
      </c>
      <c r="V2452" s="13"/>
      <c r="W2452" s="13"/>
      <c r="X2452" s="13"/>
      <c r="Y2452" s="13"/>
      <c r="Z2452" s="13"/>
    </row>
    <row r="2453">
      <c r="A2453" s="8">
        <v>43848.001875</v>
      </c>
      <c r="B2453" s="9" t="str">
        <f>HYPERLINK("https://twitter.com/timyeungdesign","@timyeungdesign")</f>
        <v>@timyeungdesign</v>
      </c>
      <c r="C2453" s="10" t="s">
        <v>10401</v>
      </c>
      <c r="D2453" s="10" t="s">
        <v>10402</v>
      </c>
      <c r="E2453" s="9" t="str">
        <f>HYPERLINK("https://twitter.com/timyeungdesign/status/1218398282902163457","1218398282902163457")</f>
        <v>1218398282902163457</v>
      </c>
      <c r="F2453" s="13"/>
      <c r="G2453" s="13"/>
      <c r="H2453" s="13"/>
      <c r="I2453" s="14">
        <v>0.0</v>
      </c>
      <c r="J2453" s="14">
        <v>4.0</v>
      </c>
      <c r="K2453" s="9" t="str">
        <f>HYPERLINK("http://twitter.com/download/android","Twitter for Android")</f>
        <v>Twitter for Android</v>
      </c>
      <c r="L2453" s="15">
        <v>178.0</v>
      </c>
      <c r="M2453" s="15">
        <v>215.0</v>
      </c>
      <c r="N2453" s="15">
        <v>13.0</v>
      </c>
      <c r="O2453" s="16"/>
      <c r="P2453" s="17">
        <v>40438.57609953704</v>
      </c>
      <c r="Q2453" s="10" t="s">
        <v>10403</v>
      </c>
      <c r="R2453" s="10" t="s">
        <v>10404</v>
      </c>
      <c r="S2453" s="11" t="s">
        <v>10405</v>
      </c>
      <c r="T2453" s="13"/>
      <c r="U2453" s="18" t="str">
        <f>HYPERLINK("https://pbs.twimg.com/profile_images/870754363634929665/TbDHgNjL.jpg","View")</f>
        <v>View</v>
      </c>
      <c r="V2453" s="13"/>
      <c r="W2453" s="13"/>
      <c r="X2453" s="13"/>
      <c r="Y2453" s="13"/>
      <c r="Z2453" s="13"/>
    </row>
    <row r="2454">
      <c r="A2454" s="8">
        <v>43848.00145833333</v>
      </c>
      <c r="B2454" s="9" t="str">
        <f>HYPERLINK("https://twitter.com/JeffEsTake","@JeffEsTake")</f>
        <v>@JeffEsTake</v>
      </c>
      <c r="C2454" s="10" t="s">
        <v>2353</v>
      </c>
      <c r="D2454" s="10" t="s">
        <v>2354</v>
      </c>
      <c r="E2454" s="9" t="str">
        <f>HYPERLINK("https://twitter.com/JeffEsTake/status/1218398134436532224","1218398134436532224")</f>
        <v>1218398134436532224</v>
      </c>
      <c r="F2454" s="13"/>
      <c r="G2454" s="11" t="s">
        <v>10406</v>
      </c>
      <c r="H2454" s="13"/>
      <c r="I2454" s="14">
        <v>1.0</v>
      </c>
      <c r="J2454" s="14">
        <v>0.0</v>
      </c>
      <c r="K2454" s="9" t="str">
        <f>HYPERLINK("https://crowdfireapp.com","Crowdfire App")</f>
        <v>Crowdfire App</v>
      </c>
      <c r="L2454" s="15">
        <v>6245.0</v>
      </c>
      <c r="M2454" s="15">
        <v>6852.0</v>
      </c>
      <c r="N2454" s="15">
        <v>42.0</v>
      </c>
      <c r="O2454" s="16"/>
      <c r="P2454" s="17">
        <v>42948.81599537037</v>
      </c>
      <c r="Q2454" s="10" t="s">
        <v>171</v>
      </c>
      <c r="R2454" s="10" t="s">
        <v>2356</v>
      </c>
      <c r="S2454" s="11" t="s">
        <v>2357</v>
      </c>
      <c r="T2454" s="13"/>
      <c r="U2454" s="18" t="str">
        <f>HYPERLINK("https://pbs.twimg.com/profile_images/1168678746368303104/Oz0bee4D.jpg","View")</f>
        <v>View</v>
      </c>
      <c r="V2454" s="13"/>
      <c r="W2454" s="13"/>
      <c r="X2454" s="13"/>
      <c r="Y2454" s="13"/>
      <c r="Z2454" s="13"/>
    </row>
    <row r="2455">
      <c r="A2455" s="8">
        <v>43848.00056712963</v>
      </c>
      <c r="B2455" s="9" t="str">
        <f>HYPERLINK("https://twitter.com/dominictaylor95","@dominictaylor95")</f>
        <v>@dominictaylor95</v>
      </c>
      <c r="C2455" s="10" t="s">
        <v>10407</v>
      </c>
      <c r="D2455" s="10" t="s">
        <v>10408</v>
      </c>
      <c r="E2455" s="9" t="str">
        <f>HYPERLINK("https://twitter.com/dominictaylor95/status/1218397810640543744","1218397810640543744")</f>
        <v>1218397810640543744</v>
      </c>
      <c r="F2455" s="13"/>
      <c r="G2455" s="11" t="s">
        <v>10409</v>
      </c>
      <c r="H2455" s="13"/>
      <c r="I2455" s="14">
        <v>1.0</v>
      </c>
      <c r="J2455" s="14">
        <v>1.0</v>
      </c>
      <c r="K2455" s="9" t="str">
        <f>HYPERLINK("http://twitter.com/download/android","Twitter for Android")</f>
        <v>Twitter for Android</v>
      </c>
      <c r="L2455" s="15">
        <v>73.0</v>
      </c>
      <c r="M2455" s="15">
        <v>178.0</v>
      </c>
      <c r="N2455" s="15">
        <v>1.0</v>
      </c>
      <c r="O2455" s="16"/>
      <c r="P2455" s="17">
        <v>42427.059953703705</v>
      </c>
      <c r="Q2455" s="10" t="s">
        <v>24</v>
      </c>
      <c r="R2455" s="10" t="s">
        <v>10410</v>
      </c>
      <c r="S2455" s="11" t="s">
        <v>10411</v>
      </c>
      <c r="T2455" s="13"/>
      <c r="U2455" s="18" t="str">
        <f>HYPERLINK("https://pbs.twimg.com/profile_images/703472214637588481/k_8eXfsk.jpg","View")</f>
        <v>View</v>
      </c>
      <c r="V2455" s="13"/>
      <c r="W2455" s="13"/>
      <c r="X2455" s="13"/>
      <c r="Y2455" s="13"/>
      <c r="Z2455" s="13"/>
    </row>
    <row r="2456">
      <c r="A2456" s="8">
        <v>43848.00009259259</v>
      </c>
      <c r="B2456" s="9" t="str">
        <f>HYPERLINK("https://twitter.com/PDNOWORRIES","@PDNOWORRIES")</f>
        <v>@PDNOWORRIES</v>
      </c>
      <c r="C2456" s="10" t="s">
        <v>10412</v>
      </c>
      <c r="D2456" s="10" t="s">
        <v>10413</v>
      </c>
      <c r="E2456" s="9" t="str">
        <f>HYPERLINK("https://twitter.com/PDNOWORRIES/status/1218397637424156672","1218397637424156672")</f>
        <v>1218397637424156672</v>
      </c>
      <c r="F2456" s="13"/>
      <c r="G2456" s="11" t="s">
        <v>10414</v>
      </c>
      <c r="H2456" s="13"/>
      <c r="I2456" s="14">
        <v>0.0</v>
      </c>
      <c r="J2456" s="14">
        <v>0.0</v>
      </c>
      <c r="K2456" s="9" t="str">
        <f>HYPERLINK("https://www.hootsuite.com","Hootsuite Inc.")</f>
        <v>Hootsuite Inc.</v>
      </c>
      <c r="L2456" s="15">
        <v>3.0</v>
      </c>
      <c r="M2456" s="15">
        <v>5.0</v>
      </c>
      <c r="N2456" s="15">
        <v>0.0</v>
      </c>
      <c r="O2456" s="16"/>
      <c r="P2456" s="17">
        <v>43339.504108796296</v>
      </c>
      <c r="Q2456" s="13"/>
      <c r="R2456" s="10" t="s">
        <v>10415</v>
      </c>
      <c r="S2456" s="11" t="s">
        <v>10416</v>
      </c>
      <c r="T2456" s="13"/>
      <c r="U2456" s="18" t="str">
        <f>HYPERLINK("https://pbs.twimg.com/profile_images/1038630854489264134/rbs5ZzhF.jpg","View")</f>
        <v>View</v>
      </c>
      <c r="V2456" s="13"/>
      <c r="W2456" s="13"/>
      <c r="X2456" s="13"/>
      <c r="Y2456" s="13"/>
      <c r="Z2456" s="13"/>
    </row>
    <row r="2457">
      <c r="A2457" s="8">
        <v>43847.999548611115</v>
      </c>
      <c r="B2457" s="9" t="str">
        <f>HYPERLINK("https://twitter.com/kravi177","@kravi177")</f>
        <v>@kravi177</v>
      </c>
      <c r="C2457" s="10" t="s">
        <v>10417</v>
      </c>
      <c r="D2457" s="10" t="s">
        <v>238</v>
      </c>
      <c r="E2457" s="9" t="str">
        <f>HYPERLINK("https://twitter.com/kravi177/status/1218397440702730241","1218397440702730241")</f>
        <v>1218397440702730241</v>
      </c>
      <c r="F2457" s="13"/>
      <c r="G2457" s="13"/>
      <c r="H2457" s="13"/>
      <c r="I2457" s="14">
        <v>0.0</v>
      </c>
      <c r="J2457" s="14">
        <v>0.0</v>
      </c>
      <c r="K2457" s="9" t="str">
        <f t="shared" ref="K2457:K2458" si="321">HYPERLINK("http://twitter.com/download/android","Twitter for Android")</f>
        <v>Twitter for Android</v>
      </c>
      <c r="L2457" s="15">
        <v>9.0</v>
      </c>
      <c r="M2457" s="15">
        <v>293.0</v>
      </c>
      <c r="N2457" s="15">
        <v>0.0</v>
      </c>
      <c r="O2457" s="16"/>
      <c r="P2457" s="17">
        <v>41318.22168981482</v>
      </c>
      <c r="Q2457" s="13"/>
      <c r="R2457" s="10" t="s">
        <v>10418</v>
      </c>
      <c r="S2457" s="13"/>
      <c r="T2457" s="13"/>
      <c r="U2457" s="18" t="str">
        <f>HYPERLINK("https://pbs.twimg.com/profile_images/1068052016314761216/Dpm1_UaF.jpg","View")</f>
        <v>View</v>
      </c>
      <c r="V2457" s="13"/>
      <c r="W2457" s="13"/>
      <c r="X2457" s="13"/>
      <c r="Y2457" s="13"/>
      <c r="Z2457" s="13"/>
    </row>
    <row r="2458">
      <c r="A2458" s="8">
        <v>43847.998935185184</v>
      </c>
      <c r="B2458" s="9" t="str">
        <f>HYPERLINK("https://twitter.com/nginyokslay","@nginyokslay")</f>
        <v>@nginyokslay</v>
      </c>
      <c r="C2458" s="10" t="s">
        <v>10419</v>
      </c>
      <c r="D2458" s="10" t="s">
        <v>238</v>
      </c>
      <c r="E2458" s="9" t="str">
        <f>HYPERLINK("https://twitter.com/nginyokslay/status/1218397218400542721","1218397218400542721")</f>
        <v>1218397218400542721</v>
      </c>
      <c r="F2458" s="13"/>
      <c r="G2458" s="13"/>
      <c r="H2458" s="13"/>
      <c r="I2458" s="14">
        <v>0.0</v>
      </c>
      <c r="J2458" s="14">
        <v>0.0</v>
      </c>
      <c r="K2458" s="9" t="str">
        <f t="shared" si="321"/>
        <v>Twitter for Android</v>
      </c>
      <c r="L2458" s="15">
        <v>172.0</v>
      </c>
      <c r="M2458" s="15">
        <v>1328.0</v>
      </c>
      <c r="N2458" s="15">
        <v>0.0</v>
      </c>
      <c r="O2458" s="16"/>
      <c r="P2458" s="17">
        <v>40994.29392361111</v>
      </c>
      <c r="Q2458" s="10" t="s">
        <v>10420</v>
      </c>
      <c r="R2458" s="10" t="s">
        <v>10421</v>
      </c>
      <c r="S2458" s="13"/>
      <c r="T2458" s="13"/>
      <c r="U2458" s="18" t="str">
        <f>HYPERLINK("https://pbs.twimg.com/profile_images/1214109748422938624/xUOddTcy.jpg","View")</f>
        <v>View</v>
      </c>
      <c r="V2458" s="13"/>
      <c r="W2458" s="13"/>
      <c r="X2458" s="13"/>
      <c r="Y2458" s="13"/>
      <c r="Z2458" s="13"/>
    </row>
    <row r="2459">
      <c r="A2459" s="8">
        <v>43847.998935185184</v>
      </c>
      <c r="B2459" s="9" t="str">
        <f>HYPERLINK("https://twitter.com/Toyams2","@Toyams2")</f>
        <v>@Toyams2</v>
      </c>
      <c r="C2459" s="10" t="s">
        <v>10422</v>
      </c>
      <c r="D2459" s="10" t="s">
        <v>10423</v>
      </c>
      <c r="E2459" s="9" t="str">
        <f>HYPERLINK("https://twitter.com/Toyams2/status/1218397218237046789","1218397218237046789")</f>
        <v>1218397218237046789</v>
      </c>
      <c r="F2459" s="13"/>
      <c r="G2459" s="13"/>
      <c r="H2459" s="13"/>
      <c r="I2459" s="14">
        <v>0.0</v>
      </c>
      <c r="J2459" s="14">
        <v>1.0</v>
      </c>
      <c r="K2459" s="9" t="str">
        <f t="shared" ref="K2459:K2460" si="322">HYPERLINK("http://twitter.com/download/iphone","Twitter for iPhone")</f>
        <v>Twitter for iPhone</v>
      </c>
      <c r="L2459" s="15">
        <v>505.0</v>
      </c>
      <c r="M2459" s="15">
        <v>340.0</v>
      </c>
      <c r="N2459" s="15">
        <v>4.0</v>
      </c>
      <c r="O2459" s="16"/>
      <c r="P2459" s="17">
        <v>39924.41946759259</v>
      </c>
      <c r="Q2459" s="10" t="s">
        <v>10424</v>
      </c>
      <c r="R2459" s="10" t="s">
        <v>10425</v>
      </c>
      <c r="S2459" s="13"/>
      <c r="T2459" s="13"/>
      <c r="U2459" s="18" t="str">
        <f>HYPERLINK("https://pbs.twimg.com/profile_images/1068183681959936001/RQ7F9BnX.jpg","View")</f>
        <v>View</v>
      </c>
      <c r="V2459" s="13"/>
      <c r="W2459" s="13"/>
      <c r="X2459" s="13"/>
      <c r="Y2459" s="13"/>
      <c r="Z2459" s="13"/>
    </row>
    <row r="2460">
      <c r="A2460" s="8">
        <v>43847.9975462963</v>
      </c>
      <c r="B2460" s="9" t="str">
        <f>HYPERLINK("https://twitter.com/karinamay_reyes","@karinamay_reyes")</f>
        <v>@karinamay_reyes</v>
      </c>
      <c r="C2460" s="10" t="s">
        <v>10426</v>
      </c>
      <c r="D2460" s="10" t="s">
        <v>10427</v>
      </c>
      <c r="E2460" s="9" t="str">
        <f>HYPERLINK("https://twitter.com/karinamay_reyes/status/1218396715444662272","1218396715444662272")</f>
        <v>1218396715444662272</v>
      </c>
      <c r="F2460" s="11" t="s">
        <v>10428</v>
      </c>
      <c r="G2460" s="13"/>
      <c r="H2460" s="13"/>
      <c r="I2460" s="14">
        <v>0.0</v>
      </c>
      <c r="J2460" s="14">
        <v>0.0</v>
      </c>
      <c r="K2460" s="9" t="str">
        <f t="shared" si="322"/>
        <v>Twitter for iPhone</v>
      </c>
      <c r="L2460" s="15">
        <v>20.0</v>
      </c>
      <c r="M2460" s="15">
        <v>151.0</v>
      </c>
      <c r="N2460" s="15">
        <v>1.0</v>
      </c>
      <c r="O2460" s="16"/>
      <c r="P2460" s="17">
        <v>43802.51993055556</v>
      </c>
      <c r="Q2460" s="10" t="s">
        <v>10429</v>
      </c>
      <c r="R2460" s="10" t="s">
        <v>10430</v>
      </c>
      <c r="S2460" s="11" t="s">
        <v>10431</v>
      </c>
      <c r="T2460" s="13"/>
      <c r="U2460" s="18" t="str">
        <f>HYPERLINK("https://pbs.twimg.com/profile_images/1204372794965819394/0qZ5bdcx.jpg","View")</f>
        <v>View</v>
      </c>
      <c r="V2460" s="13"/>
      <c r="W2460" s="13"/>
      <c r="X2460" s="13"/>
      <c r="Y2460" s="13"/>
      <c r="Z2460" s="13"/>
    </row>
    <row r="2461">
      <c r="A2461" s="8">
        <v>43847.997453703705</v>
      </c>
      <c r="B2461" s="9" t="str">
        <f>HYPERLINK("https://twitter.com/minamaya13","@minamaya13")</f>
        <v>@minamaya13</v>
      </c>
      <c r="C2461" s="10" t="s">
        <v>10432</v>
      </c>
      <c r="D2461" s="10" t="s">
        <v>10433</v>
      </c>
      <c r="E2461" s="9" t="str">
        <f>HYPERLINK("https://twitter.com/minamaya13/status/1218396680552353795","1218396680552353795")</f>
        <v>1218396680552353795</v>
      </c>
      <c r="F2461" s="11" t="s">
        <v>10434</v>
      </c>
      <c r="G2461" s="13"/>
      <c r="H2461" s="13"/>
      <c r="I2461" s="14">
        <v>2.0</v>
      </c>
      <c r="J2461" s="14">
        <v>2.0</v>
      </c>
      <c r="K2461" s="9" t="str">
        <f>HYPERLINK("https://mobile.twitter.com","Twitter Web App")</f>
        <v>Twitter Web App</v>
      </c>
      <c r="L2461" s="15">
        <v>52723.0</v>
      </c>
      <c r="M2461" s="15">
        <v>54423.0</v>
      </c>
      <c r="N2461" s="15">
        <v>841.0</v>
      </c>
      <c r="O2461" s="16"/>
      <c r="P2461" s="17">
        <v>40000.319606481484</v>
      </c>
      <c r="Q2461" s="10" t="s">
        <v>10435</v>
      </c>
      <c r="R2461" s="10" t="s">
        <v>10436</v>
      </c>
      <c r="S2461" s="11" t="s">
        <v>10437</v>
      </c>
      <c r="T2461" s="13"/>
      <c r="U2461" s="18" t="str">
        <f>HYPERLINK("https://pbs.twimg.com/profile_images/536530736723922945/y5wnsrLH.png","View")</f>
        <v>View</v>
      </c>
      <c r="V2461" s="13"/>
      <c r="W2461" s="13"/>
      <c r="X2461" s="13"/>
      <c r="Y2461" s="13"/>
      <c r="Z2461" s="13"/>
    </row>
    <row r="2462">
      <c r="A2462" s="8">
        <v>43847.997210648144</v>
      </c>
      <c r="B2462" s="9" t="str">
        <f>HYPERLINK("https://twitter.com/monaismagic","@monaismagic")</f>
        <v>@monaismagic</v>
      </c>
      <c r="C2462" s="10" t="s">
        <v>10438</v>
      </c>
      <c r="D2462" s="10" t="s">
        <v>10439</v>
      </c>
      <c r="E2462" s="9" t="str">
        <f>HYPERLINK("https://twitter.com/monaismagic/status/1218396593096818689","1218396593096818689")</f>
        <v>1218396593096818689</v>
      </c>
      <c r="F2462" s="13"/>
      <c r="G2462" s="13"/>
      <c r="H2462" s="13"/>
      <c r="I2462" s="14">
        <v>0.0</v>
      </c>
      <c r="J2462" s="14">
        <v>2.0</v>
      </c>
      <c r="K2462" s="9" t="str">
        <f t="shared" ref="K2462:K2463" si="323">HYPERLINK("http://twitter.com/download/iphone","Twitter for iPhone")</f>
        <v>Twitter for iPhone</v>
      </c>
      <c r="L2462" s="15">
        <v>194.0</v>
      </c>
      <c r="M2462" s="15">
        <v>121.0</v>
      </c>
      <c r="N2462" s="15">
        <v>24.0</v>
      </c>
      <c r="O2462" s="16"/>
      <c r="P2462" s="17">
        <v>41258.070023148146</v>
      </c>
      <c r="Q2462" s="10" t="s">
        <v>24</v>
      </c>
      <c r="R2462" s="10" t="s">
        <v>10440</v>
      </c>
      <c r="S2462" s="13"/>
      <c r="T2462" s="13"/>
      <c r="U2462" s="18" t="str">
        <f>HYPERLINK("https://pbs.twimg.com/profile_images/1166523191746949120/oQUxf9SJ.jpg","View")</f>
        <v>View</v>
      </c>
      <c r="V2462" s="13"/>
      <c r="W2462" s="13"/>
      <c r="X2462" s="13"/>
      <c r="Y2462" s="13"/>
      <c r="Z2462" s="13"/>
    </row>
    <row r="2463">
      <c r="A2463" s="8">
        <v>43847.99717592592</v>
      </c>
      <c r="B2463" s="9" t="str">
        <f>HYPERLINK("https://twitter.com/alightinthedrk","@alightinthedrk")</f>
        <v>@alightinthedrk</v>
      </c>
      <c r="C2463" s="10" t="s">
        <v>10441</v>
      </c>
      <c r="D2463" s="10" t="s">
        <v>10442</v>
      </c>
      <c r="E2463" s="9" t="str">
        <f>HYPERLINK("https://twitter.com/alightinthedrk/status/1218396583907209216","1218396583907209216")</f>
        <v>1218396583907209216</v>
      </c>
      <c r="F2463" s="13"/>
      <c r="G2463" s="13"/>
      <c r="H2463" s="13"/>
      <c r="I2463" s="14">
        <v>0.0</v>
      </c>
      <c r="J2463" s="14">
        <v>0.0</v>
      </c>
      <c r="K2463" s="9" t="str">
        <f t="shared" si="323"/>
        <v>Twitter for iPhone</v>
      </c>
      <c r="L2463" s="15">
        <v>507.0</v>
      </c>
      <c r="M2463" s="15">
        <v>1024.0</v>
      </c>
      <c r="N2463" s="15">
        <v>42.0</v>
      </c>
      <c r="O2463" s="16"/>
      <c r="P2463" s="17">
        <v>42032.89175925926</v>
      </c>
      <c r="Q2463" s="10" t="s">
        <v>1314</v>
      </c>
      <c r="R2463" s="10" t="s">
        <v>10443</v>
      </c>
      <c r="S2463" s="11" t="s">
        <v>10444</v>
      </c>
      <c r="T2463" s="13"/>
      <c r="U2463" s="18" t="str">
        <f>HYPERLINK("https://pbs.twimg.com/profile_images/1171196177246822401/tbhIG5Xy.jpg","View")</f>
        <v>View</v>
      </c>
      <c r="V2463" s="13"/>
      <c r="W2463" s="13"/>
      <c r="X2463" s="13"/>
      <c r="Y2463" s="13"/>
      <c r="Z2463" s="13"/>
    </row>
    <row r="2464">
      <c r="A2464" s="8">
        <v>43847.997141203705</v>
      </c>
      <c r="B2464" s="9" t="str">
        <f>HYPERLINK("https://twitter.com/MChagara","@MChagara")</f>
        <v>@MChagara</v>
      </c>
      <c r="C2464" s="10" t="s">
        <v>10445</v>
      </c>
      <c r="D2464" s="10" t="s">
        <v>10446</v>
      </c>
      <c r="E2464" s="9" t="str">
        <f>HYPERLINK("https://twitter.com/MChagara/status/1218396569038413824","1218396569038413824")</f>
        <v>1218396569038413824</v>
      </c>
      <c r="F2464" s="13"/>
      <c r="G2464" s="13"/>
      <c r="H2464" s="13"/>
      <c r="I2464" s="14">
        <v>3.0</v>
      </c>
      <c r="J2464" s="14">
        <v>9.0</v>
      </c>
      <c r="K2464" s="9" t="str">
        <f t="shared" ref="K2464:K2465" si="324">HYPERLINK("http://twitter.com/download/android","Twitter for Android")</f>
        <v>Twitter for Android</v>
      </c>
      <c r="L2464" s="15">
        <v>965.0</v>
      </c>
      <c r="M2464" s="15">
        <v>1333.0</v>
      </c>
      <c r="N2464" s="15">
        <v>4.0</v>
      </c>
      <c r="O2464" s="16"/>
      <c r="P2464" s="17">
        <v>42251.343831018516</v>
      </c>
      <c r="Q2464" s="10" t="s">
        <v>10447</v>
      </c>
      <c r="R2464" s="10" t="s">
        <v>10448</v>
      </c>
      <c r="S2464" s="13"/>
      <c r="T2464" s="13"/>
      <c r="U2464" s="18" t="str">
        <f>HYPERLINK("https://pbs.twimg.com/profile_images/1136382151493005313/0eN8XmfZ.jpg","View")</f>
        <v>View</v>
      </c>
      <c r="V2464" s="13"/>
      <c r="W2464" s="13"/>
      <c r="X2464" s="13"/>
      <c r="Y2464" s="13"/>
      <c r="Z2464" s="13"/>
    </row>
    <row r="2465">
      <c r="A2465" s="8">
        <v>43847.99665509259</v>
      </c>
      <c r="B2465" s="9" t="str">
        <f>HYPERLINK("https://twitter.com/Bunch_of_Dudes","@Bunch_of_Dudes")</f>
        <v>@Bunch_of_Dudes</v>
      </c>
      <c r="C2465" s="10" t="s">
        <v>10449</v>
      </c>
      <c r="D2465" s="10" t="s">
        <v>10450</v>
      </c>
      <c r="E2465" s="9" t="str">
        <f>HYPERLINK("https://twitter.com/Bunch_of_Dudes/status/1218396391338233856","1218396391338233856")</f>
        <v>1218396391338233856</v>
      </c>
      <c r="F2465" s="13"/>
      <c r="G2465" s="13"/>
      <c r="H2465" s="13"/>
      <c r="I2465" s="14">
        <v>0.0</v>
      </c>
      <c r="J2465" s="14">
        <v>1.0</v>
      </c>
      <c r="K2465" s="9" t="str">
        <f t="shared" si="324"/>
        <v>Twitter for Android</v>
      </c>
      <c r="L2465" s="15">
        <v>19.0</v>
      </c>
      <c r="M2465" s="15">
        <v>48.0</v>
      </c>
      <c r="N2465" s="15">
        <v>0.0</v>
      </c>
      <c r="O2465" s="16"/>
      <c r="P2465" s="17">
        <v>42530.78067129629</v>
      </c>
      <c r="Q2465" s="13"/>
      <c r="R2465" s="10" t="s">
        <v>10451</v>
      </c>
      <c r="S2465" s="13"/>
      <c r="T2465" s="13"/>
      <c r="U2465" s="18" t="str">
        <f>HYPERLINK("https://pbs.twimg.com/profile_images/1185229093958238209/6kvdMvfg.png","View")</f>
        <v>View</v>
      </c>
      <c r="V2465" s="13"/>
      <c r="W2465" s="13"/>
      <c r="X2465" s="13"/>
      <c r="Y2465" s="13"/>
      <c r="Z2465" s="13"/>
    </row>
    <row r="2466">
      <c r="A2466" s="8">
        <v>43847.99643518518</v>
      </c>
      <c r="B2466" s="9" t="str">
        <f>HYPERLINK("https://twitter.com/HypertensionCo2","@HypertensionCo2")</f>
        <v>@HypertensionCo2</v>
      </c>
      <c r="C2466" s="10" t="s">
        <v>10452</v>
      </c>
      <c r="D2466" s="10" t="s">
        <v>10453</v>
      </c>
      <c r="E2466" s="9" t="str">
        <f>HYPERLINK("https://twitter.com/HypertensionCo2/status/1218396314246905858","1218396314246905858")</f>
        <v>1218396314246905858</v>
      </c>
      <c r="F2466" s="13"/>
      <c r="G2466" s="11" t="s">
        <v>10454</v>
      </c>
      <c r="H2466" s="13"/>
      <c r="I2466" s="14">
        <v>0.0</v>
      </c>
      <c r="J2466" s="14">
        <v>1.0</v>
      </c>
      <c r="K2466" s="9" t="str">
        <f>HYPERLINK("https://mobile.twitter.com","Twitter Web App")</f>
        <v>Twitter Web App</v>
      </c>
      <c r="L2466" s="15">
        <v>69.0</v>
      </c>
      <c r="M2466" s="15">
        <v>1222.0</v>
      </c>
      <c r="N2466" s="15">
        <v>1.0</v>
      </c>
      <c r="O2466" s="16"/>
      <c r="P2466" s="17">
        <v>43824.488287037035</v>
      </c>
      <c r="Q2466" s="13"/>
      <c r="R2466" s="10" t="s">
        <v>9890</v>
      </c>
      <c r="S2466" s="13"/>
      <c r="T2466" s="13"/>
      <c r="U2466" s="18" t="str">
        <f>HYPERLINK("https://pbs.twimg.com/profile_images/1210046218325217280/advjYVOm.jpg","View")</f>
        <v>View</v>
      </c>
      <c r="V2466" s="13"/>
      <c r="W2466" s="13"/>
      <c r="X2466" s="13"/>
      <c r="Y2466" s="13"/>
      <c r="Z2466" s="13"/>
    </row>
    <row r="2467">
      <c r="A2467" s="8">
        <v>43847.99403935185</v>
      </c>
      <c r="B2467" s="9" t="str">
        <f>HYPERLINK("https://twitter.com/ItsAnAdultThing","@ItsAnAdultThing")</f>
        <v>@ItsAnAdultThing</v>
      </c>
      <c r="C2467" s="10" t="s">
        <v>10455</v>
      </c>
      <c r="D2467" s="10" t="s">
        <v>10456</v>
      </c>
      <c r="E2467" s="9" t="str">
        <f>HYPERLINK("https://twitter.com/ItsAnAdultThing/status/1218395443735875586","1218395443735875586")</f>
        <v>1218395443735875586</v>
      </c>
      <c r="F2467" s="11" t="s">
        <v>10457</v>
      </c>
      <c r="G2467" s="13"/>
      <c r="H2467" s="13"/>
      <c r="I2467" s="14">
        <v>2.0</v>
      </c>
      <c r="J2467" s="14">
        <v>4.0</v>
      </c>
      <c r="K2467" s="9" t="str">
        <f>HYPERLINK("http://twitter.com/download/iphone","Twitter for iPhone")</f>
        <v>Twitter for iPhone</v>
      </c>
      <c r="L2467" s="15">
        <v>14.0</v>
      </c>
      <c r="M2467" s="15">
        <v>37.0</v>
      </c>
      <c r="N2467" s="15">
        <v>0.0</v>
      </c>
      <c r="O2467" s="16"/>
      <c r="P2467" s="17">
        <v>43830.351365740746</v>
      </c>
      <c r="Q2467" s="10" t="s">
        <v>10458</v>
      </c>
      <c r="R2467" s="10" t="s">
        <v>10459</v>
      </c>
      <c r="S2467" s="11" t="s">
        <v>10460</v>
      </c>
      <c r="T2467" s="13"/>
      <c r="U2467" s="18" t="str">
        <f>HYPERLINK("https://pbs.twimg.com/profile_images/1212002256133873664/CIBtwrWC.jpg","View")</f>
        <v>View</v>
      </c>
      <c r="V2467" s="13"/>
      <c r="W2467" s="13"/>
      <c r="X2467" s="13"/>
      <c r="Y2467" s="13"/>
      <c r="Z2467" s="13"/>
    </row>
    <row r="2468">
      <c r="A2468" s="8">
        <v>43847.99385416666</v>
      </c>
      <c r="B2468" s="9" t="str">
        <f>HYPERLINK("https://twitter.com/MaritimeTrustee","@MaritimeTrustee")</f>
        <v>@MaritimeTrustee</v>
      </c>
      <c r="C2468" s="10" t="s">
        <v>10461</v>
      </c>
      <c r="D2468" s="10" t="s">
        <v>10462</v>
      </c>
      <c r="E2468" s="9" t="str">
        <f>HYPERLINK("https://twitter.com/MaritimeTrustee/status/1218395376107098114","1218395376107098114")</f>
        <v>1218395376107098114</v>
      </c>
      <c r="F2468" s="11" t="s">
        <v>10463</v>
      </c>
      <c r="G2468" s="13"/>
      <c r="H2468" s="13"/>
      <c r="I2468" s="14">
        <v>0.0</v>
      </c>
      <c r="J2468" s="14">
        <v>2.0</v>
      </c>
      <c r="K2468" s="9" t="str">
        <f>HYPERLINK("https://friendsplus.me","Friends Me")</f>
        <v>Friends Me</v>
      </c>
      <c r="L2468" s="15">
        <v>417.0</v>
      </c>
      <c r="M2468" s="15">
        <v>968.0</v>
      </c>
      <c r="N2468" s="15">
        <v>17.0</v>
      </c>
      <c r="O2468" s="16"/>
      <c r="P2468" s="17">
        <v>41521.52420138889</v>
      </c>
      <c r="Q2468" s="10" t="s">
        <v>10464</v>
      </c>
      <c r="R2468" s="10" t="s">
        <v>10465</v>
      </c>
      <c r="S2468" s="11" t="s">
        <v>10466</v>
      </c>
      <c r="T2468" s="13"/>
      <c r="U2468" s="18" t="str">
        <f>HYPERLINK("https://pbs.twimg.com/profile_images/926466425694208000/uR8U8G63.jpg","View")</f>
        <v>View</v>
      </c>
      <c r="V2468" s="13"/>
      <c r="W2468" s="13"/>
      <c r="X2468" s="13"/>
      <c r="Y2468" s="13"/>
      <c r="Z2468" s="13"/>
    </row>
    <row r="2469">
      <c r="A2469" s="8">
        <v>43847.993842592594</v>
      </c>
      <c r="B2469" s="9" t="str">
        <f>HYPERLINK("https://twitter.com/DrOvalles","@DrOvalles")</f>
        <v>@DrOvalles</v>
      </c>
      <c r="C2469" s="10" t="s">
        <v>10467</v>
      </c>
      <c r="D2469" s="10" t="s">
        <v>238</v>
      </c>
      <c r="E2469" s="9" t="str">
        <f>HYPERLINK("https://twitter.com/DrOvalles/status/1218395374248960000","1218395374248960000")</f>
        <v>1218395374248960000</v>
      </c>
      <c r="F2469" s="13"/>
      <c r="G2469" s="13"/>
      <c r="H2469" s="13"/>
      <c r="I2469" s="14">
        <v>0.0</v>
      </c>
      <c r="J2469" s="14">
        <v>0.0</v>
      </c>
      <c r="K2469" s="9" t="str">
        <f>HYPERLINK("http://twitter.com/download/android","Twitter for Android")</f>
        <v>Twitter for Android</v>
      </c>
      <c r="L2469" s="15">
        <v>362.0</v>
      </c>
      <c r="M2469" s="15">
        <v>280.0</v>
      </c>
      <c r="N2469" s="15">
        <v>8.0</v>
      </c>
      <c r="O2469" s="16"/>
      <c r="P2469" s="17">
        <v>41368.79405092593</v>
      </c>
      <c r="Q2469" s="10" t="s">
        <v>10468</v>
      </c>
      <c r="R2469" s="10" t="s">
        <v>10469</v>
      </c>
      <c r="S2469" s="13"/>
      <c r="T2469" s="13"/>
      <c r="U2469" s="18" t="str">
        <f>HYPERLINK("https://pbs.twimg.com/profile_images/1200500420302520321/SrFTM9SQ.jpg","View")</f>
        <v>View</v>
      </c>
      <c r="V2469" s="13"/>
      <c r="W2469" s="13"/>
      <c r="X2469" s="13"/>
      <c r="Y2469" s="13"/>
      <c r="Z2469" s="13"/>
    </row>
    <row r="2470">
      <c r="A2470" s="8">
        <v>43847.993356481486</v>
      </c>
      <c r="B2470" s="9" t="str">
        <f>HYPERLINK("https://twitter.com/CrayDimensional","@CrayDimensional")</f>
        <v>@CrayDimensional</v>
      </c>
      <c r="C2470" s="10" t="s">
        <v>10470</v>
      </c>
      <c r="D2470" s="10" t="s">
        <v>10471</v>
      </c>
      <c r="E2470" s="9" t="str">
        <f>HYPERLINK("https://twitter.com/CrayDimensional/status/1218395196934828034","1218395196934828034")</f>
        <v>1218395196934828034</v>
      </c>
      <c r="F2470" s="13"/>
      <c r="G2470" s="13"/>
      <c r="H2470" s="13"/>
      <c r="I2470" s="14">
        <v>0.0</v>
      </c>
      <c r="J2470" s="14">
        <v>7.0</v>
      </c>
      <c r="K2470" s="9" t="str">
        <f>HYPERLINK("http://twitter.com/#!/download/ipad","Twitter for iPad")</f>
        <v>Twitter for iPad</v>
      </c>
      <c r="L2470" s="15">
        <v>1663.0</v>
      </c>
      <c r="M2470" s="15">
        <v>2146.0</v>
      </c>
      <c r="N2470" s="15">
        <v>12.0</v>
      </c>
      <c r="O2470" s="16"/>
      <c r="P2470" s="17">
        <v>43562.47666666667</v>
      </c>
      <c r="Q2470" s="13"/>
      <c r="R2470" s="10" t="s">
        <v>10472</v>
      </c>
      <c r="S2470" s="13"/>
      <c r="T2470" s="13"/>
      <c r="U2470" s="18" t="str">
        <f>HYPERLINK("https://pbs.twimg.com/profile_images/1114920201211011077/hNRcAfod.png","View")</f>
        <v>View</v>
      </c>
      <c r="V2470" s="13"/>
      <c r="W2470" s="13"/>
      <c r="X2470" s="13"/>
      <c r="Y2470" s="13"/>
      <c r="Z2470" s="13"/>
    </row>
    <row r="2471">
      <c r="A2471" s="8">
        <v>43847.99240740741</v>
      </c>
      <c r="B2471" s="9" t="str">
        <f>HYPERLINK("https://twitter.com/ShiCooks","@ShiCooks")</f>
        <v>@ShiCooks</v>
      </c>
      <c r="C2471" s="10" t="s">
        <v>10473</v>
      </c>
      <c r="D2471" s="10" t="s">
        <v>10474</v>
      </c>
      <c r="E2471" s="9" t="str">
        <f>HYPERLINK("https://twitter.com/ShiCooks/status/1218394854973005825","1218394854973005825")</f>
        <v>1218394854973005825</v>
      </c>
      <c r="F2471" s="11" t="s">
        <v>10475</v>
      </c>
      <c r="G2471" s="11" t="s">
        <v>10476</v>
      </c>
      <c r="H2471" s="13"/>
      <c r="I2471" s="14">
        <v>4.0</v>
      </c>
      <c r="J2471" s="14">
        <v>3.0</v>
      </c>
      <c r="K2471" s="9" t="str">
        <f>HYPERLINK("https://mobile.twitter.com","Twitter Web App")</f>
        <v>Twitter Web App</v>
      </c>
      <c r="L2471" s="15">
        <v>30235.0</v>
      </c>
      <c r="M2471" s="15">
        <v>13532.0</v>
      </c>
      <c r="N2471" s="15">
        <v>2125.0</v>
      </c>
      <c r="O2471" s="16"/>
      <c r="P2471" s="17">
        <v>39717.805601851855</v>
      </c>
      <c r="Q2471" s="10" t="s">
        <v>10477</v>
      </c>
      <c r="R2471" s="10" t="s">
        <v>10478</v>
      </c>
      <c r="S2471" s="13"/>
      <c r="T2471" s="13"/>
      <c r="U2471" s="18" t="str">
        <f>HYPERLINK("https://pbs.twimg.com/profile_images/619323261063565312/lVyXbKeZ.jpg","View")</f>
        <v>View</v>
      </c>
      <c r="V2471" s="13"/>
      <c r="W2471" s="13"/>
      <c r="X2471" s="13"/>
      <c r="Y2471" s="13"/>
      <c r="Z2471" s="13"/>
    </row>
    <row r="2472">
      <c r="A2472" s="8">
        <v>43847.99230324074</v>
      </c>
      <c r="B2472" s="9" t="str">
        <f>HYPERLINK("https://twitter.com/CurtisJD","@CurtisJD")</f>
        <v>@CurtisJD</v>
      </c>
      <c r="C2472" s="10" t="s">
        <v>10479</v>
      </c>
      <c r="D2472" s="10" t="s">
        <v>10480</v>
      </c>
      <c r="E2472" s="9" t="str">
        <f>HYPERLINK("https://twitter.com/CurtisJD/status/1218394816486219776","1218394816486219776")</f>
        <v>1218394816486219776</v>
      </c>
      <c r="F2472" s="13"/>
      <c r="G2472" s="13"/>
      <c r="H2472" s="13"/>
      <c r="I2472" s="14">
        <v>1.0</v>
      </c>
      <c r="J2472" s="14">
        <v>0.0</v>
      </c>
      <c r="K2472" s="9" t="str">
        <f>HYPERLINK("http://twitter.com/download/iphone","Twitter for iPhone")</f>
        <v>Twitter for iPhone</v>
      </c>
      <c r="L2472" s="15">
        <v>43.0</v>
      </c>
      <c r="M2472" s="15">
        <v>650.0</v>
      </c>
      <c r="N2472" s="15">
        <v>0.0</v>
      </c>
      <c r="O2472" s="16"/>
      <c r="P2472" s="17">
        <v>43402.51483796297</v>
      </c>
      <c r="Q2472" s="10" t="s">
        <v>10481</v>
      </c>
      <c r="R2472" s="10" t="s">
        <v>10482</v>
      </c>
      <c r="S2472" s="13"/>
      <c r="T2472" s="13"/>
      <c r="U2472" s="18" t="str">
        <f>HYPERLINK("https://pbs.twimg.com/profile_images/1185015107807526912/1kx7PZTe.jpg","View")</f>
        <v>View</v>
      </c>
      <c r="V2472" s="13"/>
      <c r="W2472" s="13"/>
      <c r="X2472" s="13"/>
      <c r="Y2472" s="13"/>
      <c r="Z2472" s="13"/>
    </row>
    <row r="2473">
      <c r="A2473" s="8">
        <v>43847.98987268518</v>
      </c>
      <c r="B2473" s="9" t="str">
        <f>HYPERLINK("https://twitter.com/MEHEP4U","@MEHEP4U")</f>
        <v>@MEHEP4U</v>
      </c>
      <c r="C2473" s="10" t="s">
        <v>10483</v>
      </c>
      <c r="D2473" s="10" t="s">
        <v>10484</v>
      </c>
      <c r="E2473" s="9" t="str">
        <f>HYPERLINK("https://twitter.com/MEHEP4U/status/1218393936001105920","1218393936001105920")</f>
        <v>1218393936001105920</v>
      </c>
      <c r="F2473" s="11" t="s">
        <v>10485</v>
      </c>
      <c r="G2473" s="13"/>
      <c r="H2473" s="13"/>
      <c r="I2473" s="14">
        <v>2.0</v>
      </c>
      <c r="J2473" s="14">
        <v>4.0</v>
      </c>
      <c r="K2473" s="9" t="str">
        <f>HYPERLINK("https://mobile.twitter.com","Twitter Web App")</f>
        <v>Twitter Web App</v>
      </c>
      <c r="L2473" s="15">
        <v>25981.0</v>
      </c>
      <c r="M2473" s="15">
        <v>20627.0</v>
      </c>
      <c r="N2473" s="15">
        <v>528.0</v>
      </c>
      <c r="O2473" s="16"/>
      <c r="P2473" s="17">
        <v>40834.77239583334</v>
      </c>
      <c r="Q2473" s="10" t="s">
        <v>10486</v>
      </c>
      <c r="R2473" s="10" t="s">
        <v>10487</v>
      </c>
      <c r="S2473" s="11" t="s">
        <v>10488</v>
      </c>
      <c r="T2473" s="13"/>
      <c r="U2473" s="18" t="str">
        <f>HYPERLINK("https://pbs.twimg.com/profile_images/673932412330504192/uky69Bkh.jpg","View")</f>
        <v>View</v>
      </c>
      <c r="V2473" s="13"/>
      <c r="W2473" s="13"/>
      <c r="X2473" s="13"/>
      <c r="Y2473" s="13"/>
      <c r="Z2473" s="13"/>
    </row>
    <row r="2474">
      <c r="A2474" s="8">
        <v>43847.98971064815</v>
      </c>
      <c r="B2474" s="9" t="str">
        <f>HYPERLINK("https://twitter.com/Sarcoid_Network","@Sarcoid_Network")</f>
        <v>@Sarcoid_Network</v>
      </c>
      <c r="C2474" s="10" t="s">
        <v>10489</v>
      </c>
      <c r="D2474" s="10" t="s">
        <v>10490</v>
      </c>
      <c r="E2474" s="9" t="str">
        <f>HYPERLINK("https://twitter.com/Sarcoid_Network/status/1218393878354464771","1218393878354464771")</f>
        <v>1218393878354464771</v>
      </c>
      <c r="F2474" s="11" t="s">
        <v>10491</v>
      </c>
      <c r="G2474" s="13"/>
      <c r="H2474" s="13"/>
      <c r="I2474" s="14">
        <v>0.0</v>
      </c>
      <c r="J2474" s="14">
        <v>4.0</v>
      </c>
      <c r="K2474" s="9" t="str">
        <f>HYPERLINK("http://instagram.com","Instagram")</f>
        <v>Instagram</v>
      </c>
      <c r="L2474" s="15">
        <v>3325.0</v>
      </c>
      <c r="M2474" s="15">
        <v>2720.0</v>
      </c>
      <c r="N2474" s="15">
        <v>96.0</v>
      </c>
      <c r="O2474" s="16"/>
      <c r="P2474" s="17">
        <v>40363.77452546296</v>
      </c>
      <c r="Q2474" s="10" t="s">
        <v>10492</v>
      </c>
      <c r="R2474" s="10" t="s">
        <v>10493</v>
      </c>
      <c r="S2474" s="11" t="s">
        <v>10494</v>
      </c>
      <c r="T2474" s="13"/>
      <c r="U2474" s="18" t="str">
        <f>HYPERLINK("https://pbs.twimg.com/profile_images/1188158148546301952/ta5MDyh4.jpg","View")</f>
        <v>View</v>
      </c>
      <c r="V2474" s="13"/>
      <c r="W2474" s="13"/>
      <c r="X2474" s="13"/>
      <c r="Y2474" s="13"/>
      <c r="Z2474" s="13"/>
    </row>
    <row r="2475">
      <c r="A2475" s="8">
        <v>43847.98958333333</v>
      </c>
      <c r="B2475" s="9" t="str">
        <f>HYPERLINK("https://twitter.com/AChVoice","@AChVoice")</f>
        <v>@AChVoice</v>
      </c>
      <c r="C2475" s="10" t="s">
        <v>2684</v>
      </c>
      <c r="D2475" s="10" t="s">
        <v>10495</v>
      </c>
      <c r="E2475" s="9" t="str">
        <f>HYPERLINK("https://twitter.com/AChVoice/status/1218393830594097152","1218393830594097152")</f>
        <v>1218393830594097152</v>
      </c>
      <c r="F2475" s="11" t="s">
        <v>10496</v>
      </c>
      <c r="G2475" s="13"/>
      <c r="H2475" s="13"/>
      <c r="I2475" s="14">
        <v>2.0</v>
      </c>
      <c r="J2475" s="14">
        <v>7.0</v>
      </c>
      <c r="K2475" s="9" t="str">
        <f>HYPERLINK("https://buffer.com","Buffer")</f>
        <v>Buffer</v>
      </c>
      <c r="L2475" s="15">
        <v>14620.0</v>
      </c>
      <c r="M2475" s="15">
        <v>12834.0</v>
      </c>
      <c r="N2475" s="15">
        <v>319.0</v>
      </c>
      <c r="O2475" s="16"/>
      <c r="P2475" s="17">
        <v>42317.35851851852</v>
      </c>
      <c r="Q2475" s="10" t="s">
        <v>542</v>
      </c>
      <c r="R2475" s="10" t="s">
        <v>2687</v>
      </c>
      <c r="S2475" s="11" t="s">
        <v>2688</v>
      </c>
      <c r="T2475" s="13"/>
      <c r="U2475" s="18" t="str">
        <f>HYPERLINK("https://pbs.twimg.com/profile_images/674894894188462080/C1s9i343.jpg","View")</f>
        <v>View</v>
      </c>
      <c r="V2475" s="13"/>
      <c r="W2475" s="13"/>
      <c r="X2475" s="13"/>
      <c r="Y2475" s="13"/>
      <c r="Z2475" s="13"/>
    </row>
    <row r="2476">
      <c r="A2476" s="8">
        <v>43847.98856481482</v>
      </c>
      <c r="B2476" s="9" t="str">
        <f>HYPERLINK("https://twitter.com/Schiz0_D","@Schiz0_D")</f>
        <v>@Schiz0_D</v>
      </c>
      <c r="C2476" s="10" t="s">
        <v>10497</v>
      </c>
      <c r="D2476" s="10" t="s">
        <v>10498</v>
      </c>
      <c r="E2476" s="9" t="str">
        <f>HYPERLINK("https://twitter.com/Schiz0_D/status/1218393459624697856","1218393459624697856")</f>
        <v>1218393459624697856</v>
      </c>
      <c r="F2476" s="11" t="s">
        <v>10499</v>
      </c>
      <c r="G2476" s="13"/>
      <c r="H2476" s="13"/>
      <c r="I2476" s="14">
        <v>4.0</v>
      </c>
      <c r="J2476" s="14">
        <v>13.0</v>
      </c>
      <c r="K2476" s="9" t="str">
        <f>HYPERLINK("http://twitter.com/download/iphone","Twitter for iPhone")</f>
        <v>Twitter for iPhone</v>
      </c>
      <c r="L2476" s="15">
        <v>588.0</v>
      </c>
      <c r="M2476" s="15">
        <v>651.0</v>
      </c>
      <c r="N2476" s="15">
        <v>2.0</v>
      </c>
      <c r="O2476" s="16"/>
      <c r="P2476" s="17">
        <v>43306.67741898148</v>
      </c>
      <c r="Q2476" s="13"/>
      <c r="R2476" s="10" t="s">
        <v>10500</v>
      </c>
      <c r="S2476" s="11" t="s">
        <v>10501</v>
      </c>
      <c r="T2476" s="13"/>
      <c r="U2476" s="18" t="str">
        <f>HYPERLINK("https://pbs.twimg.com/profile_images/1150189909820551169/TskEABLc.jpg","View")</f>
        <v>View</v>
      </c>
      <c r="V2476" s="13"/>
      <c r="W2476" s="13"/>
      <c r="X2476" s="13"/>
      <c r="Y2476" s="13"/>
      <c r="Z2476" s="13"/>
    </row>
    <row r="2477">
      <c r="A2477" s="8">
        <v>43847.98701388889</v>
      </c>
      <c r="B2477" s="9" t="str">
        <f>HYPERLINK("https://twitter.com/grouptherapy33","@grouptherapy33")</f>
        <v>@grouptherapy33</v>
      </c>
      <c r="C2477" s="10" t="s">
        <v>831</v>
      </c>
      <c r="D2477" s="10" t="s">
        <v>10502</v>
      </c>
      <c r="E2477" s="9" t="str">
        <f>HYPERLINK("https://twitter.com/grouptherapy33/status/1218392900696006656","1218392900696006656")</f>
        <v>1218392900696006656</v>
      </c>
      <c r="F2477" s="13"/>
      <c r="G2477" s="13"/>
      <c r="H2477" s="13"/>
      <c r="I2477" s="14">
        <v>0.0</v>
      </c>
      <c r="J2477" s="14">
        <v>0.0</v>
      </c>
      <c r="K2477" s="9" t="str">
        <f>HYPERLINK("http://www.DynamicTweets.com","Dynamic Tweets")</f>
        <v>Dynamic Tweets</v>
      </c>
      <c r="L2477" s="15">
        <v>4053.0</v>
      </c>
      <c r="M2477" s="15">
        <v>3517.0</v>
      </c>
      <c r="N2477" s="15">
        <v>74.0</v>
      </c>
      <c r="O2477" s="16"/>
      <c r="P2477" s="17">
        <v>42375.45542824074</v>
      </c>
      <c r="Q2477" s="13"/>
      <c r="R2477" s="13"/>
      <c r="S2477" s="11" t="s">
        <v>833</v>
      </c>
      <c r="T2477" s="13"/>
      <c r="U2477" s="18" t="str">
        <f>HYPERLINK("https://pbs.twimg.com/profile_images/773354507157671941/wE10yy8j.jpg","View")</f>
        <v>View</v>
      </c>
      <c r="V2477" s="13"/>
      <c r="W2477" s="13"/>
      <c r="X2477" s="13"/>
      <c r="Y2477" s="13"/>
      <c r="Z2477" s="13"/>
    </row>
    <row r="2478">
      <c r="A2478" s="8">
        <v>43847.98701388889</v>
      </c>
      <c r="B2478" s="9" t="str">
        <f>HYPERLINK("https://twitter.com/LikeOneAnother","@LikeOneAnother")</f>
        <v>@LikeOneAnother</v>
      </c>
      <c r="C2478" s="10" t="s">
        <v>5803</v>
      </c>
      <c r="D2478" s="10" t="s">
        <v>10503</v>
      </c>
      <c r="E2478" s="9" t="str">
        <f>HYPERLINK("https://twitter.com/LikeOneAnother/status/1218392898053513216","1218392898053513216")</f>
        <v>1218392898053513216</v>
      </c>
      <c r="F2478" s="13"/>
      <c r="G2478" s="11" t="s">
        <v>10504</v>
      </c>
      <c r="H2478" s="13"/>
      <c r="I2478" s="14">
        <v>0.0</v>
      </c>
      <c r="J2478" s="14">
        <v>0.0</v>
      </c>
      <c r="K2478" s="9" t="str">
        <f>HYPERLINK("https://sproutsocial.com","Sprout Social")</f>
        <v>Sprout Social</v>
      </c>
      <c r="L2478" s="15">
        <v>394.0</v>
      </c>
      <c r="M2478" s="15">
        <v>233.0</v>
      </c>
      <c r="N2478" s="15">
        <v>1.0</v>
      </c>
      <c r="O2478" s="16"/>
      <c r="P2478" s="17">
        <v>43174.759004629625</v>
      </c>
      <c r="Q2478" s="13"/>
      <c r="R2478" s="10" t="s">
        <v>5806</v>
      </c>
      <c r="S2478" s="11" t="s">
        <v>5807</v>
      </c>
      <c r="T2478" s="13"/>
      <c r="U2478" s="18" t="str">
        <f>HYPERLINK("https://pbs.twimg.com/profile_images/1037701028727205888/TLzjICQx.jpg","View")</f>
        <v>View</v>
      </c>
      <c r="V2478" s="13"/>
      <c r="W2478" s="13"/>
      <c r="X2478" s="13"/>
      <c r="Y2478" s="13"/>
      <c r="Z2478" s="13"/>
    </row>
    <row r="2479">
      <c r="A2479" s="8">
        <v>43847.985925925925</v>
      </c>
      <c r="B2479" s="9" t="str">
        <f>HYPERLINK("https://twitter.com/Michelle_Ashen","@Michelle_Ashen")</f>
        <v>@Michelle_Ashen</v>
      </c>
      <c r="C2479" s="10" t="s">
        <v>10505</v>
      </c>
      <c r="D2479" s="10" t="s">
        <v>10506</v>
      </c>
      <c r="E2479" s="9" t="str">
        <f>HYPERLINK("https://twitter.com/Michelle_Ashen/status/1218392505126998017","1218392505126998017")</f>
        <v>1218392505126998017</v>
      </c>
      <c r="F2479" s="13"/>
      <c r="G2479" s="11" t="s">
        <v>10507</v>
      </c>
      <c r="H2479" s="13"/>
      <c r="I2479" s="14">
        <v>0.0</v>
      </c>
      <c r="J2479" s="14">
        <v>7.0</v>
      </c>
      <c r="K2479" s="9" t="str">
        <f>HYPERLINK("http://twitter.com/download/iphone","Twitter for iPhone")</f>
        <v>Twitter for iPhone</v>
      </c>
      <c r="L2479" s="15">
        <v>1060.0</v>
      </c>
      <c r="M2479" s="15">
        <v>1952.0</v>
      </c>
      <c r="N2479" s="15">
        <v>26.0</v>
      </c>
      <c r="O2479" s="16"/>
      <c r="P2479" s="17">
        <v>40403.59637731481</v>
      </c>
      <c r="Q2479" s="10" t="s">
        <v>10508</v>
      </c>
      <c r="R2479" s="10" t="s">
        <v>10509</v>
      </c>
      <c r="S2479" s="11" t="s">
        <v>10510</v>
      </c>
      <c r="T2479" s="13"/>
      <c r="U2479" s="18" t="str">
        <f>HYPERLINK("https://pbs.twimg.com/profile_images/1217123572554108928/SA3klFVb.jpg","View")</f>
        <v>View</v>
      </c>
      <c r="V2479" s="13"/>
      <c r="W2479" s="13"/>
      <c r="X2479" s="13"/>
      <c r="Y2479" s="13"/>
      <c r="Z2479" s="13"/>
    </row>
    <row r="2480">
      <c r="A2480" s="8">
        <v>43847.98583333333</v>
      </c>
      <c r="B2480" s="9" t="str">
        <f>HYPERLINK("https://twitter.com/ElizAKByrd","@ElizAKByrd")</f>
        <v>@ElizAKByrd</v>
      </c>
      <c r="C2480" s="10" t="s">
        <v>10511</v>
      </c>
      <c r="D2480" s="10" t="s">
        <v>238</v>
      </c>
      <c r="E2480" s="9" t="str">
        <f>HYPERLINK("https://twitter.com/ElizAKByrd/status/1218392473074049024","1218392473074049024")</f>
        <v>1218392473074049024</v>
      </c>
      <c r="F2480" s="13"/>
      <c r="G2480" s="13"/>
      <c r="H2480" s="13"/>
      <c r="I2480" s="14">
        <v>1.0</v>
      </c>
      <c r="J2480" s="14">
        <v>0.0</v>
      </c>
      <c r="K2480" s="9" t="str">
        <f>HYPERLINK("http://twitter.com/download/android","Twitter for Android")</f>
        <v>Twitter for Android</v>
      </c>
      <c r="L2480" s="15">
        <v>39471.0</v>
      </c>
      <c r="M2480" s="15">
        <v>41732.0</v>
      </c>
      <c r="N2480" s="15">
        <v>12.0</v>
      </c>
      <c r="O2480" s="16"/>
      <c r="P2480" s="17">
        <v>42679.50659722222</v>
      </c>
      <c r="Q2480" s="10" t="s">
        <v>10512</v>
      </c>
      <c r="R2480" s="10" t="s">
        <v>10513</v>
      </c>
      <c r="S2480" s="13"/>
      <c r="T2480" s="13"/>
      <c r="U2480" s="18" t="str">
        <f>HYPERLINK("https://pbs.twimg.com/profile_images/1215879036326629377/Pd7rZIcj.jpg","View")</f>
        <v>View</v>
      </c>
      <c r="V2480" s="13"/>
      <c r="W2480" s="13"/>
      <c r="X2480" s="13"/>
      <c r="Y2480" s="13"/>
      <c r="Z2480" s="13"/>
    </row>
    <row r="2481">
      <c r="A2481" s="8">
        <v>43847.98511574074</v>
      </c>
      <c r="B2481" s="9" t="str">
        <f>HYPERLINK("https://twitter.com/itismystory2019","@itismystory2019")</f>
        <v>@itismystory2019</v>
      </c>
      <c r="C2481" s="10" t="s">
        <v>10514</v>
      </c>
      <c r="D2481" s="10" t="s">
        <v>10515</v>
      </c>
      <c r="E2481" s="9" t="str">
        <f>HYPERLINK("https://twitter.com/itismystory2019/status/1218392209709588485","1218392209709588485")</f>
        <v>1218392209709588485</v>
      </c>
      <c r="F2481" s="10" t="s">
        <v>10516</v>
      </c>
      <c r="G2481" s="13"/>
      <c r="H2481" s="13"/>
      <c r="I2481" s="14">
        <v>4.0</v>
      </c>
      <c r="J2481" s="14">
        <v>8.0</v>
      </c>
      <c r="K2481" s="9" t="str">
        <f>HYPERLINK("http://twitter.com/download/iphone","Twitter for iPhone")</f>
        <v>Twitter for iPhone</v>
      </c>
      <c r="L2481" s="15">
        <v>53.0</v>
      </c>
      <c r="M2481" s="15">
        <v>67.0</v>
      </c>
      <c r="N2481" s="15">
        <v>0.0</v>
      </c>
      <c r="O2481" s="16"/>
      <c r="P2481" s="17">
        <v>43683.588217592594</v>
      </c>
      <c r="Q2481" s="13"/>
      <c r="R2481" s="10" t="s">
        <v>10517</v>
      </c>
      <c r="S2481" s="11" t="s">
        <v>10518</v>
      </c>
      <c r="T2481" s="13"/>
      <c r="U2481" s="18" t="str">
        <f>HYPERLINK("https://pbs.twimg.com/profile_images/1158802144365088773/SjU1KNq9.jpg","View")</f>
        <v>View</v>
      </c>
      <c r="V2481" s="13"/>
      <c r="W2481" s="13"/>
      <c r="X2481" s="13"/>
      <c r="Y2481" s="13"/>
      <c r="Z2481" s="13"/>
    </row>
    <row r="2482">
      <c r="A2482" s="8">
        <v>43847.98510416667</v>
      </c>
      <c r="B2482" s="9" t="str">
        <f>HYPERLINK("https://twitter.com/Jaggy123Anant","@Jaggy123Anant")</f>
        <v>@Jaggy123Anant</v>
      </c>
      <c r="C2482" s="10" t="s">
        <v>10519</v>
      </c>
      <c r="D2482" s="10" t="s">
        <v>238</v>
      </c>
      <c r="E2482" s="9" t="str">
        <f>HYPERLINK("https://twitter.com/Jaggy123Anant/status/1218392207306047489","1218392207306047489")</f>
        <v>1218392207306047489</v>
      </c>
      <c r="F2482" s="13"/>
      <c r="G2482" s="13"/>
      <c r="H2482" s="13"/>
      <c r="I2482" s="14">
        <v>0.0</v>
      </c>
      <c r="J2482" s="14">
        <v>0.0</v>
      </c>
      <c r="K2482" s="9" t="str">
        <f t="shared" ref="K2482:K2483" si="325">HYPERLINK("https://mobile.twitter.com","Twitter Web App")</f>
        <v>Twitter Web App</v>
      </c>
      <c r="L2482" s="15">
        <v>22.0</v>
      </c>
      <c r="M2482" s="15">
        <v>247.0</v>
      </c>
      <c r="N2482" s="15">
        <v>0.0</v>
      </c>
      <c r="O2482" s="16"/>
      <c r="P2482" s="17">
        <v>42853.23572916667</v>
      </c>
      <c r="Q2482" s="10" t="s">
        <v>10520</v>
      </c>
      <c r="R2482" s="13"/>
      <c r="S2482" s="13"/>
      <c r="T2482" s="13"/>
      <c r="U2482" s="18" t="str">
        <f>HYPERLINK("https://pbs.twimg.com/profile_images/1217824712719384577/fLX1_S1D.jpg","View")</f>
        <v>View</v>
      </c>
      <c r="V2482" s="13"/>
      <c r="W2482" s="13"/>
      <c r="X2482" s="13"/>
      <c r="Y2482" s="13"/>
      <c r="Z2482" s="13"/>
    </row>
    <row r="2483">
      <c r="A2483" s="8">
        <v>43847.98486111111</v>
      </c>
      <c r="B2483" s="9" t="str">
        <f>HYPERLINK("https://twitter.com/FFromDistress","@FFromDistress")</f>
        <v>@FFromDistress</v>
      </c>
      <c r="C2483" s="10" t="s">
        <v>10521</v>
      </c>
      <c r="D2483" s="10" t="s">
        <v>10522</v>
      </c>
      <c r="E2483" s="9" t="str">
        <f>HYPERLINK("https://twitter.com/FFromDistress/status/1218392118860881921","1218392118860881921")</f>
        <v>1218392118860881921</v>
      </c>
      <c r="F2483" s="13"/>
      <c r="G2483" s="13"/>
      <c r="H2483" s="13"/>
      <c r="I2483" s="14">
        <v>0.0</v>
      </c>
      <c r="J2483" s="14">
        <v>1.0</v>
      </c>
      <c r="K2483" s="9" t="str">
        <f t="shared" si="325"/>
        <v>Twitter Web App</v>
      </c>
      <c r="L2483" s="15">
        <v>140.0</v>
      </c>
      <c r="M2483" s="15">
        <v>298.0</v>
      </c>
      <c r="N2483" s="15">
        <v>0.0</v>
      </c>
      <c r="O2483" s="16"/>
      <c r="P2483" s="17">
        <v>43790.41631944444</v>
      </c>
      <c r="Q2483" s="10" t="s">
        <v>10523</v>
      </c>
      <c r="R2483" s="10" t="s">
        <v>10524</v>
      </c>
      <c r="S2483" s="11" t="s">
        <v>10525</v>
      </c>
      <c r="T2483" s="13"/>
      <c r="U2483" s="18" t="str">
        <f>HYPERLINK("https://pbs.twimg.com/profile_images/1208130041919557634/eBPqlnz2.jpg","View")</f>
        <v>View</v>
      </c>
      <c r="V2483" s="13"/>
      <c r="W2483" s="13"/>
      <c r="X2483" s="13"/>
      <c r="Y2483" s="13"/>
      <c r="Z2483" s="13"/>
    </row>
    <row r="2484">
      <c r="A2484" s="8">
        <v>43847.98217592592</v>
      </c>
      <c r="B2484" s="9" t="str">
        <f>HYPERLINK("https://twitter.com/GSDUK","@GSDUK")</f>
        <v>@GSDUK</v>
      </c>
      <c r="C2484" s="10" t="s">
        <v>3108</v>
      </c>
      <c r="D2484" s="10" t="s">
        <v>238</v>
      </c>
      <c r="E2484" s="9" t="str">
        <f>HYPERLINK("https://twitter.com/GSDUK/status/1218391144247300096","1218391144247300096")</f>
        <v>1218391144247300096</v>
      </c>
      <c r="F2484" s="13"/>
      <c r="G2484" s="13"/>
      <c r="H2484" s="13"/>
      <c r="I2484" s="14">
        <v>0.0</v>
      </c>
      <c r="J2484" s="14">
        <v>0.0</v>
      </c>
      <c r="K2484" s="9" t="str">
        <f>HYPERLINK("http://twitter.com/download/iphone","Twitter for iPhone")</f>
        <v>Twitter for iPhone</v>
      </c>
      <c r="L2484" s="15">
        <v>370.0</v>
      </c>
      <c r="M2484" s="15">
        <v>342.0</v>
      </c>
      <c r="N2484" s="15">
        <v>19.0</v>
      </c>
      <c r="O2484" s="16"/>
      <c r="P2484" s="17">
        <v>40399.742118055554</v>
      </c>
      <c r="Q2484" s="10" t="s">
        <v>10526</v>
      </c>
      <c r="R2484" s="10" t="s">
        <v>10527</v>
      </c>
      <c r="S2484" s="13"/>
      <c r="T2484" s="13"/>
      <c r="U2484" s="18" t="str">
        <f>HYPERLINK("https://pbs.twimg.com/profile_images/1026183427643592704/AL9ZxZEv.jpg","View")</f>
        <v>View</v>
      </c>
      <c r="V2484" s="13"/>
      <c r="W2484" s="13"/>
      <c r="X2484" s="13"/>
      <c r="Y2484" s="13"/>
      <c r="Z2484" s="13"/>
    </row>
    <row r="2485">
      <c r="A2485" s="8">
        <v>43847.98190972222</v>
      </c>
      <c r="B2485" s="9" t="str">
        <f>HYPERLINK("https://twitter.com/guiltyx","@guiltyx")</f>
        <v>@guiltyx</v>
      </c>
      <c r="C2485" s="10" t="s">
        <v>10528</v>
      </c>
      <c r="D2485" s="10" t="s">
        <v>10529</v>
      </c>
      <c r="E2485" s="9" t="str">
        <f>HYPERLINK("https://twitter.com/guiltyx/status/1218391049124511745","1218391049124511745")</f>
        <v>1218391049124511745</v>
      </c>
      <c r="F2485" s="13"/>
      <c r="G2485" s="11" t="s">
        <v>10530</v>
      </c>
      <c r="H2485" s="13"/>
      <c r="I2485" s="14">
        <v>0.0</v>
      </c>
      <c r="J2485" s="14">
        <v>2.0</v>
      </c>
      <c r="K2485" s="9" t="str">
        <f>HYPERLINK("http://twitter.com/download/android","Twitter for Android")</f>
        <v>Twitter for Android</v>
      </c>
      <c r="L2485" s="15">
        <v>1974.0</v>
      </c>
      <c r="M2485" s="15">
        <v>723.0</v>
      </c>
      <c r="N2485" s="15">
        <v>139.0</v>
      </c>
      <c r="O2485" s="16"/>
      <c r="P2485" s="17">
        <v>39686.061747685184</v>
      </c>
      <c r="Q2485" s="10" t="s">
        <v>10531</v>
      </c>
      <c r="R2485" s="10" t="s">
        <v>10532</v>
      </c>
      <c r="S2485" s="11" t="s">
        <v>10533</v>
      </c>
      <c r="T2485" s="13"/>
      <c r="U2485" s="18" t="str">
        <f>HYPERLINK("https://pbs.twimg.com/profile_images/1153533353166925824/ltlAC-Vg.jpg","View")</f>
        <v>View</v>
      </c>
      <c r="V2485" s="13"/>
      <c r="W2485" s="13"/>
      <c r="X2485" s="13"/>
      <c r="Y2485" s="13"/>
      <c r="Z2485" s="13"/>
    </row>
    <row r="2486">
      <c r="A2486" s="8">
        <v>43847.9816087963</v>
      </c>
      <c r="B2486" s="9" t="str">
        <f>HYPERLINK("https://twitter.com/Mentalhealth991","@Mentalhealth991")</f>
        <v>@Mentalhealth991</v>
      </c>
      <c r="C2486" s="10" t="s">
        <v>10534</v>
      </c>
      <c r="D2486" s="10" t="s">
        <v>10535</v>
      </c>
      <c r="E2486" s="9" t="str">
        <f>HYPERLINK("https://twitter.com/Mentalhealth991/status/1218390942270443521","1218390942270443521")</f>
        <v>1218390942270443521</v>
      </c>
      <c r="F2486" s="11" t="s">
        <v>10536</v>
      </c>
      <c r="G2486" s="11" t="s">
        <v>10537</v>
      </c>
      <c r="H2486" s="13"/>
      <c r="I2486" s="14">
        <v>1.0</v>
      </c>
      <c r="J2486" s="14">
        <v>0.0</v>
      </c>
      <c r="K2486" s="9" t="str">
        <f>HYPERLINK("https://mobile.twitter.com","Twitter Web App")</f>
        <v>Twitter Web App</v>
      </c>
      <c r="L2486" s="15">
        <v>31.0</v>
      </c>
      <c r="M2486" s="15">
        <v>339.0</v>
      </c>
      <c r="N2486" s="15">
        <v>0.0</v>
      </c>
      <c r="O2486" s="16"/>
      <c r="P2486" s="17">
        <v>43736.20180555555</v>
      </c>
      <c r="Q2486" s="10" t="s">
        <v>10538</v>
      </c>
      <c r="R2486" s="10" t="s">
        <v>10539</v>
      </c>
      <c r="S2486" s="11" t="s">
        <v>10540</v>
      </c>
      <c r="T2486" s="13"/>
      <c r="U2486" s="18" t="str">
        <f>HYPERLINK("https://pbs.twimg.com/profile_images/1179756875140591616/2KPuHGKm.jpg","View")</f>
        <v>View</v>
      </c>
      <c r="V2486" s="13"/>
      <c r="W2486" s="13"/>
      <c r="X2486" s="13"/>
      <c r="Y2486" s="13"/>
      <c r="Z2486" s="13"/>
    </row>
    <row r="2487">
      <c r="A2487" s="8">
        <v>43847.981099537035</v>
      </c>
      <c r="B2487" s="9" t="str">
        <f>HYPERLINK("https://twitter.com/Azizms83","@Azizms83")</f>
        <v>@Azizms83</v>
      </c>
      <c r="C2487" s="10" t="s">
        <v>10541</v>
      </c>
      <c r="D2487" s="10" t="s">
        <v>238</v>
      </c>
      <c r="E2487" s="9" t="str">
        <f>HYPERLINK("https://twitter.com/Azizms83/status/1218390754340622337","1218390754340622337")</f>
        <v>1218390754340622337</v>
      </c>
      <c r="F2487" s="13"/>
      <c r="G2487" s="13"/>
      <c r="H2487" s="13"/>
      <c r="I2487" s="14">
        <v>0.0</v>
      </c>
      <c r="J2487" s="14">
        <v>0.0</v>
      </c>
      <c r="K2487" s="9" t="str">
        <f>HYPERLINK("http://twitter.com/download/iphone","Twitter for iPhone")</f>
        <v>Twitter for iPhone</v>
      </c>
      <c r="L2487" s="15">
        <v>94.0</v>
      </c>
      <c r="M2487" s="15">
        <v>101.0</v>
      </c>
      <c r="N2487" s="15">
        <v>0.0</v>
      </c>
      <c r="O2487" s="16"/>
      <c r="P2487" s="17">
        <v>40172.722453703704</v>
      </c>
      <c r="Q2487" s="10" t="s">
        <v>10542</v>
      </c>
      <c r="R2487" s="10" t="s">
        <v>10543</v>
      </c>
      <c r="S2487" s="13"/>
      <c r="T2487" s="13"/>
      <c r="U2487" s="18" t="str">
        <f>HYPERLINK("https://pbs.twimg.com/profile_images/565283826952577026/ybZy9isJ.jpeg","View")</f>
        <v>View</v>
      </c>
      <c r="V2487" s="13"/>
      <c r="W2487" s="13"/>
      <c r="X2487" s="13"/>
      <c r="Y2487" s="13"/>
      <c r="Z2487" s="13"/>
    </row>
    <row r="2488">
      <c r="A2488" s="8">
        <v>43847.98069444444</v>
      </c>
      <c r="B2488" s="9" t="str">
        <f>HYPERLINK("https://twitter.com/aesportsstar","@aesportsstar")</f>
        <v>@aesportsstar</v>
      </c>
      <c r="C2488" s="10" t="s">
        <v>10544</v>
      </c>
      <c r="D2488" s="10" t="s">
        <v>10545</v>
      </c>
      <c r="E2488" s="9" t="str">
        <f>HYPERLINK("https://twitter.com/aesportsstar/status/1218390607984386048","1218390607984386048")</f>
        <v>1218390607984386048</v>
      </c>
      <c r="F2488" s="11" t="s">
        <v>10546</v>
      </c>
      <c r="G2488" s="13"/>
      <c r="H2488" s="13"/>
      <c r="I2488" s="14">
        <v>1.0</v>
      </c>
      <c r="J2488" s="14">
        <v>1.0</v>
      </c>
      <c r="K2488" s="9" t="str">
        <f>HYPERLINK("http://twitter.com/download/android","Twitter for Android")</f>
        <v>Twitter for Android</v>
      </c>
      <c r="L2488" s="15">
        <v>1291.0</v>
      </c>
      <c r="M2488" s="15">
        <v>1449.0</v>
      </c>
      <c r="N2488" s="15">
        <v>57.0</v>
      </c>
      <c r="O2488" s="16"/>
      <c r="P2488" s="17">
        <v>41160.8134375</v>
      </c>
      <c r="Q2488" s="10" t="s">
        <v>10547</v>
      </c>
      <c r="R2488" s="10" t="s">
        <v>10548</v>
      </c>
      <c r="S2488" s="11" t="s">
        <v>10549</v>
      </c>
      <c r="T2488" s="13"/>
      <c r="U2488" s="18" t="str">
        <f>HYPERLINK("https://pbs.twimg.com/profile_images/658856555245236224/MBAE6QCK.png","View")</f>
        <v>View</v>
      </c>
      <c r="V2488" s="13"/>
      <c r="W2488" s="13"/>
      <c r="X2488" s="13"/>
      <c r="Y2488" s="13"/>
      <c r="Z2488" s="13"/>
    </row>
    <row r="2489">
      <c r="A2489" s="8">
        <v>43847.98006944444</v>
      </c>
      <c r="B2489" s="9" t="str">
        <f>HYPERLINK("https://twitter.com/MikeVeny","@MikeVeny")</f>
        <v>@MikeVeny</v>
      </c>
      <c r="C2489" s="10" t="s">
        <v>10550</v>
      </c>
      <c r="D2489" s="10" t="s">
        <v>10551</v>
      </c>
      <c r="E2489" s="9" t="str">
        <f>HYPERLINK("https://twitter.com/MikeVeny/status/1218390383773863938","1218390383773863938")</f>
        <v>1218390383773863938</v>
      </c>
      <c r="F2489" s="11" t="s">
        <v>10552</v>
      </c>
      <c r="G2489" s="13"/>
      <c r="H2489" s="13"/>
      <c r="I2489" s="14">
        <v>0.0</v>
      </c>
      <c r="J2489" s="14">
        <v>0.0</v>
      </c>
      <c r="K2489" s="9" t="str">
        <f>HYPERLINK("https://sproutsocial.com","Sprout Social")</f>
        <v>Sprout Social</v>
      </c>
      <c r="L2489" s="15">
        <v>12115.0</v>
      </c>
      <c r="M2489" s="15">
        <v>140.0</v>
      </c>
      <c r="N2489" s="15">
        <v>270.0</v>
      </c>
      <c r="O2489" s="16"/>
      <c r="P2489" s="17">
        <v>39874.78292824074</v>
      </c>
      <c r="Q2489" s="10" t="s">
        <v>3998</v>
      </c>
      <c r="R2489" s="10" t="s">
        <v>10553</v>
      </c>
      <c r="S2489" s="11" t="s">
        <v>10554</v>
      </c>
      <c r="T2489" s="13"/>
      <c r="U2489" s="18" t="str">
        <f>HYPERLINK("https://pbs.twimg.com/profile_images/1192131894051250176/kVFAvhUQ.jpg","View")</f>
        <v>View</v>
      </c>
      <c r="V2489" s="13"/>
      <c r="W2489" s="13"/>
      <c r="X2489" s="13"/>
      <c r="Y2489" s="13"/>
      <c r="Z2489" s="13"/>
    </row>
    <row r="2490">
      <c r="A2490" s="8">
        <v>43847.97916666667</v>
      </c>
      <c r="B2490" s="9" t="str">
        <f>HYPERLINK("https://twitter.com/MailMyStatement","@MailMyStatement")</f>
        <v>@MailMyStatement</v>
      </c>
      <c r="C2490" s="10" t="s">
        <v>10555</v>
      </c>
      <c r="D2490" s="10" t="s">
        <v>10556</v>
      </c>
      <c r="E2490" s="9" t="str">
        <f>HYPERLINK("https://twitter.com/MailMyStatement/status/1218390057171681280","1218390057171681280")</f>
        <v>1218390057171681280</v>
      </c>
      <c r="F2490" s="11" t="s">
        <v>10557</v>
      </c>
      <c r="G2490" s="13"/>
      <c r="H2490" s="13"/>
      <c r="I2490" s="14">
        <v>0.0</v>
      </c>
      <c r="J2490" s="14">
        <v>0.0</v>
      </c>
      <c r="K2490" s="9" t="str">
        <f>HYPERLINK("https://eclincher.com","eClincher")</f>
        <v>eClincher</v>
      </c>
      <c r="L2490" s="15">
        <v>5963.0</v>
      </c>
      <c r="M2490" s="15">
        <v>4930.0</v>
      </c>
      <c r="N2490" s="15">
        <v>136.0</v>
      </c>
      <c r="O2490" s="16"/>
      <c r="P2490" s="17">
        <v>41548.875706018516</v>
      </c>
      <c r="Q2490" s="10" t="s">
        <v>7319</v>
      </c>
      <c r="R2490" s="10" t="s">
        <v>10558</v>
      </c>
      <c r="S2490" s="11" t="s">
        <v>10559</v>
      </c>
      <c r="T2490" s="13"/>
      <c r="U2490" s="18" t="str">
        <f>HYPERLINK("https://pbs.twimg.com/profile_images/1215596993936023553/8abx62LG.jpg","View")</f>
        <v>View</v>
      </c>
      <c r="V2490" s="13"/>
      <c r="W2490" s="13"/>
      <c r="X2490" s="13"/>
      <c r="Y2490" s="13"/>
      <c r="Z2490" s="13"/>
    </row>
    <row r="2491">
      <c r="A2491" s="8">
        <v>43847.97916666667</v>
      </c>
      <c r="B2491" s="9" t="str">
        <f>HYPERLINK("https://twitter.com/Ahanahospitals","@Ahanahospitals")</f>
        <v>@Ahanahospitals</v>
      </c>
      <c r="C2491" s="10" t="s">
        <v>10560</v>
      </c>
      <c r="D2491" s="10" t="s">
        <v>10561</v>
      </c>
      <c r="E2491" s="9" t="str">
        <f>HYPERLINK("https://twitter.com/Ahanahospitals/status/1218390054680305664","1218390054680305664")</f>
        <v>1218390054680305664</v>
      </c>
      <c r="F2491" s="13"/>
      <c r="G2491" s="11" t="s">
        <v>10562</v>
      </c>
      <c r="H2491" s="13"/>
      <c r="I2491" s="14">
        <v>0.0</v>
      </c>
      <c r="J2491" s="14">
        <v>0.0</v>
      </c>
      <c r="K2491" s="9" t="str">
        <f>HYPERLINK("https://about.twitter.com/products/tweetdeck","TweetDeck")</f>
        <v>TweetDeck</v>
      </c>
      <c r="L2491" s="15">
        <v>141.0</v>
      </c>
      <c r="M2491" s="15">
        <v>101.0</v>
      </c>
      <c r="N2491" s="15">
        <v>12.0</v>
      </c>
      <c r="O2491" s="16"/>
      <c r="P2491" s="17">
        <v>42409.320497685185</v>
      </c>
      <c r="Q2491" s="10" t="s">
        <v>10563</v>
      </c>
      <c r="R2491" s="10" t="s">
        <v>10564</v>
      </c>
      <c r="S2491" s="11" t="s">
        <v>10565</v>
      </c>
      <c r="T2491" s="13"/>
      <c r="U2491" s="18" t="str">
        <f>HYPERLINK("https://pbs.twimg.com/profile_images/722761338087313408/P34guYQQ.jpg","View")</f>
        <v>View</v>
      </c>
      <c r="V2491" s="13"/>
      <c r="W2491" s="13"/>
      <c r="X2491" s="13"/>
      <c r="Y2491" s="13"/>
      <c r="Z2491" s="13"/>
    </row>
    <row r="2492">
      <c r="A2492" s="8">
        <v>43847.97858796296</v>
      </c>
      <c r="B2492" s="9" t="str">
        <f>HYPERLINK("https://twitter.com/billyhad","@billyhad")</f>
        <v>@billyhad</v>
      </c>
      <c r="C2492" s="10" t="s">
        <v>10566</v>
      </c>
      <c r="D2492" s="10" t="s">
        <v>238</v>
      </c>
      <c r="E2492" s="9" t="str">
        <f>HYPERLINK("https://twitter.com/billyhad/status/1218389844776239104","1218389844776239104")</f>
        <v>1218389844776239104</v>
      </c>
      <c r="F2492" s="13"/>
      <c r="G2492" s="13"/>
      <c r="H2492" s="13"/>
      <c r="I2492" s="14">
        <v>0.0</v>
      </c>
      <c r="J2492" s="14">
        <v>3.0</v>
      </c>
      <c r="K2492" s="9" t="str">
        <f t="shared" ref="K2492:K2493" si="326">HYPERLINK("http://twitter.com/download/android","Twitter for Android")</f>
        <v>Twitter for Android</v>
      </c>
      <c r="L2492" s="15">
        <v>624.0</v>
      </c>
      <c r="M2492" s="15">
        <v>391.0</v>
      </c>
      <c r="N2492" s="15">
        <v>0.0</v>
      </c>
      <c r="O2492" s="16"/>
      <c r="P2492" s="17">
        <v>40923.74185185185</v>
      </c>
      <c r="Q2492" s="10" t="s">
        <v>1175</v>
      </c>
      <c r="R2492" s="10" t="s">
        <v>10567</v>
      </c>
      <c r="S2492" s="13"/>
      <c r="T2492" s="13"/>
      <c r="U2492" s="18" t="str">
        <f>HYPERLINK("https://pbs.twimg.com/profile_images/1213692977593217025/hhg6FZV-.jpg","View")</f>
        <v>View</v>
      </c>
      <c r="V2492" s="13"/>
      <c r="W2492" s="13"/>
      <c r="X2492" s="13"/>
      <c r="Y2492" s="13"/>
      <c r="Z2492" s="13"/>
    </row>
    <row r="2493">
      <c r="A2493" s="8">
        <v>43847.9781712963</v>
      </c>
      <c r="B2493" s="9" t="str">
        <f>HYPERLINK("https://twitter.com/Albertocg63","@Albertocg63")</f>
        <v>@Albertocg63</v>
      </c>
      <c r="C2493" s="10" t="s">
        <v>10568</v>
      </c>
      <c r="D2493" s="10" t="s">
        <v>238</v>
      </c>
      <c r="E2493" s="9" t="str">
        <f>HYPERLINK("https://twitter.com/Albertocg63/status/1218389692875530242","1218389692875530242")</f>
        <v>1218389692875530242</v>
      </c>
      <c r="F2493" s="13"/>
      <c r="G2493" s="13"/>
      <c r="H2493" s="13"/>
      <c r="I2493" s="14">
        <v>0.0</v>
      </c>
      <c r="J2493" s="14">
        <v>0.0</v>
      </c>
      <c r="K2493" s="9" t="str">
        <f t="shared" si="326"/>
        <v>Twitter for Android</v>
      </c>
      <c r="L2493" s="15">
        <v>68.0</v>
      </c>
      <c r="M2493" s="15">
        <v>477.0</v>
      </c>
      <c r="N2493" s="15">
        <v>0.0</v>
      </c>
      <c r="O2493" s="16"/>
      <c r="P2493" s="17">
        <v>43333.90760416667</v>
      </c>
      <c r="Q2493" s="10" t="s">
        <v>10569</v>
      </c>
      <c r="R2493" s="10" t="s">
        <v>10570</v>
      </c>
      <c r="S2493" s="13"/>
      <c r="T2493" s="13"/>
      <c r="U2493" s="18" t="str">
        <f>HYPERLINK("https://pbs.twimg.com/profile_images/1127375341230731264/6k-vuiBI.jpg","View")</f>
        <v>View</v>
      </c>
      <c r="V2493" s="13"/>
      <c r="W2493" s="13"/>
      <c r="X2493" s="13"/>
      <c r="Y2493" s="13"/>
      <c r="Z2493" s="13"/>
    </row>
    <row r="2494">
      <c r="A2494" s="8">
        <v>43847.9778125</v>
      </c>
      <c r="B2494" s="9" t="str">
        <f>HYPERLINK("https://twitter.com/seemakh89125928","@seemakh89125928")</f>
        <v>@seemakh89125928</v>
      </c>
      <c r="C2494" s="10" t="s">
        <v>10571</v>
      </c>
      <c r="D2494" s="10" t="s">
        <v>10572</v>
      </c>
      <c r="E2494" s="9" t="str">
        <f>HYPERLINK("https://twitter.com/seemakh89125928/status/1218389566895218688","1218389566895218688")</f>
        <v>1218389566895218688</v>
      </c>
      <c r="F2494" s="11" t="s">
        <v>10573</v>
      </c>
      <c r="G2494" s="13"/>
      <c r="H2494" s="13"/>
      <c r="I2494" s="14">
        <v>0.0</v>
      </c>
      <c r="J2494" s="14">
        <v>0.0</v>
      </c>
      <c r="K2494" s="9" t="str">
        <f t="shared" ref="K2494:K2495" si="327">HYPERLINK("http://twitter.com/download/iphone","Twitter for iPhone")</f>
        <v>Twitter for iPhone</v>
      </c>
      <c r="L2494" s="15">
        <v>606.0</v>
      </c>
      <c r="M2494" s="15">
        <v>73.0</v>
      </c>
      <c r="N2494" s="15">
        <v>9.0</v>
      </c>
      <c r="O2494" s="16"/>
      <c r="P2494" s="17">
        <v>43149.92363425926</v>
      </c>
      <c r="Q2494" s="13"/>
      <c r="R2494" s="10" t="s">
        <v>10574</v>
      </c>
      <c r="S2494" s="13"/>
      <c r="T2494" s="13"/>
      <c r="U2494" s="18" t="str">
        <f>HYPERLINK("https://pbs.twimg.com/profile_images/1214831019532013573/Ap2_vVmz.jpg","View")</f>
        <v>View</v>
      </c>
      <c r="V2494" s="13"/>
      <c r="W2494" s="13"/>
      <c r="X2494" s="13"/>
      <c r="Y2494" s="13"/>
      <c r="Z2494" s="13"/>
    </row>
    <row r="2495">
      <c r="A2495" s="8">
        <v>43847.97765046296</v>
      </c>
      <c r="B2495" s="9" t="str">
        <f>HYPERLINK("https://twitter.com/ParramattaToWin","@ParramattaToWin")</f>
        <v>@ParramattaToWin</v>
      </c>
      <c r="C2495" s="10" t="s">
        <v>10233</v>
      </c>
      <c r="D2495" s="10" t="s">
        <v>238</v>
      </c>
      <c r="E2495" s="9" t="str">
        <f>HYPERLINK("https://twitter.com/ParramattaToWin/status/1218389506669178880","1218389506669178880")</f>
        <v>1218389506669178880</v>
      </c>
      <c r="F2495" s="13"/>
      <c r="G2495" s="13"/>
      <c r="H2495" s="13"/>
      <c r="I2495" s="14">
        <v>0.0</v>
      </c>
      <c r="J2495" s="14">
        <v>2.0</v>
      </c>
      <c r="K2495" s="9" t="str">
        <f t="shared" si="327"/>
        <v>Twitter for iPhone</v>
      </c>
      <c r="L2495" s="15">
        <v>815.0</v>
      </c>
      <c r="M2495" s="15">
        <v>696.0</v>
      </c>
      <c r="N2495" s="15">
        <v>5.0</v>
      </c>
      <c r="O2495" s="16"/>
      <c r="P2495" s="17">
        <v>41072.218148148146</v>
      </c>
      <c r="Q2495" s="13"/>
      <c r="R2495" s="10" t="s">
        <v>10575</v>
      </c>
      <c r="S2495" s="13"/>
      <c r="T2495" s="13"/>
      <c r="U2495" s="18" t="str">
        <f>HYPERLINK("https://pbs.twimg.com/profile_images/1047287049240240128/Gqm747vD.jpg","View")</f>
        <v>View</v>
      </c>
      <c r="V2495" s="13"/>
      <c r="W2495" s="13"/>
      <c r="X2495" s="13"/>
      <c r="Y2495" s="13"/>
      <c r="Z2495" s="13"/>
    </row>
    <row r="2496">
      <c r="A2496" s="8">
        <v>43847.97739583333</v>
      </c>
      <c r="B2496" s="9" t="str">
        <f>HYPERLINK("https://twitter.com/erica_bannon","@erica_bannon")</f>
        <v>@erica_bannon</v>
      </c>
      <c r="C2496" s="10" t="s">
        <v>4521</v>
      </c>
      <c r="D2496" s="10" t="s">
        <v>10576</v>
      </c>
      <c r="E2496" s="9" t="str">
        <f>HYPERLINK("https://twitter.com/erica_bannon/status/1218389413744476162","1218389413744476162")</f>
        <v>1218389413744476162</v>
      </c>
      <c r="F2496" s="13"/>
      <c r="G2496" s="11" t="s">
        <v>10577</v>
      </c>
      <c r="H2496" s="13"/>
      <c r="I2496" s="14">
        <v>0.0</v>
      </c>
      <c r="J2496" s="14">
        <v>0.0</v>
      </c>
      <c r="K2496" s="9" t="str">
        <f>HYPERLINK("https://mobile.twitter.com","Twitter Web App")</f>
        <v>Twitter Web App</v>
      </c>
      <c r="L2496" s="15">
        <v>599.0</v>
      </c>
      <c r="M2496" s="15">
        <v>1103.0</v>
      </c>
      <c r="N2496" s="15">
        <v>5.0</v>
      </c>
      <c r="O2496" s="16"/>
      <c r="P2496" s="17">
        <v>43045.48472222222</v>
      </c>
      <c r="Q2496" s="10" t="s">
        <v>24</v>
      </c>
      <c r="R2496" s="10" t="s">
        <v>4523</v>
      </c>
      <c r="S2496" s="11" t="s">
        <v>4524</v>
      </c>
      <c r="T2496" s="13"/>
      <c r="U2496" s="18" t="str">
        <f>HYPERLINK("https://pbs.twimg.com/profile_images/1199517527224619011/Vpp4JPqH.jpg","View")</f>
        <v>View</v>
      </c>
      <c r="V2496" s="13"/>
      <c r="W2496" s="13"/>
      <c r="X2496" s="13"/>
      <c r="Y2496" s="13"/>
      <c r="Z2496" s="13"/>
    </row>
    <row r="2497">
      <c r="A2497" s="8">
        <v>43847.97570601852</v>
      </c>
      <c r="B2497" s="9" t="str">
        <f>HYPERLINK("https://twitter.com/nathanrufty","@nathanrufty")</f>
        <v>@nathanrufty</v>
      </c>
      <c r="C2497" s="10" t="s">
        <v>10578</v>
      </c>
      <c r="D2497" s="10" t="s">
        <v>6669</v>
      </c>
      <c r="E2497" s="9" t="str">
        <f>HYPERLINK("https://twitter.com/nathanrufty/status/1218388802554814465","1218388802554814465")</f>
        <v>1218388802554814465</v>
      </c>
      <c r="F2497" s="11" t="s">
        <v>10579</v>
      </c>
      <c r="G2497" s="11" t="s">
        <v>10580</v>
      </c>
      <c r="H2497" s="13"/>
      <c r="I2497" s="14">
        <v>0.0</v>
      </c>
      <c r="J2497" s="14">
        <v>0.0</v>
      </c>
      <c r="K2497" s="9" t="str">
        <f>HYPERLINK("https://buffer.com","Buffer")</f>
        <v>Buffer</v>
      </c>
      <c r="L2497" s="15">
        <v>281.0</v>
      </c>
      <c r="M2497" s="15">
        <v>24.0</v>
      </c>
      <c r="N2497" s="15">
        <v>96.0</v>
      </c>
      <c r="O2497" s="16"/>
      <c r="P2497" s="17">
        <v>40201.84811342593</v>
      </c>
      <c r="Q2497" s="10" t="s">
        <v>10581</v>
      </c>
      <c r="R2497" s="10" t="s">
        <v>10582</v>
      </c>
      <c r="S2497" s="11" t="s">
        <v>10583</v>
      </c>
      <c r="T2497" s="13"/>
      <c r="U2497" s="18" t="str">
        <f>HYPERLINK("https://pbs.twimg.com/profile_images/1054365044257939462/6NOpbw1f.jpg","View")</f>
        <v>View</v>
      </c>
      <c r="V2497" s="13"/>
      <c r="W2497" s="13"/>
      <c r="X2497" s="13"/>
      <c r="Y2497" s="13"/>
      <c r="Z2497" s="13"/>
    </row>
    <row r="2498">
      <c r="A2498" s="8">
        <v>43847.975590277776</v>
      </c>
      <c r="B2498" s="9" t="str">
        <f>HYPERLINK("https://twitter.com/NurseSalgado","@NurseSalgado")</f>
        <v>@NurseSalgado</v>
      </c>
      <c r="C2498" s="10" t="s">
        <v>10584</v>
      </c>
      <c r="D2498" s="22" t="s">
        <v>10585</v>
      </c>
      <c r="E2498" s="9" t="str">
        <f>HYPERLINK("https://twitter.com/NurseSalgado/status/1218388758304821248","1218388758304821248")</f>
        <v>1218388758304821248</v>
      </c>
      <c r="F2498" s="11" t="s">
        <v>10586</v>
      </c>
      <c r="G2498" s="13"/>
      <c r="H2498" s="13"/>
      <c r="I2498" s="14">
        <v>0.0</v>
      </c>
      <c r="J2498" s="14">
        <v>0.0</v>
      </c>
      <c r="K2498" s="9" t="str">
        <f t="shared" ref="K2498:K2499" si="328">HYPERLINK("https://mobile.twitter.com","Twitter Web App")</f>
        <v>Twitter Web App</v>
      </c>
      <c r="L2498" s="15">
        <v>143.0</v>
      </c>
      <c r="M2498" s="15">
        <v>179.0</v>
      </c>
      <c r="N2498" s="15">
        <v>0.0</v>
      </c>
      <c r="O2498" s="16"/>
      <c r="P2498" s="17">
        <v>43320.87118055555</v>
      </c>
      <c r="Q2498" s="10" t="s">
        <v>5055</v>
      </c>
      <c r="R2498" s="10" t="s">
        <v>10587</v>
      </c>
      <c r="S2498" s="11" t="s">
        <v>10588</v>
      </c>
      <c r="T2498" s="13"/>
      <c r="U2498" s="18" t="str">
        <f>HYPERLINK("https://pbs.twimg.com/profile_images/1203151443571683330/HNvVVMyQ.jpg","View")</f>
        <v>View</v>
      </c>
      <c r="V2498" s="13"/>
      <c r="W2498" s="13"/>
      <c r="X2498" s="13"/>
      <c r="Y2498" s="13"/>
      <c r="Z2498" s="13"/>
    </row>
    <row r="2499">
      <c r="A2499" s="8">
        <v>43847.97525462963</v>
      </c>
      <c r="B2499" s="9" t="str">
        <f>HYPERLINK("https://twitter.com/sheldonbailey","@sheldonbailey")</f>
        <v>@sheldonbailey</v>
      </c>
      <c r="C2499" s="10" t="s">
        <v>2110</v>
      </c>
      <c r="D2499" s="10" t="s">
        <v>10589</v>
      </c>
      <c r="E2499" s="9" t="str">
        <f>HYPERLINK("https://twitter.com/sheldonbailey/status/1218388639517835264","1218388639517835264")</f>
        <v>1218388639517835264</v>
      </c>
      <c r="F2499" s="11" t="s">
        <v>10590</v>
      </c>
      <c r="G2499" s="13"/>
      <c r="H2499" s="13"/>
      <c r="I2499" s="14">
        <v>0.0</v>
      </c>
      <c r="J2499" s="14">
        <v>1.0</v>
      </c>
      <c r="K2499" s="9" t="str">
        <f t="shared" si="328"/>
        <v>Twitter Web App</v>
      </c>
      <c r="L2499" s="15">
        <v>1261.0</v>
      </c>
      <c r="M2499" s="15">
        <v>1257.0</v>
      </c>
      <c r="N2499" s="15">
        <v>28.0</v>
      </c>
      <c r="O2499" s="16"/>
      <c r="P2499" s="17">
        <v>39743.79922453704</v>
      </c>
      <c r="Q2499" s="10" t="s">
        <v>2113</v>
      </c>
      <c r="R2499" s="10" t="s">
        <v>2114</v>
      </c>
      <c r="S2499" s="13"/>
      <c r="T2499" s="13"/>
      <c r="U2499" s="18" t="str">
        <f>HYPERLINK("https://pbs.twimg.com/profile_images/1022293945764597760/_UgOTs4N.jpg","View")</f>
        <v>View</v>
      </c>
      <c r="V2499" s="13"/>
      <c r="W2499" s="13"/>
      <c r="X2499" s="13"/>
      <c r="Y2499" s="13"/>
      <c r="Z2499" s="13"/>
    </row>
    <row r="2500">
      <c r="A2500" s="8">
        <v>43847.97494212963</v>
      </c>
      <c r="B2500" s="9" t="str">
        <f>HYPERLINK("https://twitter.com/antiprosaic","@antiprosaic")</f>
        <v>@antiprosaic</v>
      </c>
      <c r="C2500" s="10" t="s">
        <v>10591</v>
      </c>
      <c r="D2500" s="10" t="s">
        <v>10592</v>
      </c>
      <c r="E2500" s="9" t="str">
        <f>HYPERLINK("https://twitter.com/antiprosaic/status/1218388525575524353","1218388525575524353")</f>
        <v>1218388525575524353</v>
      </c>
      <c r="F2500" s="11" t="s">
        <v>10593</v>
      </c>
      <c r="G2500" s="13"/>
      <c r="H2500" s="13"/>
      <c r="I2500" s="14">
        <v>0.0</v>
      </c>
      <c r="J2500" s="14">
        <v>2.0</v>
      </c>
      <c r="K2500" s="9" t="str">
        <f>HYPERLINK("http://instagram.com","Instagram")</f>
        <v>Instagram</v>
      </c>
      <c r="L2500" s="15">
        <v>17.0</v>
      </c>
      <c r="M2500" s="15">
        <v>133.0</v>
      </c>
      <c r="N2500" s="15">
        <v>0.0</v>
      </c>
      <c r="O2500" s="16"/>
      <c r="P2500" s="17">
        <v>41265.6053125</v>
      </c>
      <c r="Q2500" s="10" t="s">
        <v>10594</v>
      </c>
      <c r="R2500" s="10" t="s">
        <v>10595</v>
      </c>
      <c r="S2500" s="13"/>
      <c r="T2500" s="13"/>
      <c r="U2500" s="18" t="str">
        <f>HYPERLINK("https://pbs.twimg.com/profile_images/682057644979392513/dFF9Xdqm.jpg","View")</f>
        <v>View</v>
      </c>
      <c r="V2500" s="13"/>
      <c r="W2500" s="13"/>
      <c r="X2500" s="13"/>
      <c r="Y2500" s="13"/>
      <c r="Z2500" s="13"/>
    </row>
    <row r="2501">
      <c r="A2501" s="8">
        <v>43847.97479166667</v>
      </c>
      <c r="B2501" s="9" t="str">
        <f>HYPERLINK("https://twitter.com/quotehope1234","@quotehope1234")</f>
        <v>@quotehope1234</v>
      </c>
      <c r="C2501" s="10" t="s">
        <v>10596</v>
      </c>
      <c r="D2501" s="10" t="s">
        <v>10597</v>
      </c>
      <c r="E2501" s="9" t="str">
        <f>HYPERLINK("https://twitter.com/quotehope1234/status/1218388471427084290","1218388471427084290")</f>
        <v>1218388471427084290</v>
      </c>
      <c r="F2501" s="11" t="s">
        <v>10598</v>
      </c>
      <c r="G2501" s="13"/>
      <c r="H2501" s="13"/>
      <c r="I2501" s="14">
        <v>0.0</v>
      </c>
      <c r="J2501" s="14">
        <v>3.0</v>
      </c>
      <c r="K2501" s="9" t="str">
        <f>HYPERLINK("http://twitter.com","Twitter Web Client")</f>
        <v>Twitter Web Client</v>
      </c>
      <c r="L2501" s="15">
        <v>92.0</v>
      </c>
      <c r="M2501" s="15">
        <v>165.0</v>
      </c>
      <c r="N2501" s="15">
        <v>4.0</v>
      </c>
      <c r="O2501" s="16"/>
      <c r="P2501" s="17">
        <v>43631.54659722222</v>
      </c>
      <c r="Q2501" s="13"/>
      <c r="R2501" s="10" t="s">
        <v>10599</v>
      </c>
      <c r="S2501" s="11" t="s">
        <v>10600</v>
      </c>
      <c r="T2501" s="13"/>
      <c r="U2501" s="18" t="str">
        <f>HYPERLINK("https://pbs.twimg.com/profile_images/1162244597721907201/pjzHU6km.jpg","View")</f>
        <v>View</v>
      </c>
      <c r="V2501" s="13"/>
      <c r="W2501" s="13"/>
      <c r="X2501" s="13"/>
      <c r="Y2501" s="13"/>
      <c r="Z2501" s="13"/>
    </row>
    <row r="2502">
      <c r="A2502" s="8">
        <v>43847.97453703704</v>
      </c>
      <c r="B2502" s="9" t="str">
        <f>HYPERLINK("https://twitter.com/muslimahstreng","@muslimahstreng")</f>
        <v>@muslimahstreng</v>
      </c>
      <c r="C2502" s="10" t="s">
        <v>10601</v>
      </c>
      <c r="D2502" s="10" t="s">
        <v>238</v>
      </c>
      <c r="E2502" s="9" t="str">
        <f>HYPERLINK("https://twitter.com/muslimahstreng/status/1218388378653089792","1218388378653089792")</f>
        <v>1218388378653089792</v>
      </c>
      <c r="F2502" s="13"/>
      <c r="G2502" s="13"/>
      <c r="H2502" s="13"/>
      <c r="I2502" s="14">
        <v>0.0</v>
      </c>
      <c r="J2502" s="14">
        <v>0.0</v>
      </c>
      <c r="K2502" s="9" t="str">
        <f t="shared" ref="K2502:K2503" si="329">HYPERLINK("http://twitter.com/download/android","Twitter for Android")</f>
        <v>Twitter for Android</v>
      </c>
      <c r="L2502" s="15">
        <v>59.0</v>
      </c>
      <c r="M2502" s="15">
        <v>436.0</v>
      </c>
      <c r="N2502" s="15">
        <v>0.0</v>
      </c>
      <c r="O2502" s="16"/>
      <c r="P2502" s="17">
        <v>42928.20672453704</v>
      </c>
      <c r="Q2502" s="10" t="s">
        <v>10602</v>
      </c>
      <c r="R2502" s="10" t="s">
        <v>10603</v>
      </c>
      <c r="S2502" s="13"/>
      <c r="T2502" s="13"/>
      <c r="U2502" s="18" t="str">
        <f>HYPERLINK("https://pbs.twimg.com/profile_images/1215945500983062528/SYRcvFP9.jpg","View")</f>
        <v>View</v>
      </c>
      <c r="V2502" s="13"/>
      <c r="W2502" s="13"/>
      <c r="X2502" s="13"/>
      <c r="Y2502" s="13"/>
      <c r="Z2502" s="13"/>
    </row>
    <row r="2503">
      <c r="A2503" s="8">
        <v>43847.97215277777</v>
      </c>
      <c r="B2503" s="9" t="str">
        <f>HYPERLINK("https://twitter.com/JonHarvey64","@JonHarvey64")</f>
        <v>@JonHarvey64</v>
      </c>
      <c r="C2503" s="10" t="s">
        <v>115</v>
      </c>
      <c r="D2503" s="10" t="s">
        <v>10604</v>
      </c>
      <c r="E2503" s="9" t="str">
        <f>HYPERLINK("https://twitter.com/JonHarvey64/status/1218387515771641856","1218387515771641856")</f>
        <v>1218387515771641856</v>
      </c>
      <c r="F2503" s="13"/>
      <c r="G2503" s="11" t="s">
        <v>10605</v>
      </c>
      <c r="H2503" s="13"/>
      <c r="I2503" s="14">
        <v>7.0</v>
      </c>
      <c r="J2503" s="14">
        <v>26.0</v>
      </c>
      <c r="K2503" s="9" t="str">
        <f t="shared" si="329"/>
        <v>Twitter for Android</v>
      </c>
      <c r="L2503" s="15">
        <v>3488.0</v>
      </c>
      <c r="M2503" s="15">
        <v>5002.0</v>
      </c>
      <c r="N2503" s="15">
        <v>28.0</v>
      </c>
      <c r="O2503" s="16"/>
      <c r="P2503" s="17">
        <v>41856.345358796294</v>
      </c>
      <c r="Q2503" s="10" t="s">
        <v>118</v>
      </c>
      <c r="R2503" s="10" t="s">
        <v>119</v>
      </c>
      <c r="S2503" s="13"/>
      <c r="T2503" s="13"/>
      <c r="U2503" s="18" t="str">
        <f>HYPERLINK("https://pbs.twimg.com/profile_images/1218409859223302144/AI9rxlhq.jpg","View")</f>
        <v>View</v>
      </c>
      <c r="V2503" s="13"/>
      <c r="W2503" s="13"/>
      <c r="X2503" s="13"/>
      <c r="Y2503" s="13"/>
      <c r="Z2503" s="13"/>
    </row>
    <row r="2504">
      <c r="A2504" s="8">
        <v>43847.971400462964</v>
      </c>
      <c r="B2504" s="9" t="str">
        <f>HYPERLINK("https://twitter.com/Hope_Center_","@Hope_Center_")</f>
        <v>@Hope_Center_</v>
      </c>
      <c r="C2504" s="10" t="s">
        <v>10606</v>
      </c>
      <c r="D2504" s="10" t="s">
        <v>10607</v>
      </c>
      <c r="E2504" s="9" t="str">
        <f>HYPERLINK("https://twitter.com/Hope_Center_/status/1218387241158041600","1218387241158041600")</f>
        <v>1218387241158041600</v>
      </c>
      <c r="F2504" s="11" t="s">
        <v>10608</v>
      </c>
      <c r="G2504" s="13"/>
      <c r="H2504" s="13"/>
      <c r="I2504" s="14">
        <v>0.0</v>
      </c>
      <c r="J2504" s="14">
        <v>1.0</v>
      </c>
      <c r="K2504" s="9" t="str">
        <f>HYPERLINK("http://twitter.com/download/iphone","Twitter for iPhone")</f>
        <v>Twitter for iPhone</v>
      </c>
      <c r="L2504" s="15">
        <v>173.0</v>
      </c>
      <c r="M2504" s="15">
        <v>412.0</v>
      </c>
      <c r="N2504" s="15">
        <v>1.0</v>
      </c>
      <c r="O2504" s="16"/>
      <c r="P2504" s="17">
        <v>43138.69399305555</v>
      </c>
      <c r="Q2504" s="10" t="s">
        <v>905</v>
      </c>
      <c r="R2504" s="10" t="s">
        <v>10609</v>
      </c>
      <c r="S2504" s="11" t="s">
        <v>10610</v>
      </c>
      <c r="T2504" s="13"/>
      <c r="U2504" s="18" t="str">
        <f>HYPERLINK("https://pbs.twimg.com/profile_images/962668726817472512/nduXD6tt.jpg","View")</f>
        <v>View</v>
      </c>
      <c r="V2504" s="13"/>
      <c r="W2504" s="13"/>
      <c r="X2504" s="13"/>
      <c r="Y2504" s="13"/>
      <c r="Z2504" s="13"/>
    </row>
    <row r="2505">
      <c r="A2505" s="8">
        <v>43847.97100694444</v>
      </c>
      <c r="B2505" s="9" t="str">
        <f>HYPERLINK("https://twitter.com/deanmcbee1","@deanmcbee1")</f>
        <v>@deanmcbee1</v>
      </c>
      <c r="C2505" s="10" t="s">
        <v>10611</v>
      </c>
      <c r="D2505" s="10" t="s">
        <v>238</v>
      </c>
      <c r="E2505" s="9" t="str">
        <f>HYPERLINK("https://twitter.com/deanmcbee1/status/1218387097444204546","1218387097444204546")</f>
        <v>1218387097444204546</v>
      </c>
      <c r="F2505" s="13"/>
      <c r="G2505" s="13"/>
      <c r="H2505" s="13"/>
      <c r="I2505" s="14">
        <v>0.0</v>
      </c>
      <c r="J2505" s="14">
        <v>0.0</v>
      </c>
      <c r="K2505" s="9" t="str">
        <f>HYPERLINK("https://mobile.twitter.com","Twitter Web App")</f>
        <v>Twitter Web App</v>
      </c>
      <c r="L2505" s="15">
        <v>78.0</v>
      </c>
      <c r="M2505" s="15">
        <v>606.0</v>
      </c>
      <c r="N2505" s="15">
        <v>1.0</v>
      </c>
      <c r="O2505" s="16"/>
      <c r="P2505" s="17">
        <v>41588.68238425926</v>
      </c>
      <c r="Q2505" s="10" t="s">
        <v>10612</v>
      </c>
      <c r="R2505" s="13"/>
      <c r="S2505" s="13"/>
      <c r="T2505" s="13"/>
      <c r="U2505" s="18" t="str">
        <f>HYPERLINK("https://pbs.twimg.com/profile_images/1109629245527998464/6_2Ttuu-.jpg","View")</f>
        <v>View</v>
      </c>
      <c r="V2505" s="13"/>
      <c r="W2505" s="13"/>
      <c r="X2505" s="13"/>
      <c r="Y2505" s="13"/>
      <c r="Z2505" s="13"/>
    </row>
    <row r="2506">
      <c r="A2506" s="8">
        <v>43847.97099537037</v>
      </c>
      <c r="B2506" s="9" t="str">
        <f>HYPERLINK("https://twitter.com/PolyConundrum","@PolyConundrum")</f>
        <v>@PolyConundrum</v>
      </c>
      <c r="C2506" s="10" t="s">
        <v>10613</v>
      </c>
      <c r="D2506" s="10" t="s">
        <v>10614</v>
      </c>
      <c r="E2506" s="9" t="str">
        <f>HYPERLINK("https://twitter.com/PolyConundrum/status/1218387095326265344","1218387095326265344")</f>
        <v>1218387095326265344</v>
      </c>
      <c r="F2506" s="11" t="s">
        <v>10615</v>
      </c>
      <c r="G2506" s="11" t="s">
        <v>10616</v>
      </c>
      <c r="H2506" s="13"/>
      <c r="I2506" s="14">
        <v>0.0</v>
      </c>
      <c r="J2506" s="14">
        <v>0.0</v>
      </c>
      <c r="K2506" s="9" t="str">
        <f>HYPERLINK("http://innerself.com/content/social.html","Jocial")</f>
        <v>Jocial</v>
      </c>
      <c r="L2506" s="15">
        <v>1339.0</v>
      </c>
      <c r="M2506" s="15">
        <v>1294.0</v>
      </c>
      <c r="N2506" s="15">
        <v>123.0</v>
      </c>
      <c r="O2506" s="16"/>
      <c r="P2506" s="17">
        <v>41353.64335648148</v>
      </c>
      <c r="Q2506" s="10" t="s">
        <v>10617</v>
      </c>
      <c r="R2506" s="10" t="s">
        <v>10618</v>
      </c>
      <c r="S2506" s="11" t="s">
        <v>10619</v>
      </c>
      <c r="T2506" s="13"/>
      <c r="U2506" s="18" t="str">
        <f>HYPERLINK("https://pbs.twimg.com/profile_images/734517371222827008/kWmnbPYS.jpg","View")</f>
        <v>View</v>
      </c>
      <c r="V2506" s="13"/>
      <c r="W2506" s="13"/>
      <c r="X2506" s="13"/>
      <c r="Y2506" s="13"/>
      <c r="Z2506" s="13"/>
    </row>
    <row r="2507">
      <c r="A2507" s="8">
        <v>43847.970983796295</v>
      </c>
      <c r="B2507" s="9" t="str">
        <f>HYPERLINK("https://twitter.com/InnerSelfcom","@InnerSelfcom")</f>
        <v>@InnerSelfcom</v>
      </c>
      <c r="C2507" s="11" t="s">
        <v>10620</v>
      </c>
      <c r="D2507" s="10" t="s">
        <v>10614</v>
      </c>
      <c r="E2507" s="9" t="str">
        <f>HYPERLINK("https://twitter.com/InnerSelfcom/status/1218387090699882496","1218387090699882496")</f>
        <v>1218387090699882496</v>
      </c>
      <c r="F2507" s="11" t="s">
        <v>10615</v>
      </c>
      <c r="G2507" s="11" t="s">
        <v>10621</v>
      </c>
      <c r="H2507" s="13"/>
      <c r="I2507" s="14">
        <v>0.0</v>
      </c>
      <c r="J2507" s="14">
        <v>0.0</v>
      </c>
      <c r="K2507" s="9" t="str">
        <f>HYPERLINK("https://innerself.com/content","InnerSelfcom")</f>
        <v>InnerSelfcom</v>
      </c>
      <c r="L2507" s="15">
        <v>2680.0</v>
      </c>
      <c r="M2507" s="15">
        <v>2592.0</v>
      </c>
      <c r="N2507" s="15">
        <v>309.0</v>
      </c>
      <c r="O2507" s="16"/>
      <c r="P2507" s="17">
        <v>40544.860300925924</v>
      </c>
      <c r="Q2507" s="10" t="s">
        <v>10617</v>
      </c>
      <c r="R2507" s="10" t="s">
        <v>10622</v>
      </c>
      <c r="S2507" s="11" t="s">
        <v>10623</v>
      </c>
      <c r="T2507" s="13"/>
      <c r="U2507" s="18" t="str">
        <f>HYPERLINK("https://pbs.twimg.com/profile_images/554419299712892928/Z_KvUo-W.png","View")</f>
        <v>View</v>
      </c>
      <c r="V2507" s="13"/>
      <c r="W2507" s="13"/>
      <c r="X2507" s="13"/>
      <c r="Y2507" s="13"/>
      <c r="Z2507" s="13"/>
    </row>
    <row r="2508">
      <c r="A2508" s="8">
        <v>43847.96876157407</v>
      </c>
      <c r="B2508" s="9" t="str">
        <f>HYPERLINK("https://twitter.com/EffectiveFor","@EffectiveFor")</f>
        <v>@EffectiveFor</v>
      </c>
      <c r="C2508" s="10" t="s">
        <v>10624</v>
      </c>
      <c r="D2508" s="10" t="s">
        <v>10625</v>
      </c>
      <c r="E2508" s="9" t="str">
        <f>HYPERLINK("https://twitter.com/EffectiveFor/status/1218386285884313600","1218386285884313600")</f>
        <v>1218386285884313600</v>
      </c>
      <c r="F2508" s="13"/>
      <c r="G2508" s="11" t="s">
        <v>10626</v>
      </c>
      <c r="H2508" s="13"/>
      <c r="I2508" s="14">
        <v>1.0</v>
      </c>
      <c r="J2508" s="14">
        <v>0.0</v>
      </c>
      <c r="K2508" s="9" t="str">
        <f>HYPERLINK("https://socialbee.io/","SocialBee.io v2")</f>
        <v>SocialBee.io v2</v>
      </c>
      <c r="L2508" s="15">
        <v>7.0</v>
      </c>
      <c r="M2508" s="15">
        <v>32.0</v>
      </c>
      <c r="N2508" s="15">
        <v>0.0</v>
      </c>
      <c r="O2508" s="16"/>
      <c r="P2508" s="17">
        <v>43835.97787037037</v>
      </c>
      <c r="Q2508" s="13"/>
      <c r="R2508" s="10" t="s">
        <v>10627</v>
      </c>
      <c r="S2508" s="13"/>
      <c r="T2508" s="13"/>
      <c r="U2508" s="18" t="str">
        <f>HYPERLINK("https://pbs.twimg.com/profile_images/1214041040832757760/D3cwqWIQ.jpg","View")</f>
        <v>View</v>
      </c>
      <c r="V2508" s="13"/>
      <c r="W2508" s="13"/>
      <c r="X2508" s="13"/>
      <c r="Y2508" s="13"/>
      <c r="Z2508" s="13"/>
    </row>
    <row r="2509">
      <c r="A2509" s="8">
        <v>43847.966215277775</v>
      </c>
      <c r="B2509" s="9" t="str">
        <f>HYPERLINK("https://twitter.com/tanyajpeterson1","@tanyajpeterson1")</f>
        <v>@tanyajpeterson1</v>
      </c>
      <c r="C2509" s="10" t="s">
        <v>1800</v>
      </c>
      <c r="D2509" s="10" t="s">
        <v>10628</v>
      </c>
      <c r="E2509" s="9" t="str">
        <f>HYPERLINK("https://twitter.com/tanyajpeterson1/status/1218385360113360896","1218385360113360896")</f>
        <v>1218385360113360896</v>
      </c>
      <c r="F2509" s="11" t="s">
        <v>10629</v>
      </c>
      <c r="G2509" s="13"/>
      <c r="H2509" s="13"/>
      <c r="I2509" s="14">
        <v>1.0</v>
      </c>
      <c r="J2509" s="14">
        <v>0.0</v>
      </c>
      <c r="K2509" s="9" t="str">
        <f>HYPERLINK("https://www.socialoomph.com","SocialOomph")</f>
        <v>SocialOomph</v>
      </c>
      <c r="L2509" s="15">
        <v>6234.0</v>
      </c>
      <c r="M2509" s="15">
        <v>6099.0</v>
      </c>
      <c r="N2509" s="15">
        <v>428.0</v>
      </c>
      <c r="O2509" s="16"/>
      <c r="P2509" s="17">
        <v>40541.95980324074</v>
      </c>
      <c r="Q2509" s="10" t="s">
        <v>1804</v>
      </c>
      <c r="R2509" s="10" t="s">
        <v>1805</v>
      </c>
      <c r="S2509" s="11" t="s">
        <v>1806</v>
      </c>
      <c r="T2509" s="13"/>
      <c r="U2509" s="18" t="str">
        <f>HYPERLINK("https://pbs.twimg.com/profile_images/938253562437550080/Qqz0uxJN.jpg","View")</f>
        <v>View</v>
      </c>
      <c r="V2509" s="13"/>
      <c r="W2509" s="13"/>
      <c r="X2509" s="13"/>
      <c r="Y2509" s="13"/>
      <c r="Z2509" s="13"/>
    </row>
    <row r="2510">
      <c r="A2510" s="8">
        <v>43847.96592592592</v>
      </c>
      <c r="B2510" s="9" t="str">
        <f>HYPERLINK("https://twitter.com/godwinmbogo","@godwinmbogo")</f>
        <v>@godwinmbogo</v>
      </c>
      <c r="C2510" s="10" t="s">
        <v>10630</v>
      </c>
      <c r="D2510" s="10" t="s">
        <v>238</v>
      </c>
      <c r="E2510" s="9" t="str">
        <f>HYPERLINK("https://twitter.com/godwinmbogo/status/1218385256862175232","1218385256862175232")</f>
        <v>1218385256862175232</v>
      </c>
      <c r="F2510" s="13"/>
      <c r="G2510" s="13"/>
      <c r="H2510" s="13"/>
      <c r="I2510" s="14">
        <v>1.0</v>
      </c>
      <c r="J2510" s="14">
        <v>0.0</v>
      </c>
      <c r="K2510" s="9" t="str">
        <f>HYPERLINK("http://twitter.com/download/android","Twitter for Android")</f>
        <v>Twitter for Android</v>
      </c>
      <c r="L2510" s="15">
        <v>454.0</v>
      </c>
      <c r="M2510" s="15">
        <v>2017.0</v>
      </c>
      <c r="N2510" s="15">
        <v>1.0</v>
      </c>
      <c r="O2510" s="16"/>
      <c r="P2510" s="17">
        <v>40678.51005787037</v>
      </c>
      <c r="Q2510" s="10" t="s">
        <v>4811</v>
      </c>
      <c r="R2510" s="10" t="s">
        <v>10631</v>
      </c>
      <c r="S2510" s="11" t="s">
        <v>10632</v>
      </c>
      <c r="T2510" s="13"/>
      <c r="U2510" s="18" t="str">
        <f>HYPERLINK("https://pbs.twimg.com/profile_images/1129353874228359182/3R8KFHQZ.jpg","View")</f>
        <v>View</v>
      </c>
      <c r="V2510" s="13"/>
      <c r="W2510" s="13"/>
      <c r="X2510" s="13"/>
      <c r="Y2510" s="13"/>
      <c r="Z2510" s="13"/>
    </row>
    <row r="2511">
      <c r="A2511" s="8">
        <v>43847.965682870374</v>
      </c>
      <c r="B2511" s="9" t="str">
        <f>HYPERLINK("https://twitter.com/Ta_nanni","@Ta_nanni")</f>
        <v>@Ta_nanni</v>
      </c>
      <c r="C2511" s="10" t="s">
        <v>10633</v>
      </c>
      <c r="D2511" s="10" t="s">
        <v>238</v>
      </c>
      <c r="E2511" s="9" t="str">
        <f>HYPERLINK("https://twitter.com/Ta_nanni/status/1218385170694377472","1218385170694377472")</f>
        <v>1218385170694377472</v>
      </c>
      <c r="F2511" s="13"/>
      <c r="G2511" s="13"/>
      <c r="H2511" s="13"/>
      <c r="I2511" s="14">
        <v>1.0</v>
      </c>
      <c r="J2511" s="14">
        <v>0.0</v>
      </c>
      <c r="K2511" s="9" t="str">
        <f t="shared" ref="K2511:K2513" si="330">HYPERLINK("http://twitter.com/download/iphone","Twitter for iPhone")</f>
        <v>Twitter for iPhone</v>
      </c>
      <c r="L2511" s="15">
        <v>209.0</v>
      </c>
      <c r="M2511" s="15">
        <v>109.0</v>
      </c>
      <c r="N2511" s="15">
        <v>2.0</v>
      </c>
      <c r="O2511" s="16"/>
      <c r="P2511" s="17">
        <v>41239.891180555554</v>
      </c>
      <c r="Q2511" s="10" t="s">
        <v>916</v>
      </c>
      <c r="R2511" s="10" t="s">
        <v>10634</v>
      </c>
      <c r="S2511" s="13"/>
      <c r="T2511" s="13"/>
      <c r="U2511" s="18" t="str">
        <f>HYPERLINK("https://pbs.twimg.com/profile_images/1155171868766277633/R7WmL_wD.jpg","View")</f>
        <v>View</v>
      </c>
      <c r="V2511" s="13"/>
      <c r="W2511" s="13"/>
      <c r="X2511" s="13"/>
      <c r="Y2511" s="13"/>
      <c r="Z2511" s="13"/>
    </row>
    <row r="2512">
      <c r="A2512" s="8">
        <v>43847.965590277774</v>
      </c>
      <c r="B2512" s="9" t="str">
        <f>HYPERLINK("https://twitter.com/jennylaurello","@jennylaurello")</f>
        <v>@jennylaurello</v>
      </c>
      <c r="C2512" s="10" t="s">
        <v>10635</v>
      </c>
      <c r="D2512" s="10" t="s">
        <v>10636</v>
      </c>
      <c r="E2512" s="9" t="str">
        <f>HYPERLINK("https://twitter.com/jennylaurello/status/1218385137152466944","1218385137152466944")</f>
        <v>1218385137152466944</v>
      </c>
      <c r="F2512" s="11" t="s">
        <v>1397</v>
      </c>
      <c r="G2512" s="13"/>
      <c r="H2512" s="13"/>
      <c r="I2512" s="14">
        <v>0.0</v>
      </c>
      <c r="J2512" s="14">
        <v>2.0</v>
      </c>
      <c r="K2512" s="9" t="str">
        <f t="shared" si="330"/>
        <v>Twitter for iPhone</v>
      </c>
      <c r="L2512" s="15">
        <v>2779.0</v>
      </c>
      <c r="M2512" s="15">
        <v>2934.0</v>
      </c>
      <c r="N2512" s="15">
        <v>200.0</v>
      </c>
      <c r="O2512" s="16"/>
      <c r="P2512" s="17">
        <v>39930.7333912037</v>
      </c>
      <c r="Q2512" s="10" t="s">
        <v>10637</v>
      </c>
      <c r="R2512" s="10" t="s">
        <v>10638</v>
      </c>
      <c r="S2512" s="11" t="s">
        <v>10639</v>
      </c>
      <c r="T2512" s="13"/>
      <c r="U2512" s="18" t="str">
        <f>HYPERLINK("https://pbs.twimg.com/profile_images/459091351284375552/RP3kN1Cv.jpeg","View")</f>
        <v>View</v>
      </c>
      <c r="V2512" s="13"/>
      <c r="W2512" s="13"/>
      <c r="X2512" s="13"/>
      <c r="Y2512" s="13"/>
      <c r="Z2512" s="13"/>
    </row>
    <row r="2513">
      <c r="A2513" s="8">
        <v>43847.964895833335</v>
      </c>
      <c r="B2513" s="9" t="str">
        <f>HYPERLINK("https://twitter.com/RealCoachArnie","@RealCoachArnie")</f>
        <v>@RealCoachArnie</v>
      </c>
      <c r="C2513" s="10" t="s">
        <v>790</v>
      </c>
      <c r="D2513" s="10" t="s">
        <v>10640</v>
      </c>
      <c r="E2513" s="9" t="str">
        <f>HYPERLINK("https://twitter.com/RealCoachArnie/status/1218384883040444416","1218384883040444416")</f>
        <v>1218384883040444416</v>
      </c>
      <c r="F2513" s="13"/>
      <c r="G2513" s="13"/>
      <c r="H2513" s="13"/>
      <c r="I2513" s="14">
        <v>0.0</v>
      </c>
      <c r="J2513" s="14">
        <v>1.0</v>
      </c>
      <c r="K2513" s="9" t="str">
        <f t="shared" si="330"/>
        <v>Twitter for iPhone</v>
      </c>
      <c r="L2513" s="15">
        <v>1397.0</v>
      </c>
      <c r="M2513" s="15">
        <v>2097.0</v>
      </c>
      <c r="N2513" s="15">
        <v>11.0</v>
      </c>
      <c r="O2513" s="16"/>
      <c r="P2513" s="17">
        <v>41075.58196759259</v>
      </c>
      <c r="Q2513" s="10" t="s">
        <v>792</v>
      </c>
      <c r="R2513" s="10" t="s">
        <v>793</v>
      </c>
      <c r="S2513" s="11" t="s">
        <v>794</v>
      </c>
      <c r="T2513" s="13"/>
      <c r="U2513" s="18" t="str">
        <f>HYPERLINK("https://pbs.twimg.com/profile_images/1179206494446747653/PR6-8HMY.jpg","View")</f>
        <v>View</v>
      </c>
      <c r="V2513" s="13"/>
      <c r="W2513" s="13"/>
      <c r="X2513" s="13"/>
      <c r="Y2513" s="13"/>
      <c r="Z2513" s="13"/>
    </row>
    <row r="2514">
      <c r="A2514" s="8">
        <v>43847.96476851852</v>
      </c>
      <c r="B2514" s="9" t="str">
        <f>HYPERLINK("https://twitter.com/kirtikanth27","@kirtikanth27")</f>
        <v>@kirtikanth27</v>
      </c>
      <c r="C2514" s="10" t="s">
        <v>10641</v>
      </c>
      <c r="D2514" s="10" t="s">
        <v>238</v>
      </c>
      <c r="E2514" s="9" t="str">
        <f>HYPERLINK("https://twitter.com/kirtikanth27/status/1218384836139745280","1218384836139745280")</f>
        <v>1218384836139745280</v>
      </c>
      <c r="F2514" s="13"/>
      <c r="G2514" s="13"/>
      <c r="H2514" s="13"/>
      <c r="I2514" s="14">
        <v>0.0</v>
      </c>
      <c r="J2514" s="14">
        <v>0.0</v>
      </c>
      <c r="K2514" s="9" t="str">
        <f>HYPERLINK("http://twitter.com/download/android","Twitter for Android")</f>
        <v>Twitter for Android</v>
      </c>
      <c r="L2514" s="15">
        <v>51.0</v>
      </c>
      <c r="M2514" s="15">
        <v>124.0</v>
      </c>
      <c r="N2514" s="15">
        <v>0.0</v>
      </c>
      <c r="O2514" s="16"/>
      <c r="P2514" s="17">
        <v>42289.15924768518</v>
      </c>
      <c r="Q2514" s="10" t="s">
        <v>7994</v>
      </c>
      <c r="R2514" s="10" t="s">
        <v>10642</v>
      </c>
      <c r="S2514" s="13"/>
      <c r="T2514" s="13"/>
      <c r="U2514" s="18" t="str">
        <f>HYPERLINK("https://pbs.twimg.com/profile_images/1209305034384498689/_5Iw1Sy0.jpg","View")</f>
        <v>View</v>
      </c>
      <c r="V2514" s="13"/>
      <c r="W2514" s="13"/>
      <c r="X2514" s="13"/>
      <c r="Y2514" s="13"/>
      <c r="Z2514" s="13"/>
    </row>
    <row r="2515">
      <c r="A2515" s="8">
        <v>43847.96425925926</v>
      </c>
      <c r="B2515" s="9" t="str">
        <f>HYPERLINK("https://twitter.com/DrKimChronister","@DrKimChronister")</f>
        <v>@DrKimChronister</v>
      </c>
      <c r="C2515" s="10" t="s">
        <v>10643</v>
      </c>
      <c r="D2515" s="10" t="s">
        <v>10644</v>
      </c>
      <c r="E2515" s="9" t="str">
        <f>HYPERLINK("https://twitter.com/DrKimChronister/status/1218384654643781632","1218384654643781632")</f>
        <v>1218384654643781632</v>
      </c>
      <c r="F2515" s="13"/>
      <c r="G2515" s="11" t="s">
        <v>10645</v>
      </c>
      <c r="H2515" s="13"/>
      <c r="I2515" s="14">
        <v>7.0</v>
      </c>
      <c r="J2515" s="14">
        <v>9.0</v>
      </c>
      <c r="K2515" s="9" t="str">
        <f>HYPERLINK("http://twitter.com/download/iphone","Twitter for iPhone")</f>
        <v>Twitter for iPhone</v>
      </c>
      <c r="L2515" s="15">
        <v>15642.0</v>
      </c>
      <c r="M2515" s="15">
        <v>12337.0</v>
      </c>
      <c r="N2515" s="15">
        <v>82.0</v>
      </c>
      <c r="O2515" s="16"/>
      <c r="P2515" s="17">
        <v>41248.153020833335</v>
      </c>
      <c r="Q2515" s="10" t="s">
        <v>382</v>
      </c>
      <c r="R2515" s="10" t="s">
        <v>10646</v>
      </c>
      <c r="S2515" s="11" t="s">
        <v>10647</v>
      </c>
      <c r="T2515" s="13"/>
      <c r="U2515" s="18" t="str">
        <f>HYPERLINK("https://pbs.twimg.com/profile_images/1132026240406249472/Cbr2QNFx.jpg","View")</f>
        <v>View</v>
      </c>
      <c r="V2515" s="13"/>
      <c r="W2515" s="13"/>
      <c r="X2515" s="13"/>
      <c r="Y2515" s="13"/>
      <c r="Z2515" s="13"/>
    </row>
    <row r="2516">
      <c r="A2516" s="8">
        <v>43847.964050925926</v>
      </c>
      <c r="B2516" s="9" t="str">
        <f>HYPERLINK("https://twitter.com/OurMadLife","@OurMadLife")</f>
        <v>@OurMadLife</v>
      </c>
      <c r="C2516" s="10" t="s">
        <v>10648</v>
      </c>
      <c r="D2516" s="10" t="s">
        <v>10649</v>
      </c>
      <c r="E2516" s="9" t="str">
        <f>HYPERLINK("https://twitter.com/OurMadLife/status/1218384576336269314","1218384576336269314")</f>
        <v>1218384576336269314</v>
      </c>
      <c r="F2516" s="11" t="s">
        <v>10650</v>
      </c>
      <c r="G2516" s="13"/>
      <c r="H2516" s="13"/>
      <c r="I2516" s="14">
        <v>0.0</v>
      </c>
      <c r="J2516" s="14">
        <v>0.0</v>
      </c>
      <c r="K2516" s="9" t="str">
        <f>HYPERLINK("http://instagram.com","Instagram")</f>
        <v>Instagram</v>
      </c>
      <c r="L2516" s="15">
        <v>222.0</v>
      </c>
      <c r="M2516" s="15">
        <v>137.0</v>
      </c>
      <c r="N2516" s="15">
        <v>2.0</v>
      </c>
      <c r="O2516" s="16"/>
      <c r="P2516" s="17">
        <v>42590.3441087963</v>
      </c>
      <c r="Q2516" s="10" t="s">
        <v>2223</v>
      </c>
      <c r="R2516" s="10" t="s">
        <v>10651</v>
      </c>
      <c r="S2516" s="11" t="s">
        <v>10652</v>
      </c>
      <c r="T2516" s="13"/>
      <c r="U2516" s="18" t="str">
        <f>HYPERLINK("https://pbs.twimg.com/profile_images/1081718101153075200/sJywbSNN.jpg","View")</f>
        <v>View</v>
      </c>
      <c r="V2516" s="13"/>
      <c r="W2516" s="13"/>
      <c r="X2516" s="13"/>
      <c r="Y2516" s="13"/>
      <c r="Z2516" s="13"/>
    </row>
    <row r="2517">
      <c r="A2517" s="8">
        <v>43847.96388888889</v>
      </c>
      <c r="B2517" s="9" t="str">
        <f>HYPERLINK("https://twitter.com/AkataWolf524","@AkataWolf524")</f>
        <v>@AkataWolf524</v>
      </c>
      <c r="C2517" s="10" t="s">
        <v>10653</v>
      </c>
      <c r="D2517" s="10" t="s">
        <v>10654</v>
      </c>
      <c r="E2517" s="9" t="str">
        <f>HYPERLINK("https://twitter.com/AkataWolf524/status/1218384518890979328","1218384518890979328")</f>
        <v>1218384518890979328</v>
      </c>
      <c r="F2517" s="13"/>
      <c r="G2517" s="13"/>
      <c r="H2517" s="13"/>
      <c r="I2517" s="14">
        <v>0.0</v>
      </c>
      <c r="J2517" s="14">
        <v>0.0</v>
      </c>
      <c r="K2517" s="9" t="str">
        <f>HYPERLINK("http://twitter.com/download/android","Twitter for Android")</f>
        <v>Twitter for Android</v>
      </c>
      <c r="L2517" s="15">
        <v>3.0</v>
      </c>
      <c r="M2517" s="15">
        <v>46.0</v>
      </c>
      <c r="N2517" s="15">
        <v>0.0</v>
      </c>
      <c r="O2517" s="16"/>
      <c r="P2517" s="17">
        <v>43300.739895833336</v>
      </c>
      <c r="Q2517" s="10" t="s">
        <v>290</v>
      </c>
      <c r="R2517" s="10" t="s">
        <v>10655</v>
      </c>
      <c r="S2517" s="13"/>
      <c r="T2517" s="13"/>
      <c r="U2517" s="18" t="str">
        <f>HYPERLINK("https://pbs.twimg.com/profile_images/1217894549420298240/dmHk3LBr.jpg","View")</f>
        <v>View</v>
      </c>
      <c r="V2517" s="13"/>
      <c r="W2517" s="13"/>
      <c r="X2517" s="13"/>
      <c r="Y2517" s="13"/>
      <c r="Z2517" s="13"/>
    </row>
    <row r="2518">
      <c r="A2518" s="8">
        <v>43847.96270833333</v>
      </c>
      <c r="B2518" s="9" t="str">
        <f>HYPERLINK("https://twitter.com/PaulPaully69","@PaulPaully69")</f>
        <v>@PaulPaully69</v>
      </c>
      <c r="C2518" s="10" t="s">
        <v>10656</v>
      </c>
      <c r="D2518" s="10" t="s">
        <v>238</v>
      </c>
      <c r="E2518" s="9" t="str">
        <f>HYPERLINK("https://twitter.com/PaulPaully69/status/1218384089255800833","1218384089255800833")</f>
        <v>1218384089255800833</v>
      </c>
      <c r="F2518" s="13"/>
      <c r="G2518" s="13"/>
      <c r="H2518" s="13"/>
      <c r="I2518" s="14">
        <v>0.0</v>
      </c>
      <c r="J2518" s="14">
        <v>1.0</v>
      </c>
      <c r="K2518" s="9" t="str">
        <f>HYPERLINK("http://twitter.com/#!/download/ipad","Twitter for iPad")</f>
        <v>Twitter for iPad</v>
      </c>
      <c r="L2518" s="15">
        <v>564.0</v>
      </c>
      <c r="M2518" s="15">
        <v>856.0</v>
      </c>
      <c r="N2518" s="15">
        <v>3.0</v>
      </c>
      <c r="O2518" s="16"/>
      <c r="P2518" s="17">
        <v>40911.99484953703</v>
      </c>
      <c r="Q2518" s="10" t="s">
        <v>10657</v>
      </c>
      <c r="R2518" s="10" t="s">
        <v>10658</v>
      </c>
      <c r="S2518" s="13"/>
      <c r="T2518" s="13"/>
      <c r="U2518" s="18" t="str">
        <f>HYPERLINK("https://pbs.twimg.com/profile_images/1166181208843149312/VXytbhWf.jpg","View")</f>
        <v>View</v>
      </c>
      <c r="V2518" s="13"/>
      <c r="W2518" s="13"/>
      <c r="X2518" s="13"/>
      <c r="Y2518" s="13"/>
      <c r="Z2518" s="13"/>
    </row>
    <row r="2519">
      <c r="A2519" s="8">
        <v>43847.962372685186</v>
      </c>
      <c r="B2519" s="9" t="str">
        <f>HYPERLINK("https://twitter.com/Afewtoomany2","@Afewtoomany2")</f>
        <v>@Afewtoomany2</v>
      </c>
      <c r="C2519" s="10" t="s">
        <v>762</v>
      </c>
      <c r="D2519" s="10" t="s">
        <v>10659</v>
      </c>
      <c r="E2519" s="9" t="str">
        <f>HYPERLINK("https://twitter.com/Afewtoomany2/status/1218383968887889921","1218383968887889921")</f>
        <v>1218383968887889921</v>
      </c>
      <c r="F2519" s="13"/>
      <c r="G2519" s="13"/>
      <c r="H2519" s="13"/>
      <c r="I2519" s="14">
        <v>0.0</v>
      </c>
      <c r="J2519" s="14">
        <v>6.0</v>
      </c>
      <c r="K2519" s="9" t="str">
        <f>HYPERLINK("http://twitter.com/download/android","Twitter for Android")</f>
        <v>Twitter for Android</v>
      </c>
      <c r="L2519" s="15">
        <v>1184.0</v>
      </c>
      <c r="M2519" s="15">
        <v>1572.0</v>
      </c>
      <c r="N2519" s="15">
        <v>2.0</v>
      </c>
      <c r="O2519" s="16"/>
      <c r="P2519" s="17">
        <v>43711.89326388889</v>
      </c>
      <c r="Q2519" s="10" t="s">
        <v>764</v>
      </c>
      <c r="R2519" s="10" t="s">
        <v>765</v>
      </c>
      <c r="S2519" s="13"/>
      <c r="T2519" s="13"/>
      <c r="U2519" s="18" t="str">
        <f>HYPERLINK("https://pbs.twimg.com/profile_images/1207084949096013825/7f1KI6F9.jpg","View")</f>
        <v>View</v>
      </c>
      <c r="V2519" s="13"/>
      <c r="W2519" s="13"/>
      <c r="X2519" s="13"/>
      <c r="Y2519" s="13"/>
      <c r="Z2519" s="13"/>
    </row>
    <row r="2520">
      <c r="A2520" s="8">
        <v>43847.96184027778</v>
      </c>
      <c r="B2520" s="9" t="str">
        <f>HYPERLINK("https://twitter.com/Padham_trust","@Padham_trust")</f>
        <v>@Padham_trust</v>
      </c>
      <c r="C2520" s="10" t="s">
        <v>10660</v>
      </c>
      <c r="D2520" s="10" t="s">
        <v>10661</v>
      </c>
      <c r="E2520" s="9" t="str">
        <f>HYPERLINK("https://twitter.com/Padham_trust/status/1218383776847405056","1218383776847405056")</f>
        <v>1218383776847405056</v>
      </c>
      <c r="F2520" s="11" t="s">
        <v>10662</v>
      </c>
      <c r="G2520" s="13"/>
      <c r="H2520" s="13"/>
      <c r="I2520" s="14">
        <v>0.0</v>
      </c>
      <c r="J2520" s="14">
        <v>0.0</v>
      </c>
      <c r="K2520" s="9" t="str">
        <f>HYPERLINK("https://www.hootsuite.com","Hootsuite Inc.")</f>
        <v>Hootsuite Inc.</v>
      </c>
      <c r="L2520" s="15">
        <v>102.0</v>
      </c>
      <c r="M2520" s="15">
        <v>101.0</v>
      </c>
      <c r="N2520" s="15">
        <v>3.0</v>
      </c>
      <c r="O2520" s="16"/>
      <c r="P2520" s="17">
        <v>42609.397939814815</v>
      </c>
      <c r="Q2520" s="10" t="s">
        <v>6549</v>
      </c>
      <c r="R2520" s="10" t="s">
        <v>10663</v>
      </c>
      <c r="S2520" s="11" t="s">
        <v>10664</v>
      </c>
      <c r="T2520" s="13"/>
      <c r="U2520" s="18" t="str">
        <f>HYPERLINK("https://pbs.twimg.com/profile_images/997684830866419713/gdDBZfS3.jpg","View")</f>
        <v>View</v>
      </c>
      <c r="V2520" s="13"/>
      <c r="W2520" s="13"/>
      <c r="X2520" s="13"/>
      <c r="Y2520" s="13"/>
      <c r="Z2520" s="13"/>
    </row>
    <row r="2521">
      <c r="A2521" s="8">
        <v>43847.96171296296</v>
      </c>
      <c r="B2521" s="9" t="str">
        <f>HYPERLINK("https://twitter.com/sheismusic_Ro","@sheismusic_Ro")</f>
        <v>@sheismusic_Ro</v>
      </c>
      <c r="C2521" s="10" t="s">
        <v>10665</v>
      </c>
      <c r="D2521" s="10" t="s">
        <v>10666</v>
      </c>
      <c r="E2521" s="9" t="str">
        <f>HYPERLINK("https://twitter.com/sheismusic_Ro/status/1218383732534415361","1218383732534415361")</f>
        <v>1218383732534415361</v>
      </c>
      <c r="F2521" s="13"/>
      <c r="G2521" s="13"/>
      <c r="H2521" s="13"/>
      <c r="I2521" s="14">
        <v>0.0</v>
      </c>
      <c r="J2521" s="14">
        <v>0.0</v>
      </c>
      <c r="K2521" s="9" t="str">
        <f>HYPERLINK("http://twitter.com/#!/download/ipad","Twitter for iPad")</f>
        <v>Twitter for iPad</v>
      </c>
      <c r="L2521" s="15">
        <v>13.0</v>
      </c>
      <c r="M2521" s="15">
        <v>61.0</v>
      </c>
      <c r="N2521" s="15">
        <v>0.0</v>
      </c>
      <c r="O2521" s="16"/>
      <c r="P2521" s="17">
        <v>43808.7715625</v>
      </c>
      <c r="Q2521" s="13"/>
      <c r="R2521" s="10" t="s">
        <v>10667</v>
      </c>
      <c r="S2521" s="13"/>
      <c r="T2521" s="13"/>
      <c r="U2521" s="18" t="str">
        <f>HYPERLINK("https://pbs.twimg.com/profile_images/1204187845700620288/4q_x8niK.jpg","View")</f>
        <v>View</v>
      </c>
      <c r="V2521" s="13"/>
      <c r="W2521" s="13"/>
      <c r="X2521" s="13"/>
      <c r="Y2521" s="13"/>
      <c r="Z2521" s="13"/>
    </row>
    <row r="2522">
      <c r="A2522" s="8">
        <v>43847.96119212963</v>
      </c>
      <c r="B2522" s="9" t="str">
        <f>HYPERLINK("https://twitter.com/tanveer_farrukh","@tanveer_farrukh")</f>
        <v>@tanveer_farrukh</v>
      </c>
      <c r="C2522" s="10" t="s">
        <v>10668</v>
      </c>
      <c r="D2522" s="10" t="s">
        <v>238</v>
      </c>
      <c r="E2522" s="9" t="str">
        <f>HYPERLINK("https://twitter.com/tanveer_farrukh/status/1218383543837085696","1218383543837085696")</f>
        <v>1218383543837085696</v>
      </c>
      <c r="F2522" s="13"/>
      <c r="G2522" s="13"/>
      <c r="H2522" s="13"/>
      <c r="I2522" s="14">
        <v>0.0</v>
      </c>
      <c r="J2522" s="14">
        <v>0.0</v>
      </c>
      <c r="K2522" s="9" t="str">
        <f>HYPERLINK("http://twitter.com/download/android","Twitter for Android")</f>
        <v>Twitter for Android</v>
      </c>
      <c r="L2522" s="15">
        <v>422.0</v>
      </c>
      <c r="M2522" s="15">
        <v>1206.0</v>
      </c>
      <c r="N2522" s="15">
        <v>13.0</v>
      </c>
      <c r="O2522" s="16"/>
      <c r="P2522" s="17">
        <v>41167.995717592596</v>
      </c>
      <c r="Q2522" s="23" t="s">
        <v>10669</v>
      </c>
      <c r="R2522" s="10" t="s">
        <v>10670</v>
      </c>
      <c r="S2522" s="13"/>
      <c r="T2522" s="13"/>
      <c r="U2522" s="18" t="str">
        <f>HYPERLINK("https://pbs.twimg.com/profile_images/1217088797965418498/_Sr1_vAh.jpg","View")</f>
        <v>View</v>
      </c>
      <c r="V2522" s="13"/>
      <c r="W2522" s="13"/>
      <c r="X2522" s="13"/>
      <c r="Y2522" s="13"/>
      <c r="Z2522" s="13"/>
    </row>
    <row r="2523">
      <c r="A2523" s="8">
        <v>43847.96094907407</v>
      </c>
      <c r="B2523" s="9" t="str">
        <f>HYPERLINK("https://twitter.com/RS_au","@RS_au")</f>
        <v>@RS_au</v>
      </c>
      <c r="C2523" s="10" t="s">
        <v>10671</v>
      </c>
      <c r="D2523" s="10" t="s">
        <v>10672</v>
      </c>
      <c r="E2523" s="9" t="str">
        <f>HYPERLINK("https://twitter.com/RS_au/status/1218383454816989184","1218383454816989184")</f>
        <v>1218383454816989184</v>
      </c>
      <c r="F2523" s="11" t="s">
        <v>10673</v>
      </c>
      <c r="G2523" s="13"/>
      <c r="H2523" s="13"/>
      <c r="I2523" s="14">
        <v>0.0</v>
      </c>
      <c r="J2523" s="14">
        <v>0.0</v>
      </c>
      <c r="K2523" s="9" t="str">
        <f>HYPERLINK("http://twitter.com/download/iphone","Twitter for iPhone")</f>
        <v>Twitter for iPhone</v>
      </c>
      <c r="L2523" s="15">
        <v>365.0</v>
      </c>
      <c r="M2523" s="15">
        <v>141.0</v>
      </c>
      <c r="N2523" s="15">
        <v>40.0</v>
      </c>
      <c r="O2523" s="16"/>
      <c r="P2523" s="17">
        <v>39961.00038194445</v>
      </c>
      <c r="Q2523" s="10" t="s">
        <v>10674</v>
      </c>
      <c r="R2523" s="10" t="s">
        <v>10675</v>
      </c>
      <c r="S2523" s="11" t="s">
        <v>10676</v>
      </c>
      <c r="T2523" s="13"/>
      <c r="U2523" s="18" t="str">
        <f>HYPERLINK("https://pbs.twimg.com/profile_images/632327535548698624/s5YwBE_N.jpg","View")</f>
        <v>View</v>
      </c>
      <c r="V2523" s="13"/>
      <c r="W2523" s="13"/>
      <c r="X2523" s="13"/>
      <c r="Y2523" s="13"/>
      <c r="Z2523" s="13"/>
    </row>
    <row r="2524">
      <c r="A2524" s="8">
        <v>43847.9593287037</v>
      </c>
      <c r="B2524" s="9" t="str">
        <f>HYPERLINK("https://twitter.com/DrLenaDobson","@DrLenaDobson")</f>
        <v>@DrLenaDobson</v>
      </c>
      <c r="C2524" s="10" t="s">
        <v>10677</v>
      </c>
      <c r="D2524" s="10" t="s">
        <v>10678</v>
      </c>
      <c r="E2524" s="9" t="str">
        <f>HYPERLINK("https://twitter.com/DrLenaDobson/status/1218382867425832960","1218382867425832960")</f>
        <v>1218382867425832960</v>
      </c>
      <c r="F2524" s="11" t="s">
        <v>10679</v>
      </c>
      <c r="G2524" s="13"/>
      <c r="H2524" s="13"/>
      <c r="I2524" s="14">
        <v>1.0</v>
      </c>
      <c r="J2524" s="14">
        <v>0.0</v>
      </c>
      <c r="K2524" s="9" t="str">
        <f>HYPERLINK("http://twitter.com/download/android","Twitter for Android")</f>
        <v>Twitter for Android</v>
      </c>
      <c r="L2524" s="15">
        <v>4454.0</v>
      </c>
      <c r="M2524" s="15">
        <v>223.0</v>
      </c>
      <c r="N2524" s="15">
        <v>23.0</v>
      </c>
      <c r="O2524" s="16"/>
      <c r="P2524" s="17">
        <v>42230.69322916667</v>
      </c>
      <c r="Q2524" s="10" t="s">
        <v>10680</v>
      </c>
      <c r="R2524" s="10" t="s">
        <v>10681</v>
      </c>
      <c r="S2524" s="11" t="s">
        <v>10682</v>
      </c>
      <c r="T2524" s="13"/>
      <c r="U2524" s="18" t="str">
        <f>HYPERLINK("https://pbs.twimg.com/profile_images/1137546985043562497/s_Bjd-mB.jpg","View")</f>
        <v>View</v>
      </c>
      <c r="V2524" s="13"/>
      <c r="W2524" s="13"/>
      <c r="X2524" s="13"/>
      <c r="Y2524" s="13"/>
      <c r="Z2524" s="13"/>
    </row>
    <row r="2525">
      <c r="A2525" s="8">
        <v>43847.958599537036</v>
      </c>
      <c r="B2525" s="9" t="str">
        <f>HYPERLINK("https://twitter.com/BetterMeHealth1","@BetterMeHealth1")</f>
        <v>@BetterMeHealth1</v>
      </c>
      <c r="C2525" s="10" t="s">
        <v>10683</v>
      </c>
      <c r="D2525" s="10" t="s">
        <v>10684</v>
      </c>
      <c r="E2525" s="9" t="str">
        <f>HYPERLINK("https://twitter.com/BetterMeHealth1/status/1218382603197329409","1218382603197329409")</f>
        <v>1218382603197329409</v>
      </c>
      <c r="F2525" s="13"/>
      <c r="G2525" s="11" t="s">
        <v>10685</v>
      </c>
      <c r="H2525" s="13"/>
      <c r="I2525" s="14">
        <v>0.0</v>
      </c>
      <c r="J2525" s="14">
        <v>1.0</v>
      </c>
      <c r="K2525" s="9" t="str">
        <f t="shared" ref="K2525:K2526" si="331">HYPERLINK("https://www.hootsuite.com","Hootsuite Inc.")</f>
        <v>Hootsuite Inc.</v>
      </c>
      <c r="L2525" s="15">
        <v>37.0</v>
      </c>
      <c r="M2525" s="15">
        <v>8.0</v>
      </c>
      <c r="N2525" s="15">
        <v>0.0</v>
      </c>
      <c r="O2525" s="16"/>
      <c r="P2525" s="17">
        <v>43426.37061342593</v>
      </c>
      <c r="Q2525" s="10" t="s">
        <v>2998</v>
      </c>
      <c r="R2525" s="10" t="s">
        <v>10686</v>
      </c>
      <c r="S2525" s="11" t="s">
        <v>10687</v>
      </c>
      <c r="T2525" s="13"/>
      <c r="U2525" s="18" t="str">
        <f>HYPERLINK("https://pbs.twimg.com/profile_images/1065633685813305345/TvGUjFAd.jpg","View")</f>
        <v>View</v>
      </c>
      <c r="V2525" s="13"/>
      <c r="W2525" s="13"/>
      <c r="X2525" s="13"/>
      <c r="Y2525" s="13"/>
      <c r="Z2525" s="13"/>
    </row>
    <row r="2526">
      <c r="A2526" s="8">
        <v>43847.9584837963</v>
      </c>
      <c r="B2526" s="9" t="str">
        <f>HYPERLINK("https://twitter.com/mentalhealthind","@mentalhealthind")</f>
        <v>@mentalhealthind</v>
      </c>
      <c r="C2526" s="10" t="s">
        <v>10688</v>
      </c>
      <c r="D2526" s="10" t="s">
        <v>10689</v>
      </c>
      <c r="E2526" s="9" t="str">
        <f>HYPERLINK("https://twitter.com/mentalhealthind/status/1218382561312940032","1218382561312940032")</f>
        <v>1218382561312940032</v>
      </c>
      <c r="F2526" s="11" t="s">
        <v>10690</v>
      </c>
      <c r="G2526" s="13"/>
      <c r="H2526" s="13"/>
      <c r="I2526" s="14">
        <v>0.0</v>
      </c>
      <c r="J2526" s="14">
        <v>4.0</v>
      </c>
      <c r="K2526" s="9" t="str">
        <f t="shared" si="331"/>
        <v>Hootsuite Inc.</v>
      </c>
      <c r="L2526" s="15">
        <v>17446.0</v>
      </c>
      <c r="M2526" s="15">
        <v>536.0</v>
      </c>
      <c r="N2526" s="15">
        <v>126.0</v>
      </c>
      <c r="O2526" s="21" t="s">
        <v>522</v>
      </c>
      <c r="P2526" s="17">
        <v>41788.24979166667</v>
      </c>
      <c r="Q2526" s="10" t="s">
        <v>9870</v>
      </c>
      <c r="R2526" s="10" t="s">
        <v>10691</v>
      </c>
      <c r="S2526" s="11" t="s">
        <v>10692</v>
      </c>
      <c r="T2526" s="13"/>
      <c r="U2526" s="18" t="str">
        <f>HYPERLINK("https://pbs.twimg.com/profile_images/952761428426899456/9kH8P7Gm.jpg","View")</f>
        <v>View</v>
      </c>
      <c r="V2526" s="13"/>
      <c r="W2526" s="13"/>
      <c r="X2526" s="13"/>
      <c r="Y2526" s="13"/>
      <c r="Z2526" s="13"/>
    </row>
    <row r="2527">
      <c r="A2527" s="8">
        <v>43847.95837962963</v>
      </c>
      <c r="B2527" s="9" t="str">
        <f>HYPERLINK("https://twitter.com/Colin_J_Potts","@Colin_J_Potts")</f>
        <v>@Colin_J_Potts</v>
      </c>
      <c r="C2527" s="10" t="s">
        <v>10693</v>
      </c>
      <c r="D2527" s="10" t="s">
        <v>238</v>
      </c>
      <c r="E2527" s="9" t="str">
        <f>HYPERLINK("https://twitter.com/Colin_J_Potts/status/1218382522079297536","1218382522079297536")</f>
        <v>1218382522079297536</v>
      </c>
      <c r="F2527" s="13"/>
      <c r="G2527" s="13"/>
      <c r="H2527" s="13"/>
      <c r="I2527" s="14">
        <v>0.0</v>
      </c>
      <c r="J2527" s="14">
        <v>1.0</v>
      </c>
      <c r="K2527" s="9" t="str">
        <f>HYPERLINK("https://mobile.twitter.com","Twitter Web App")</f>
        <v>Twitter Web App</v>
      </c>
      <c r="L2527" s="15">
        <v>2736.0</v>
      </c>
      <c r="M2527" s="15">
        <v>3213.0</v>
      </c>
      <c r="N2527" s="15">
        <v>34.0</v>
      </c>
      <c r="O2527" s="16"/>
      <c r="P2527" s="17">
        <v>41355.31248842592</v>
      </c>
      <c r="Q2527" s="10" t="s">
        <v>1332</v>
      </c>
      <c r="R2527" s="10" t="s">
        <v>10694</v>
      </c>
      <c r="S2527" s="13"/>
      <c r="T2527" s="13"/>
      <c r="U2527" s="18" t="str">
        <f>HYPERLINK("https://pbs.twimg.com/profile_images/450549541733806080/Jlj8sVsM.jpeg","View")</f>
        <v>View</v>
      </c>
      <c r="V2527" s="13"/>
      <c r="W2527" s="13"/>
      <c r="X2527" s="13"/>
      <c r="Y2527" s="13"/>
      <c r="Z2527" s="13"/>
    </row>
    <row r="2528">
      <c r="A2528" s="8">
        <v>43847.958032407405</v>
      </c>
      <c r="B2528" s="9" t="str">
        <f>HYPERLINK("https://twitter.com/NikRocks1","@NikRocks1")</f>
        <v>@NikRocks1</v>
      </c>
      <c r="C2528" s="10" t="s">
        <v>10695</v>
      </c>
      <c r="D2528" s="10" t="s">
        <v>10696</v>
      </c>
      <c r="E2528" s="9" t="str">
        <f>HYPERLINK("https://twitter.com/NikRocks1/status/1218382396845907973","1218382396845907973")</f>
        <v>1218382396845907973</v>
      </c>
      <c r="F2528" s="13"/>
      <c r="G2528" s="11" t="s">
        <v>10697</v>
      </c>
      <c r="H2528" s="13"/>
      <c r="I2528" s="14">
        <v>0.0</v>
      </c>
      <c r="J2528" s="14">
        <v>1.0</v>
      </c>
      <c r="K2528" s="9" t="str">
        <f>HYPERLINK("http://twitter.com/download/android","Twitter for Android")</f>
        <v>Twitter for Android</v>
      </c>
      <c r="L2528" s="15">
        <v>70.0</v>
      </c>
      <c r="M2528" s="15">
        <v>11.0</v>
      </c>
      <c r="N2528" s="15">
        <v>0.0</v>
      </c>
      <c r="O2528" s="16"/>
      <c r="P2528" s="17">
        <v>42831.826956018514</v>
      </c>
      <c r="Q2528" s="10" t="s">
        <v>166</v>
      </c>
      <c r="R2528" s="10" t="s">
        <v>10698</v>
      </c>
      <c r="S2528" s="13"/>
      <c r="T2528" s="13"/>
      <c r="U2528" s="18" t="str">
        <f>HYPERLINK("https://pbs.twimg.com/profile_images/1130655412318101505/rueWbS2q.jpg","View")</f>
        <v>View</v>
      </c>
      <c r="V2528" s="13"/>
      <c r="W2528" s="13"/>
      <c r="X2528" s="13"/>
      <c r="Y2528" s="13"/>
      <c r="Z2528" s="13"/>
    </row>
    <row r="2529">
      <c r="A2529" s="8">
        <v>43847.955289351856</v>
      </c>
      <c r="B2529" s="9" t="str">
        <f>HYPERLINK("https://twitter.com/sirandysaunders","@sirandysaunders")</f>
        <v>@sirandysaunders</v>
      </c>
      <c r="C2529" s="10" t="s">
        <v>10699</v>
      </c>
      <c r="D2529" s="10" t="s">
        <v>10700</v>
      </c>
      <c r="E2529" s="9" t="str">
        <f>HYPERLINK("https://twitter.com/sirandysaunders/status/1218381402586173440","1218381402586173440")</f>
        <v>1218381402586173440</v>
      </c>
      <c r="F2529" s="11" t="s">
        <v>10701</v>
      </c>
      <c r="G2529" s="13"/>
      <c r="H2529" s="13"/>
      <c r="I2529" s="14">
        <v>0.0</v>
      </c>
      <c r="J2529" s="14">
        <v>0.0</v>
      </c>
      <c r="K2529" s="9" t="str">
        <f t="shared" ref="K2529:K2530" si="332">HYPERLINK("https://mobile.twitter.com","Twitter Web App")</f>
        <v>Twitter Web App</v>
      </c>
      <c r="L2529" s="15">
        <v>1326.0</v>
      </c>
      <c r="M2529" s="15">
        <v>5001.0</v>
      </c>
      <c r="N2529" s="15">
        <v>87.0</v>
      </c>
      <c r="O2529" s="16"/>
      <c r="P2529" s="17">
        <v>42692.920578703706</v>
      </c>
      <c r="Q2529" s="10" t="s">
        <v>10702</v>
      </c>
      <c r="R2529" s="10" t="s">
        <v>10703</v>
      </c>
      <c r="S2529" s="13"/>
      <c r="T2529" s="13"/>
      <c r="U2529" s="18" t="str">
        <f>HYPERLINK("https://pbs.twimg.com/profile_images/1185841169558917120/eh4J5p1C.jpg","View")</f>
        <v>View</v>
      </c>
      <c r="V2529" s="13"/>
      <c r="W2529" s="13"/>
      <c r="X2529" s="13"/>
      <c r="Y2529" s="13"/>
      <c r="Z2529" s="13"/>
    </row>
    <row r="2530">
      <c r="A2530" s="8">
        <v>43847.955138888894</v>
      </c>
      <c r="B2530" s="9" t="str">
        <f>HYPERLINK("https://twitter.com/Ls3Ball","@Ls3Ball")</f>
        <v>@Ls3Ball</v>
      </c>
      <c r="C2530" s="10" t="s">
        <v>10704</v>
      </c>
      <c r="D2530" s="10" t="s">
        <v>10705</v>
      </c>
      <c r="E2530" s="9" t="str">
        <f>HYPERLINK("https://twitter.com/Ls3Ball/status/1218381349725310976","1218381349725310976")</f>
        <v>1218381349725310976</v>
      </c>
      <c r="F2530" s="11" t="s">
        <v>10706</v>
      </c>
      <c r="G2530" s="13"/>
      <c r="H2530" s="13"/>
      <c r="I2530" s="14">
        <v>1.0</v>
      </c>
      <c r="J2530" s="14">
        <v>0.0</v>
      </c>
      <c r="K2530" s="9" t="str">
        <f t="shared" si="332"/>
        <v>Twitter Web App</v>
      </c>
      <c r="L2530" s="15">
        <v>14.0</v>
      </c>
      <c r="M2530" s="15">
        <v>103.0</v>
      </c>
      <c r="N2530" s="15">
        <v>0.0</v>
      </c>
      <c r="O2530" s="16"/>
      <c r="P2530" s="17">
        <v>43751.69064814815</v>
      </c>
      <c r="Q2530" s="13"/>
      <c r="R2530" s="10" t="s">
        <v>10707</v>
      </c>
      <c r="S2530" s="11" t="s">
        <v>10708</v>
      </c>
      <c r="T2530" s="13"/>
      <c r="U2530" s="18" t="str">
        <f>HYPERLINK("https://pbs.twimg.com/profile_images/1183481283827122181/mPDYvLJ6.png","View")</f>
        <v>View</v>
      </c>
      <c r="V2530" s="13"/>
      <c r="W2530" s="13"/>
      <c r="X2530" s="13"/>
      <c r="Y2530" s="13"/>
      <c r="Z2530" s="13"/>
    </row>
    <row r="2531">
      <c r="A2531" s="8">
        <v>43847.95207175926</v>
      </c>
      <c r="B2531" s="9" t="str">
        <f>HYPERLINK("https://twitter.com/RealCoachArnie","@RealCoachArnie")</f>
        <v>@RealCoachArnie</v>
      </c>
      <c r="C2531" s="10" t="s">
        <v>790</v>
      </c>
      <c r="D2531" s="10" t="s">
        <v>10709</v>
      </c>
      <c r="E2531" s="9" t="str">
        <f>HYPERLINK("https://twitter.com/RealCoachArnie/status/1218380234925326336","1218380234925326336")</f>
        <v>1218380234925326336</v>
      </c>
      <c r="F2531" s="11" t="s">
        <v>10710</v>
      </c>
      <c r="G2531" s="13"/>
      <c r="H2531" s="13"/>
      <c r="I2531" s="14">
        <v>0.0</v>
      </c>
      <c r="J2531" s="14">
        <v>0.0</v>
      </c>
      <c r="K2531" s="9" t="str">
        <f>HYPERLINK("http://www.tiktok.com","TikTok - Make Your Day")</f>
        <v>TikTok - Make Your Day</v>
      </c>
      <c r="L2531" s="15">
        <v>1397.0</v>
      </c>
      <c r="M2531" s="15">
        <v>2097.0</v>
      </c>
      <c r="N2531" s="15">
        <v>11.0</v>
      </c>
      <c r="O2531" s="16"/>
      <c r="P2531" s="17">
        <v>41075.58196759259</v>
      </c>
      <c r="Q2531" s="10" t="s">
        <v>792</v>
      </c>
      <c r="R2531" s="10" t="s">
        <v>793</v>
      </c>
      <c r="S2531" s="11" t="s">
        <v>794</v>
      </c>
      <c r="T2531" s="13"/>
      <c r="U2531" s="18" t="str">
        <f>HYPERLINK("https://pbs.twimg.com/profile_images/1179206494446747653/PR6-8HMY.jpg","View")</f>
        <v>View</v>
      </c>
      <c r="V2531" s="13"/>
      <c r="W2531" s="13"/>
      <c r="X2531" s="13"/>
      <c r="Y2531" s="13"/>
      <c r="Z2531" s="13"/>
    </row>
    <row r="2532">
      <c r="A2532" s="8">
        <v>43847.95186342593</v>
      </c>
      <c r="B2532" s="9" t="str">
        <f>HYPERLINK("https://twitter.com/almirlima1969","@almirlima1969")</f>
        <v>@almirlima1969</v>
      </c>
      <c r="C2532" s="10" t="s">
        <v>10711</v>
      </c>
      <c r="D2532" s="10" t="s">
        <v>238</v>
      </c>
      <c r="E2532" s="9" t="str">
        <f>HYPERLINK("https://twitter.com/almirlima1969/status/1218380163269808129","1218380163269808129")</f>
        <v>1218380163269808129</v>
      </c>
      <c r="F2532" s="13"/>
      <c r="G2532" s="13"/>
      <c r="H2532" s="13"/>
      <c r="I2532" s="14">
        <v>0.0</v>
      </c>
      <c r="J2532" s="14">
        <v>1.0</v>
      </c>
      <c r="K2532" s="9" t="str">
        <f>HYPERLINK("http://twitter.com/download/iphone","Twitter for iPhone")</f>
        <v>Twitter for iPhone</v>
      </c>
      <c r="L2532" s="15">
        <v>26.0</v>
      </c>
      <c r="M2532" s="15">
        <v>92.0</v>
      </c>
      <c r="N2532" s="15">
        <v>0.0</v>
      </c>
      <c r="O2532" s="16"/>
      <c r="P2532" s="17">
        <v>42771.80766203704</v>
      </c>
      <c r="Q2532" s="10" t="s">
        <v>10712</v>
      </c>
      <c r="R2532" s="10" t="s">
        <v>10713</v>
      </c>
      <c r="S2532" s="13"/>
      <c r="T2532" s="13"/>
      <c r="U2532" s="18" t="str">
        <f>HYPERLINK("https://pbs.twimg.com/profile_images/829534358658760704/iwkhHSB2.jpg","View")</f>
        <v>View</v>
      </c>
      <c r="V2532" s="13"/>
      <c r="W2532" s="13"/>
      <c r="X2532" s="13"/>
      <c r="Y2532" s="13"/>
      <c r="Z2532" s="13"/>
    </row>
    <row r="2533">
      <c r="A2533" s="8">
        <v>43847.95152777778</v>
      </c>
      <c r="B2533" s="9" t="str">
        <f>HYPERLINK("https://twitter.com/Ruky2020","@Ruky2020")</f>
        <v>@Ruky2020</v>
      </c>
      <c r="C2533" s="10" t="s">
        <v>10714</v>
      </c>
      <c r="D2533" s="10" t="s">
        <v>238</v>
      </c>
      <c r="E2533" s="9" t="str">
        <f>HYPERLINK("https://twitter.com/Ruky2020/status/1218380038229430272","1218380038229430272")</f>
        <v>1218380038229430272</v>
      </c>
      <c r="F2533" s="13"/>
      <c r="G2533" s="13"/>
      <c r="H2533" s="13"/>
      <c r="I2533" s="14">
        <v>1.0</v>
      </c>
      <c r="J2533" s="14">
        <v>2.0</v>
      </c>
      <c r="K2533" s="9" t="str">
        <f>HYPERLINK("http://twitter.com/download/android","Twitter for Android")</f>
        <v>Twitter for Android</v>
      </c>
      <c r="L2533" s="15">
        <v>124.0</v>
      </c>
      <c r="M2533" s="15">
        <v>634.0</v>
      </c>
      <c r="N2533" s="15">
        <v>0.0</v>
      </c>
      <c r="O2533" s="16"/>
      <c r="P2533" s="17">
        <v>41320.186747685184</v>
      </c>
      <c r="Q2533" s="13"/>
      <c r="R2533" s="13"/>
      <c r="S2533" s="13"/>
      <c r="T2533" s="13"/>
      <c r="U2533" s="18" t="str">
        <f>HYPERLINK("https://pbs.twimg.com/profile_images/1049374033484156929/qC3VmUwO.jpg","View")</f>
        <v>View</v>
      </c>
      <c r="V2533" s="13"/>
      <c r="W2533" s="13"/>
      <c r="X2533" s="13"/>
      <c r="Y2533" s="13"/>
      <c r="Z2533" s="13"/>
    </row>
    <row r="2534">
      <c r="A2534" s="8">
        <v>43847.95123842593</v>
      </c>
      <c r="B2534" s="9" t="str">
        <f>HYPERLINK("https://twitter.com/katiemaniaci","@katiemaniaci")</f>
        <v>@katiemaniaci</v>
      </c>
      <c r="C2534" s="10" t="s">
        <v>10715</v>
      </c>
      <c r="D2534" s="10" t="s">
        <v>238</v>
      </c>
      <c r="E2534" s="9" t="str">
        <f>HYPERLINK("https://twitter.com/katiemaniaci/status/1218379936387551232","1218379936387551232")</f>
        <v>1218379936387551232</v>
      </c>
      <c r="F2534" s="13"/>
      <c r="G2534" s="13"/>
      <c r="H2534" s="13"/>
      <c r="I2534" s="14">
        <v>1.0</v>
      </c>
      <c r="J2534" s="14">
        <v>0.0</v>
      </c>
      <c r="K2534" s="9" t="str">
        <f>HYPERLINK("http://twitter.com/download/iphone","Twitter for iPhone")</f>
        <v>Twitter for iPhone</v>
      </c>
      <c r="L2534" s="15">
        <v>440.0</v>
      </c>
      <c r="M2534" s="15">
        <v>1151.0</v>
      </c>
      <c r="N2534" s="15">
        <v>3.0</v>
      </c>
      <c r="O2534" s="16"/>
      <c r="P2534" s="17">
        <v>39925.46582175926</v>
      </c>
      <c r="Q2534" s="10" t="s">
        <v>10716</v>
      </c>
      <c r="R2534" s="10" t="s">
        <v>10717</v>
      </c>
      <c r="S2534" s="11" t="s">
        <v>10718</v>
      </c>
      <c r="T2534" s="13"/>
      <c r="U2534" s="18" t="str">
        <f>HYPERLINK("https://pbs.twimg.com/profile_images/1204842260313051142/CybmAD_U.jpg","View")</f>
        <v>View</v>
      </c>
      <c r="V2534" s="13"/>
      <c r="W2534" s="13"/>
      <c r="X2534" s="13"/>
      <c r="Y2534" s="13"/>
      <c r="Z2534" s="13"/>
    </row>
    <row r="2535">
      <c r="A2535" s="8">
        <v>43847.951053240744</v>
      </c>
      <c r="B2535" s="9" t="str">
        <f>HYPERLINK("https://twitter.com/Mrsmlg2009","@Mrsmlg2009")</f>
        <v>@Mrsmlg2009</v>
      </c>
      <c r="C2535" s="10" t="s">
        <v>10719</v>
      </c>
      <c r="D2535" s="10" t="s">
        <v>238</v>
      </c>
      <c r="E2535" s="9" t="str">
        <f>HYPERLINK("https://twitter.com/Mrsmlg2009/status/1218379867433197568","1218379867433197568")</f>
        <v>1218379867433197568</v>
      </c>
      <c r="F2535" s="13"/>
      <c r="G2535" s="13"/>
      <c r="H2535" s="13"/>
      <c r="I2535" s="14">
        <v>1.0</v>
      </c>
      <c r="J2535" s="14">
        <v>0.0</v>
      </c>
      <c r="K2535" s="9" t="str">
        <f>HYPERLINK("http://twitter.com/#!/download/ipad","Twitter for iPad")</f>
        <v>Twitter for iPad</v>
      </c>
      <c r="L2535" s="15">
        <v>720.0</v>
      </c>
      <c r="M2535" s="15">
        <v>1153.0</v>
      </c>
      <c r="N2535" s="15">
        <v>0.0</v>
      </c>
      <c r="O2535" s="16"/>
      <c r="P2535" s="17">
        <v>39898.70145833334</v>
      </c>
      <c r="Q2535" s="10" t="s">
        <v>1460</v>
      </c>
      <c r="R2535" s="10" t="s">
        <v>10720</v>
      </c>
      <c r="S2535" s="13"/>
      <c r="T2535" s="13"/>
      <c r="U2535" s="18" t="str">
        <f>HYPERLINK("https://pbs.twimg.com/profile_images/1073639082943758342/thd8JHHk.jpg","View")</f>
        <v>View</v>
      </c>
      <c r="V2535" s="13"/>
      <c r="W2535" s="13"/>
      <c r="X2535" s="13"/>
      <c r="Y2535" s="13"/>
      <c r="Z2535" s="13"/>
    </row>
    <row r="2536">
      <c r="A2536" s="8">
        <v>43847.950625</v>
      </c>
      <c r="B2536" s="9" t="str">
        <f>HYPERLINK("https://twitter.com/SimplyAlvin64","@SimplyAlvin64")</f>
        <v>@SimplyAlvin64</v>
      </c>
      <c r="C2536" s="10" t="s">
        <v>1071</v>
      </c>
      <c r="D2536" s="10" t="s">
        <v>10721</v>
      </c>
      <c r="E2536" s="9" t="str">
        <f>HYPERLINK("https://twitter.com/SimplyAlvin64/status/1218379711795146752","1218379711795146752")</f>
        <v>1218379711795146752</v>
      </c>
      <c r="F2536" s="13"/>
      <c r="G2536" s="11" t="s">
        <v>10722</v>
      </c>
      <c r="H2536" s="13"/>
      <c r="I2536" s="14">
        <v>0.0</v>
      </c>
      <c r="J2536" s="14">
        <v>4.0</v>
      </c>
      <c r="K2536" s="9" t="str">
        <f>HYPERLINK("https://mobile.twitter.com","Twitter Web App")</f>
        <v>Twitter Web App</v>
      </c>
      <c r="L2536" s="15">
        <v>978.0</v>
      </c>
      <c r="M2536" s="15">
        <v>699.0</v>
      </c>
      <c r="N2536" s="15">
        <v>24.0</v>
      </c>
      <c r="O2536" s="16"/>
      <c r="P2536" s="17">
        <v>42047.799212962964</v>
      </c>
      <c r="Q2536" s="10" t="s">
        <v>1074</v>
      </c>
      <c r="R2536" s="10" t="s">
        <v>1075</v>
      </c>
      <c r="S2536" s="11" t="s">
        <v>1076</v>
      </c>
      <c r="T2536" s="13"/>
      <c r="U2536" s="18" t="str">
        <f>HYPERLINK("https://pbs.twimg.com/profile_images/1191165577848483840/ulsqd5YY.png","View")</f>
        <v>View</v>
      </c>
      <c r="V2536" s="13"/>
      <c r="W2536" s="13"/>
      <c r="X2536" s="13"/>
      <c r="Y2536" s="13"/>
      <c r="Z2536" s="13"/>
    </row>
    <row r="2537">
      <c r="A2537" s="8">
        <v>43847.95030092592</v>
      </c>
      <c r="B2537" s="9" t="str">
        <f>HYPERLINK("https://twitter.com/Paul38403409","@Paul38403409")</f>
        <v>@Paul38403409</v>
      </c>
      <c r="C2537" s="10" t="s">
        <v>10723</v>
      </c>
      <c r="D2537" s="10" t="s">
        <v>10724</v>
      </c>
      <c r="E2537" s="9" t="str">
        <f>HYPERLINK("https://twitter.com/Paul38403409/status/1218379595629514753","1218379595629514753")</f>
        <v>1218379595629514753</v>
      </c>
      <c r="F2537" s="13"/>
      <c r="G2537" s="11" t="s">
        <v>10725</v>
      </c>
      <c r="H2537" s="13"/>
      <c r="I2537" s="14">
        <v>1.0</v>
      </c>
      <c r="J2537" s="14">
        <v>1.0</v>
      </c>
      <c r="K2537" s="9" t="str">
        <f>HYPERLINK("http://twitter.com/download/iphone","Twitter for iPhone")</f>
        <v>Twitter for iPhone</v>
      </c>
      <c r="L2537" s="15">
        <v>0.0</v>
      </c>
      <c r="M2537" s="15">
        <v>19.0</v>
      </c>
      <c r="N2537" s="15">
        <v>0.0</v>
      </c>
      <c r="O2537" s="16"/>
      <c r="P2537" s="17">
        <v>43841.733252314814</v>
      </c>
      <c r="Q2537" s="13"/>
      <c r="R2537" s="10" t="s">
        <v>10726</v>
      </c>
      <c r="S2537" s="13"/>
      <c r="T2537" s="13"/>
      <c r="U2537" s="18" t="str">
        <f>HYPERLINK("https://pbs.twimg.com/profile_images/1218360624977043456/CCx5v3wZ.jpg","View")</f>
        <v>View</v>
      </c>
      <c r="V2537" s="13"/>
      <c r="W2537" s="13"/>
      <c r="X2537" s="13"/>
      <c r="Y2537" s="13"/>
      <c r="Z2537" s="13"/>
    </row>
    <row r="2538">
      <c r="A2538" s="8">
        <v>43847.950104166666</v>
      </c>
      <c r="B2538" s="9" t="str">
        <f>HYPERLINK("https://twitter.com/GinManCounselor","@GinManCounselor")</f>
        <v>@GinManCounselor</v>
      </c>
      <c r="C2538" s="10" t="s">
        <v>10727</v>
      </c>
      <c r="D2538" s="10" t="s">
        <v>10728</v>
      </c>
      <c r="E2538" s="9" t="str">
        <f>HYPERLINK("https://twitter.com/GinManCounselor/status/1218379523223408640","1218379523223408640")</f>
        <v>1218379523223408640</v>
      </c>
      <c r="F2538" s="13"/>
      <c r="G2538" s="11" t="s">
        <v>10729</v>
      </c>
      <c r="H2538" s="13"/>
      <c r="I2538" s="14">
        <v>0.0</v>
      </c>
      <c r="J2538" s="14">
        <v>0.0</v>
      </c>
      <c r="K2538" s="9" t="str">
        <f>HYPERLINK("https://buffer.com","Buffer")</f>
        <v>Buffer</v>
      </c>
      <c r="L2538" s="15">
        <v>342.0</v>
      </c>
      <c r="M2538" s="15">
        <v>631.0</v>
      </c>
      <c r="N2538" s="15">
        <v>6.0</v>
      </c>
      <c r="O2538" s="16"/>
      <c r="P2538" s="17">
        <v>39980.659629629634</v>
      </c>
      <c r="Q2538" s="10" t="s">
        <v>7733</v>
      </c>
      <c r="R2538" s="10" t="s">
        <v>10730</v>
      </c>
      <c r="S2538" s="11" t="s">
        <v>10731</v>
      </c>
      <c r="T2538" s="13"/>
      <c r="U2538" s="18" t="str">
        <f>HYPERLINK("https://pbs.twimg.com/profile_images/1212761017169657861/XbwmxXmH.jpg","View")</f>
        <v>View</v>
      </c>
      <c r="V2538" s="13"/>
      <c r="W2538" s="13"/>
      <c r="X2538" s="13"/>
      <c r="Y2538" s="13"/>
      <c r="Z2538" s="13"/>
    </row>
    <row r="2539">
      <c r="A2539" s="8">
        <v>43847.94989583333</v>
      </c>
      <c r="B2539" s="9" t="str">
        <f>HYPERLINK("https://twitter.com/RealCoachArnie","@RealCoachArnie")</f>
        <v>@RealCoachArnie</v>
      </c>
      <c r="C2539" s="10" t="s">
        <v>790</v>
      </c>
      <c r="D2539" s="10" t="s">
        <v>10732</v>
      </c>
      <c r="E2539" s="9" t="str">
        <f>HYPERLINK("https://twitter.com/RealCoachArnie/status/1218379447989964801","1218379447989964801")</f>
        <v>1218379447989964801</v>
      </c>
      <c r="F2539" s="11" t="s">
        <v>10733</v>
      </c>
      <c r="G2539" s="13"/>
      <c r="H2539" s="13"/>
      <c r="I2539" s="14">
        <v>0.0</v>
      </c>
      <c r="J2539" s="14">
        <v>0.0</v>
      </c>
      <c r="K2539" s="9" t="str">
        <f>HYPERLINK("http://www.tiktok.com","TikTok - Make Your Day")</f>
        <v>TikTok - Make Your Day</v>
      </c>
      <c r="L2539" s="15">
        <v>1397.0</v>
      </c>
      <c r="M2539" s="15">
        <v>2097.0</v>
      </c>
      <c r="N2539" s="15">
        <v>11.0</v>
      </c>
      <c r="O2539" s="16"/>
      <c r="P2539" s="17">
        <v>41075.58196759259</v>
      </c>
      <c r="Q2539" s="10" t="s">
        <v>792</v>
      </c>
      <c r="R2539" s="10" t="s">
        <v>793</v>
      </c>
      <c r="S2539" s="11" t="s">
        <v>794</v>
      </c>
      <c r="T2539" s="13"/>
      <c r="U2539" s="18" t="str">
        <f>HYPERLINK("https://pbs.twimg.com/profile_images/1179206494446747653/PR6-8HMY.jpg","View")</f>
        <v>View</v>
      </c>
      <c r="V2539" s="13"/>
      <c r="W2539" s="13"/>
      <c r="X2539" s="13"/>
      <c r="Y2539" s="13"/>
      <c r="Z2539" s="13"/>
    </row>
    <row r="2540">
      <c r="A2540" s="8">
        <v>43847.94891203704</v>
      </c>
      <c r="B2540" s="9" t="str">
        <f>HYPERLINK("https://twitter.com/BoldeResident","@BoldeResident")</f>
        <v>@BoldeResident</v>
      </c>
      <c r="C2540" s="10" t="s">
        <v>10734</v>
      </c>
      <c r="D2540" s="10" t="s">
        <v>10735</v>
      </c>
      <c r="E2540" s="9" t="str">
        <f>HYPERLINK("https://twitter.com/BoldeResident/status/1218379089825812480","1218379089825812480")</f>
        <v>1218379089825812480</v>
      </c>
      <c r="F2540" s="11" t="s">
        <v>10736</v>
      </c>
      <c r="G2540" s="13"/>
      <c r="H2540" s="13"/>
      <c r="I2540" s="14">
        <v>0.0</v>
      </c>
      <c r="J2540" s="14">
        <v>2.0</v>
      </c>
      <c r="K2540" s="9" t="str">
        <f>HYPERLINK("https://mobile.twitter.com","Twitter Web App")</f>
        <v>Twitter Web App</v>
      </c>
      <c r="L2540" s="15">
        <v>486.0</v>
      </c>
      <c r="M2540" s="15">
        <v>493.0</v>
      </c>
      <c r="N2540" s="15">
        <v>1.0</v>
      </c>
      <c r="O2540" s="16"/>
      <c r="P2540" s="17">
        <v>43570.76596064815</v>
      </c>
      <c r="Q2540" s="10" t="s">
        <v>228</v>
      </c>
      <c r="R2540" s="10" t="s">
        <v>10737</v>
      </c>
      <c r="S2540" s="11" t="s">
        <v>10738</v>
      </c>
      <c r="T2540" s="13"/>
      <c r="U2540" s="18" t="str">
        <f>HYPERLINK("https://pbs.twimg.com/profile_images/1117922304342646785/BSoCiXtv.png","View")</f>
        <v>View</v>
      </c>
      <c r="V2540" s="13"/>
      <c r="W2540" s="13"/>
      <c r="X2540" s="13"/>
      <c r="Y2540" s="13"/>
      <c r="Z2540" s="13"/>
    </row>
    <row r="2541">
      <c r="A2541" s="8">
        <v>43847.948842592596</v>
      </c>
      <c r="B2541" s="9" t="str">
        <f>HYPERLINK("https://twitter.com/AlexanderTheKim","@AlexanderTheKim")</f>
        <v>@AlexanderTheKim</v>
      </c>
      <c r="C2541" s="10" t="s">
        <v>1687</v>
      </c>
      <c r="D2541" s="10" t="s">
        <v>10739</v>
      </c>
      <c r="E2541" s="9" t="str">
        <f>HYPERLINK("https://twitter.com/AlexanderTheKim/status/1218379065343672323","1218379065343672323")</f>
        <v>1218379065343672323</v>
      </c>
      <c r="F2541" s="11" t="s">
        <v>10740</v>
      </c>
      <c r="G2541" s="13"/>
      <c r="H2541" s="13"/>
      <c r="I2541" s="14">
        <v>0.0</v>
      </c>
      <c r="J2541" s="14">
        <v>0.0</v>
      </c>
      <c r="K2541" s="9" t="str">
        <f>HYPERLINK("http://twitter.com/download/iphone","Twitter for iPhone")</f>
        <v>Twitter for iPhone</v>
      </c>
      <c r="L2541" s="15">
        <v>637.0</v>
      </c>
      <c r="M2541" s="15">
        <v>679.0</v>
      </c>
      <c r="N2541" s="15">
        <v>19.0</v>
      </c>
      <c r="O2541" s="16"/>
      <c r="P2541" s="17">
        <v>41119.67853009259</v>
      </c>
      <c r="Q2541" s="10" t="s">
        <v>1690</v>
      </c>
      <c r="R2541" s="10" t="s">
        <v>1691</v>
      </c>
      <c r="S2541" s="11" t="s">
        <v>1692</v>
      </c>
      <c r="T2541" s="13"/>
      <c r="U2541" s="18" t="str">
        <f>HYPERLINK("https://pbs.twimg.com/profile_images/926849936620011520/rBLyJDWq.jpg","View")</f>
        <v>View</v>
      </c>
      <c r="V2541" s="13"/>
      <c r="W2541" s="13"/>
      <c r="X2541" s="13"/>
      <c r="Y2541" s="13"/>
      <c r="Z2541" s="13"/>
    </row>
    <row r="2542">
      <c r="A2542" s="8">
        <v>43847.94825231482</v>
      </c>
      <c r="B2542" s="9" t="str">
        <f>HYPERLINK("https://twitter.com/JoeAccardi","@JoeAccardi")</f>
        <v>@JoeAccardi</v>
      </c>
      <c r="C2542" s="10" t="s">
        <v>570</v>
      </c>
      <c r="D2542" s="10" t="s">
        <v>10741</v>
      </c>
      <c r="E2542" s="9" t="str">
        <f>HYPERLINK("https://twitter.com/JoeAccardi/status/1218378854299066371","1218378854299066371")</f>
        <v>1218378854299066371</v>
      </c>
      <c r="F2542" s="11" t="s">
        <v>10742</v>
      </c>
      <c r="G2542" s="13"/>
      <c r="H2542" s="13"/>
      <c r="I2542" s="14">
        <v>0.0</v>
      </c>
      <c r="J2542" s="14">
        <v>0.0</v>
      </c>
      <c r="K2542" s="9" t="str">
        <f>HYPERLINK("http://apps.twitter.com","Tweet4Joe")</f>
        <v>Tweet4Joe</v>
      </c>
      <c r="L2542" s="15">
        <v>7452.0</v>
      </c>
      <c r="M2542" s="15">
        <v>3963.0</v>
      </c>
      <c r="N2542" s="15">
        <v>180.0</v>
      </c>
      <c r="O2542" s="16"/>
      <c r="P2542" s="17">
        <v>41954.40488425926</v>
      </c>
      <c r="Q2542" s="10" t="s">
        <v>73</v>
      </c>
      <c r="R2542" s="10" t="s">
        <v>573</v>
      </c>
      <c r="S2542" s="11" t="s">
        <v>574</v>
      </c>
      <c r="T2542" s="13"/>
      <c r="U2542" s="18" t="str">
        <f>HYPERLINK("https://pbs.twimg.com/profile_images/532181977642721280/iVWYxAYE.jpeg","View")</f>
        <v>View</v>
      </c>
      <c r="V2542" s="13"/>
      <c r="W2542" s="13"/>
      <c r="X2542" s="13"/>
      <c r="Y2542" s="13"/>
      <c r="Z2542" s="13"/>
    </row>
    <row r="2543">
      <c r="A2543" s="8">
        <v>43847.94819444444</v>
      </c>
      <c r="B2543" s="9" t="str">
        <f>HYPERLINK("https://twitter.com/genet_screwed","@genet_screwed")</f>
        <v>@genet_screwed</v>
      </c>
      <c r="C2543" s="10" t="s">
        <v>1370</v>
      </c>
      <c r="D2543" s="10" t="s">
        <v>10743</v>
      </c>
      <c r="E2543" s="9" t="str">
        <f>HYPERLINK("https://twitter.com/genet_screwed/status/1218378833155575809","1218378833155575809")</f>
        <v>1218378833155575809</v>
      </c>
      <c r="F2543" s="11" t="s">
        <v>10744</v>
      </c>
      <c r="G2543" s="13"/>
      <c r="H2543" s="13"/>
      <c r="I2543" s="14">
        <v>0.0</v>
      </c>
      <c r="J2543" s="14">
        <v>1.0</v>
      </c>
      <c r="K2543" s="9" t="str">
        <f t="shared" ref="K2543:K2544" si="333">HYPERLINK("http://twitter.com/download/android","Twitter for Android")</f>
        <v>Twitter for Android</v>
      </c>
      <c r="L2543" s="15">
        <v>137.0</v>
      </c>
      <c r="M2543" s="15">
        <v>479.0</v>
      </c>
      <c r="N2543" s="15">
        <v>1.0</v>
      </c>
      <c r="O2543" s="16"/>
      <c r="P2543" s="17">
        <v>43124.348645833335</v>
      </c>
      <c r="Q2543" s="10" t="s">
        <v>1372</v>
      </c>
      <c r="R2543" s="10" t="s">
        <v>1373</v>
      </c>
      <c r="S2543" s="13"/>
      <c r="T2543" s="13"/>
      <c r="U2543" s="18" t="str">
        <f>HYPERLINK("https://pbs.twimg.com/profile_images/1218375619207143424/rKxa_S8O.jpg","View")</f>
        <v>View</v>
      </c>
      <c r="V2543" s="13"/>
      <c r="W2543" s="13"/>
      <c r="X2543" s="13"/>
      <c r="Y2543" s="13"/>
      <c r="Z2543" s="13"/>
    </row>
    <row r="2544">
      <c r="A2544" s="8">
        <v>43847.94819444444</v>
      </c>
      <c r="B2544" s="9" t="str">
        <f>HYPERLINK("https://twitter.com/CollinBrown85","@CollinBrown85")</f>
        <v>@CollinBrown85</v>
      </c>
      <c r="C2544" s="10" t="s">
        <v>5650</v>
      </c>
      <c r="D2544" s="10" t="s">
        <v>10745</v>
      </c>
      <c r="E2544" s="9" t="str">
        <f>HYPERLINK("https://twitter.com/CollinBrown85/status/1218378832043864065","1218378832043864065")</f>
        <v>1218378832043864065</v>
      </c>
      <c r="F2544" s="13"/>
      <c r="G2544" s="13"/>
      <c r="H2544" s="13"/>
      <c r="I2544" s="14">
        <v>1.0</v>
      </c>
      <c r="J2544" s="14">
        <v>2.0</v>
      </c>
      <c r="K2544" s="9" t="str">
        <f t="shared" si="333"/>
        <v>Twitter for Android</v>
      </c>
      <c r="L2544" s="15">
        <v>350.0</v>
      </c>
      <c r="M2544" s="15">
        <v>892.0</v>
      </c>
      <c r="N2544" s="15">
        <v>19.0</v>
      </c>
      <c r="O2544" s="16"/>
      <c r="P2544" s="17">
        <v>40249.483402777776</v>
      </c>
      <c r="Q2544" s="10" t="s">
        <v>5652</v>
      </c>
      <c r="R2544" s="10" t="s">
        <v>5653</v>
      </c>
      <c r="S2544" s="11" t="s">
        <v>5654</v>
      </c>
      <c r="T2544" s="13"/>
      <c r="U2544" s="18" t="str">
        <f>HYPERLINK("https://pbs.twimg.com/profile_images/1084649569894379520/j1b3fkm8.jpg","View")</f>
        <v>View</v>
      </c>
      <c r="V2544" s="13"/>
      <c r="W2544" s="13"/>
      <c r="X2544" s="13"/>
      <c r="Y2544" s="13"/>
      <c r="Z2544" s="13"/>
    </row>
    <row r="2545">
      <c r="A2545" s="8">
        <v>43847.947847222225</v>
      </c>
      <c r="B2545" s="9" t="str">
        <f>HYPERLINK("https://twitter.com/SparlinSTL","@SparlinSTL")</f>
        <v>@SparlinSTL</v>
      </c>
      <c r="C2545" s="10" t="s">
        <v>7294</v>
      </c>
      <c r="D2545" s="10" t="s">
        <v>10746</v>
      </c>
      <c r="E2545" s="9" t="str">
        <f>HYPERLINK("https://twitter.com/SparlinSTL/status/1218378706739245056","1218378706739245056")</f>
        <v>1218378706739245056</v>
      </c>
      <c r="F2545" s="11" t="s">
        <v>10747</v>
      </c>
      <c r="G2545" s="13"/>
      <c r="H2545" s="13"/>
      <c r="I2545" s="14">
        <v>0.0</v>
      </c>
      <c r="J2545" s="14">
        <v>1.0</v>
      </c>
      <c r="K2545" s="9" t="str">
        <f>HYPERLINK("https://www.socialreport.com","SocialReport.com")</f>
        <v>SocialReport.com</v>
      </c>
      <c r="L2545" s="15">
        <v>51.0</v>
      </c>
      <c r="M2545" s="15">
        <v>115.0</v>
      </c>
      <c r="N2545" s="15">
        <v>0.0</v>
      </c>
      <c r="O2545" s="16"/>
      <c r="P2545" s="17">
        <v>43011.66599537037</v>
      </c>
      <c r="Q2545" s="10" t="s">
        <v>1774</v>
      </c>
      <c r="R2545" s="10" t="s">
        <v>7298</v>
      </c>
      <c r="S2545" s="11" t="s">
        <v>7299</v>
      </c>
      <c r="T2545" s="13"/>
      <c r="U2545" s="18" t="str">
        <f>HYPERLINK("https://pbs.twimg.com/profile_images/1133799870115078145/tjbxMBZ7.png","View")</f>
        <v>View</v>
      </c>
      <c r="V2545" s="13"/>
      <c r="W2545" s="13"/>
      <c r="X2545" s="13"/>
      <c r="Y2545" s="13"/>
      <c r="Z2545" s="13"/>
    </row>
    <row r="2546">
      <c r="A2546" s="8">
        <v>43847.9477662037</v>
      </c>
      <c r="B2546" s="9" t="str">
        <f>HYPERLINK("https://twitter.com/frankie61406891","@frankie61406891")</f>
        <v>@frankie61406891</v>
      </c>
      <c r="C2546" s="10" t="s">
        <v>10748</v>
      </c>
      <c r="D2546" s="10" t="s">
        <v>238</v>
      </c>
      <c r="E2546" s="9" t="str">
        <f>HYPERLINK("https://twitter.com/frankie61406891/status/1218378678033420289","1218378678033420289")</f>
        <v>1218378678033420289</v>
      </c>
      <c r="F2546" s="13"/>
      <c r="G2546" s="13"/>
      <c r="H2546" s="13"/>
      <c r="I2546" s="14">
        <v>0.0</v>
      </c>
      <c r="J2546" s="14">
        <v>0.0</v>
      </c>
      <c r="K2546" s="9" t="str">
        <f>HYPERLINK("http://twitter.com/#!/download/ipad","Twitter for iPad")</f>
        <v>Twitter for iPad</v>
      </c>
      <c r="L2546" s="15">
        <v>3516.0</v>
      </c>
      <c r="M2546" s="15">
        <v>3915.0</v>
      </c>
      <c r="N2546" s="15">
        <v>22.0</v>
      </c>
      <c r="O2546" s="16"/>
      <c r="P2546" s="17">
        <v>43213.529016203705</v>
      </c>
      <c r="Q2546" s="10" t="s">
        <v>10749</v>
      </c>
      <c r="R2546" s="10" t="s">
        <v>10750</v>
      </c>
      <c r="S2546" s="13"/>
      <c r="T2546" s="13"/>
      <c r="U2546" s="18" t="str">
        <f>HYPERLINK("https://pbs.twimg.com/profile_images/1188732422420127744/Hxx_E3P-.jpg","View")</f>
        <v>View</v>
      </c>
      <c r="V2546" s="13"/>
      <c r="W2546" s="13"/>
      <c r="X2546" s="13"/>
      <c r="Y2546" s="13"/>
      <c r="Z2546" s="13"/>
    </row>
    <row r="2547">
      <c r="A2547" s="8">
        <v>43847.94703703704</v>
      </c>
      <c r="B2547" s="9" t="str">
        <f>HYPERLINK("https://twitter.com/chicklitgurrl","@chicklitgurrl")</f>
        <v>@chicklitgurrl</v>
      </c>
      <c r="C2547" s="10" t="s">
        <v>10751</v>
      </c>
      <c r="D2547" s="10" t="s">
        <v>10752</v>
      </c>
      <c r="E2547" s="9" t="str">
        <f>HYPERLINK("https://twitter.com/chicklitgurrl/status/1218378413725097985","1218378413725097985")</f>
        <v>1218378413725097985</v>
      </c>
      <c r="F2547" s="13"/>
      <c r="G2547" s="11" t="s">
        <v>10753</v>
      </c>
      <c r="H2547" s="13"/>
      <c r="I2547" s="14">
        <v>0.0</v>
      </c>
      <c r="J2547" s="14">
        <v>2.0</v>
      </c>
      <c r="K2547" s="9" t="str">
        <f>HYPERLINK("http://twitter.com/download/android","Twitter for Android")</f>
        <v>Twitter for Android</v>
      </c>
      <c r="L2547" s="15">
        <v>5376.0</v>
      </c>
      <c r="M2547" s="15">
        <v>5508.0</v>
      </c>
      <c r="N2547" s="15">
        <v>392.0</v>
      </c>
      <c r="O2547" s="16"/>
      <c r="P2547" s="17">
        <v>39585.08802083333</v>
      </c>
      <c r="Q2547" s="10" t="s">
        <v>10754</v>
      </c>
      <c r="R2547" s="10" t="s">
        <v>10755</v>
      </c>
      <c r="S2547" s="11" t="s">
        <v>10756</v>
      </c>
      <c r="T2547" s="13"/>
      <c r="U2547" s="18" t="str">
        <f>HYPERLINK("https://pbs.twimg.com/profile_images/884140190507311104/_7Lpvspr.jpg","View")</f>
        <v>View</v>
      </c>
      <c r="V2547" s="13"/>
      <c r="W2547" s="13"/>
      <c r="X2547" s="13"/>
      <c r="Y2547" s="13"/>
      <c r="Z2547" s="13"/>
    </row>
    <row r="2548">
      <c r="A2548" s="8">
        <v>43847.94599537037</v>
      </c>
      <c r="B2548" s="9" t="str">
        <f>HYPERLINK("https://twitter.com/EggInkPDX","@EggInkPDX")</f>
        <v>@EggInkPDX</v>
      </c>
      <c r="C2548" s="10" t="s">
        <v>1048</v>
      </c>
      <c r="D2548" s="10" t="s">
        <v>10757</v>
      </c>
      <c r="E2548" s="9" t="str">
        <f>HYPERLINK("https://twitter.com/EggInkPDX/status/1218378035239387141","1218378035239387141")</f>
        <v>1218378035239387141</v>
      </c>
      <c r="F2548" s="13"/>
      <c r="G2548" s="13"/>
      <c r="H2548" s="13"/>
      <c r="I2548" s="14">
        <v>0.0</v>
      </c>
      <c r="J2548" s="14">
        <v>1.0</v>
      </c>
      <c r="K2548" s="9" t="str">
        <f>HYPERLINK("http://twitter.com/download/iphone","Twitter for iPhone")</f>
        <v>Twitter for iPhone</v>
      </c>
      <c r="L2548" s="15">
        <v>1670.0</v>
      </c>
      <c r="M2548" s="15">
        <v>2856.0</v>
      </c>
      <c r="N2548" s="15">
        <v>3.0</v>
      </c>
      <c r="O2548" s="16"/>
      <c r="P2548" s="17">
        <v>43257.94060185185</v>
      </c>
      <c r="Q2548" s="10" t="s">
        <v>1050</v>
      </c>
      <c r="R2548" s="10" t="s">
        <v>1051</v>
      </c>
      <c r="S2548" s="13"/>
      <c r="T2548" s="13"/>
      <c r="U2548" s="18" t="str">
        <f>HYPERLINK("https://pbs.twimg.com/profile_images/1203211402367791104/GEAkyQms.jpg","View")</f>
        <v>View</v>
      </c>
      <c r="V2548" s="13"/>
      <c r="W2548" s="13"/>
      <c r="X2548" s="13"/>
      <c r="Y2548" s="13"/>
      <c r="Z2548" s="13"/>
    </row>
    <row r="2549">
      <c r="A2549" s="8">
        <v>43847.945868055554</v>
      </c>
      <c r="B2549" s="9" t="str">
        <f>HYPERLINK("https://twitter.com/MulliganGPearce","@MulliganGPearce")</f>
        <v>@MulliganGPearce</v>
      </c>
      <c r="C2549" s="10" t="s">
        <v>10758</v>
      </c>
      <c r="D2549" s="10" t="s">
        <v>10759</v>
      </c>
      <c r="E2549" s="9" t="str">
        <f>HYPERLINK("https://twitter.com/MulliganGPearce/status/1218377987952955392","1218377987952955392")</f>
        <v>1218377987952955392</v>
      </c>
      <c r="F2549" s="13"/>
      <c r="G2549" s="11" t="s">
        <v>10760</v>
      </c>
      <c r="H2549" s="13"/>
      <c r="I2549" s="14">
        <v>0.0</v>
      </c>
      <c r="J2549" s="14">
        <v>0.0</v>
      </c>
      <c r="K2549" s="9" t="str">
        <f>HYPERLINK("http://twitter.com/download/android","Twitter for Android")</f>
        <v>Twitter for Android</v>
      </c>
      <c r="L2549" s="15">
        <v>167.0</v>
      </c>
      <c r="M2549" s="15">
        <v>221.0</v>
      </c>
      <c r="N2549" s="15">
        <v>14.0</v>
      </c>
      <c r="O2549" s="16"/>
      <c r="P2549" s="17">
        <v>40288.700266203705</v>
      </c>
      <c r="Q2549" s="10" t="s">
        <v>10761</v>
      </c>
      <c r="R2549" s="10" t="s">
        <v>10762</v>
      </c>
      <c r="S2549" s="13"/>
      <c r="T2549" s="13"/>
      <c r="U2549" s="18" t="str">
        <f>HYPERLINK("https://pbs.twimg.com/profile_images/1206593667689000962/_azAgSda.jpg","View")</f>
        <v>View</v>
      </c>
      <c r="V2549" s="13"/>
      <c r="W2549" s="13"/>
      <c r="X2549" s="13"/>
      <c r="Y2549" s="13"/>
      <c r="Z2549" s="13"/>
    </row>
    <row r="2550">
      <c r="A2550" s="8">
        <v>43847.94540509259</v>
      </c>
      <c r="B2550" s="9" t="str">
        <f>HYPERLINK("https://twitter.com/NonsensMarquise","@NonsensMarquise")</f>
        <v>@NonsensMarquise</v>
      </c>
      <c r="C2550" s="10" t="s">
        <v>10763</v>
      </c>
      <c r="D2550" s="10" t="s">
        <v>10764</v>
      </c>
      <c r="E2550" s="9" t="str">
        <f>HYPERLINK("https://twitter.com/NonsensMarquise/status/1218377819107090433","1218377819107090433")</f>
        <v>1218377819107090433</v>
      </c>
      <c r="F2550" s="10" t="s">
        <v>10765</v>
      </c>
      <c r="G2550" s="13"/>
      <c r="H2550" s="13"/>
      <c r="I2550" s="14">
        <v>0.0</v>
      </c>
      <c r="J2550" s="14">
        <v>1.0</v>
      </c>
      <c r="K2550" s="9" t="str">
        <f>HYPERLINK("http://twitter.com/download/iphone","Twitter for iPhone")</f>
        <v>Twitter for iPhone</v>
      </c>
      <c r="L2550" s="15">
        <v>697.0</v>
      </c>
      <c r="M2550" s="15">
        <v>666.0</v>
      </c>
      <c r="N2550" s="15">
        <v>6.0</v>
      </c>
      <c r="O2550" s="16"/>
      <c r="P2550" s="17">
        <v>39969.57763888889</v>
      </c>
      <c r="Q2550" s="10" t="s">
        <v>4956</v>
      </c>
      <c r="R2550" s="10" t="s">
        <v>10766</v>
      </c>
      <c r="S2550" s="13"/>
      <c r="T2550" s="13"/>
      <c r="U2550" s="18" t="str">
        <f>HYPERLINK("https://pbs.twimg.com/profile_images/687209308921135104/GC8goNeH.jpg","View")</f>
        <v>View</v>
      </c>
      <c r="V2550" s="13"/>
      <c r="W2550" s="13"/>
      <c r="X2550" s="13"/>
      <c r="Y2550" s="13"/>
      <c r="Z2550" s="13"/>
    </row>
    <row r="2551">
      <c r="A2551" s="8">
        <v>43847.94384259259</v>
      </c>
      <c r="B2551" s="9" t="str">
        <f>HYPERLINK("https://twitter.com/grouptherapy33","@grouptherapy33")</f>
        <v>@grouptherapy33</v>
      </c>
      <c r="C2551" s="10" t="s">
        <v>831</v>
      </c>
      <c r="D2551" s="10" t="s">
        <v>10767</v>
      </c>
      <c r="E2551" s="9" t="str">
        <f>HYPERLINK("https://twitter.com/grouptherapy33/status/1218377253798715392","1218377253798715392")</f>
        <v>1218377253798715392</v>
      </c>
      <c r="F2551" s="13"/>
      <c r="G2551" s="13"/>
      <c r="H2551" s="13"/>
      <c r="I2551" s="14">
        <v>0.0</v>
      </c>
      <c r="J2551" s="14">
        <v>0.0</v>
      </c>
      <c r="K2551" s="9" t="str">
        <f>HYPERLINK("http://www.DynamicTweets.com","Dynamic Tweets")</f>
        <v>Dynamic Tweets</v>
      </c>
      <c r="L2551" s="15">
        <v>4053.0</v>
      </c>
      <c r="M2551" s="15">
        <v>3517.0</v>
      </c>
      <c r="N2551" s="15">
        <v>74.0</v>
      </c>
      <c r="O2551" s="16"/>
      <c r="P2551" s="17">
        <v>42375.45542824074</v>
      </c>
      <c r="Q2551" s="13"/>
      <c r="R2551" s="13"/>
      <c r="S2551" s="11" t="s">
        <v>833</v>
      </c>
      <c r="T2551" s="13"/>
      <c r="U2551" s="18" t="str">
        <f>HYPERLINK("https://pbs.twimg.com/profile_images/773354507157671941/wE10yy8j.jpg","View")</f>
        <v>View</v>
      </c>
      <c r="V2551" s="13"/>
      <c r="W2551" s="13"/>
      <c r="X2551" s="13"/>
      <c r="Y2551" s="13"/>
      <c r="Z2551" s="13"/>
    </row>
    <row r="2552">
      <c r="A2552" s="8">
        <v>43847.94291666667</v>
      </c>
      <c r="B2552" s="9" t="str">
        <f>HYPERLINK("https://twitter.com/Imheret45140132","@Imheret45140132")</f>
        <v>@Imheret45140132</v>
      </c>
      <c r="C2552" s="10" t="s">
        <v>828</v>
      </c>
      <c r="D2552" s="10" t="s">
        <v>829</v>
      </c>
      <c r="E2552" s="9" t="str">
        <f>HYPERLINK("https://twitter.com/Imheret45140132/status/1218376917054894081","1218376917054894081")</f>
        <v>1218376917054894081</v>
      </c>
      <c r="F2552" s="13"/>
      <c r="G2552" s="13"/>
      <c r="H2552" s="13"/>
      <c r="I2552" s="14">
        <v>0.0</v>
      </c>
      <c r="J2552" s="14">
        <v>0.0</v>
      </c>
      <c r="K2552" s="9" t="str">
        <f>HYPERLINK("https://cheapbotsdonequick.com","Cheap Bots, Done Quick!")</f>
        <v>Cheap Bots, Done Quick!</v>
      </c>
      <c r="L2552" s="15">
        <v>14.0</v>
      </c>
      <c r="M2552" s="15">
        <v>0.0</v>
      </c>
      <c r="N2552" s="15">
        <v>0.0</v>
      </c>
      <c r="O2552" s="16"/>
      <c r="P2552" s="17">
        <v>43686.97521990741</v>
      </c>
      <c r="Q2552" s="13"/>
      <c r="R2552" s="10" t="s">
        <v>830</v>
      </c>
      <c r="S2552" s="13"/>
      <c r="T2552" s="13"/>
      <c r="U2552" s="18" t="str">
        <f>HYPERLINK("https://pbs.twimg.com/profile_images/1160030521675722753/4elwdbfT.jpg","View")</f>
        <v>View</v>
      </c>
      <c r="V2552" s="13"/>
      <c r="W2552" s="13"/>
      <c r="X2552" s="13"/>
      <c r="Y2552" s="13"/>
      <c r="Z2552" s="13"/>
    </row>
    <row r="2553">
      <c r="A2553" s="8">
        <v>43847.942824074074</v>
      </c>
      <c r="B2553" s="9" t="str">
        <f>HYPERLINK("https://twitter.com/TMHATweets","@TMHATweets")</f>
        <v>@TMHATweets</v>
      </c>
      <c r="C2553" s="10" t="s">
        <v>10109</v>
      </c>
      <c r="D2553" s="10" t="s">
        <v>10768</v>
      </c>
      <c r="E2553" s="9" t="str">
        <f>HYPERLINK("https://twitter.com/TMHATweets/status/1218376886499213314","1218376886499213314")</f>
        <v>1218376886499213314</v>
      </c>
      <c r="F2553" s="11" t="s">
        <v>10769</v>
      </c>
      <c r="G2553" s="13"/>
      <c r="H2553" s="13"/>
      <c r="I2553" s="14">
        <v>0.0</v>
      </c>
      <c r="J2553" s="14">
        <v>0.0</v>
      </c>
      <c r="K2553" s="9" t="str">
        <f>HYPERLINK("http://twitter.com/download/iphone","Twitter for iPhone")</f>
        <v>Twitter for iPhone</v>
      </c>
      <c r="L2553" s="15">
        <v>25.0</v>
      </c>
      <c r="M2553" s="15">
        <v>22.0</v>
      </c>
      <c r="N2553" s="15">
        <v>0.0</v>
      </c>
      <c r="O2553" s="16"/>
      <c r="P2553" s="17">
        <v>43717.61313657407</v>
      </c>
      <c r="Q2553" s="10" t="s">
        <v>10112</v>
      </c>
      <c r="R2553" s="10" t="s">
        <v>10113</v>
      </c>
      <c r="S2553" s="11" t="s">
        <v>10114</v>
      </c>
      <c r="T2553" s="13"/>
      <c r="U2553" s="18" t="str">
        <f>HYPERLINK("https://pbs.twimg.com/profile_images/1213167928524148736/f7YdUvZF.jpg","View")</f>
        <v>View</v>
      </c>
      <c r="V2553" s="13"/>
      <c r="W2553" s="13"/>
      <c r="X2553" s="13"/>
      <c r="Y2553" s="13"/>
      <c r="Z2553" s="13"/>
    </row>
    <row r="2554">
      <c r="A2554" s="8">
        <v>43847.941516203704</v>
      </c>
      <c r="B2554" s="9" t="str">
        <f>HYPERLINK("https://twitter.com/DeckApe_TTV","@DeckApe_TTV")</f>
        <v>@DeckApe_TTV</v>
      </c>
      <c r="C2554" s="10" t="s">
        <v>10770</v>
      </c>
      <c r="D2554" s="10" t="s">
        <v>10771</v>
      </c>
      <c r="E2554" s="9" t="str">
        <f>HYPERLINK("https://twitter.com/DeckApe_TTV/status/1218376413222334464","1218376413222334464")</f>
        <v>1218376413222334464</v>
      </c>
      <c r="F2554" s="11" t="s">
        <v>10772</v>
      </c>
      <c r="G2554" s="13"/>
      <c r="H2554" s="13"/>
      <c r="I2554" s="14">
        <v>6.0</v>
      </c>
      <c r="J2554" s="14">
        <v>6.0</v>
      </c>
      <c r="K2554" s="9" t="str">
        <f>HYPERLINK("https://www.elgato.com/gaming","Elgato Stream Deck")</f>
        <v>Elgato Stream Deck</v>
      </c>
      <c r="L2554" s="15">
        <v>93.0</v>
      </c>
      <c r="M2554" s="15">
        <v>111.0</v>
      </c>
      <c r="N2554" s="15">
        <v>2.0</v>
      </c>
      <c r="O2554" s="16"/>
      <c r="P2554" s="17">
        <v>42248.8675462963</v>
      </c>
      <c r="Q2554" s="13"/>
      <c r="R2554" s="10" t="s">
        <v>10773</v>
      </c>
      <c r="S2554" s="13"/>
      <c r="T2554" s="13"/>
      <c r="U2554" s="18" t="str">
        <f>HYPERLINK("https://pbs.twimg.com/profile_images/993585344669888513/rc9qu5KZ.jpg","View")</f>
        <v>View</v>
      </c>
      <c r="V2554" s="13"/>
      <c r="W2554" s="13"/>
      <c r="X2554" s="13"/>
      <c r="Y2554" s="13"/>
      <c r="Z2554" s="13"/>
    </row>
    <row r="2555">
      <c r="A2555" s="8">
        <v>43847.94105324074</v>
      </c>
      <c r="B2555" s="9" t="str">
        <f>HYPERLINK("https://twitter.com/melanie_korach","@melanie_korach")</f>
        <v>@melanie_korach</v>
      </c>
      <c r="C2555" s="10" t="s">
        <v>5766</v>
      </c>
      <c r="D2555" s="10" t="s">
        <v>10774</v>
      </c>
      <c r="E2555" s="9" t="str">
        <f>HYPERLINK("https://twitter.com/melanie_korach/status/1218376243701219336","1218376243701219336")</f>
        <v>1218376243701219336</v>
      </c>
      <c r="F2555" s="13"/>
      <c r="G2555" s="11" t="s">
        <v>10775</v>
      </c>
      <c r="H2555" s="13"/>
      <c r="I2555" s="14">
        <v>25.0</v>
      </c>
      <c r="J2555" s="14">
        <v>81.0</v>
      </c>
      <c r="K2555" s="9" t="str">
        <f>HYPERLINK("http://twitter.com/download/iphone","Twitter for iPhone")</f>
        <v>Twitter for iPhone</v>
      </c>
      <c r="L2555" s="15">
        <v>23865.0</v>
      </c>
      <c r="M2555" s="15">
        <v>21089.0</v>
      </c>
      <c r="N2555" s="15">
        <v>131.0</v>
      </c>
      <c r="O2555" s="16"/>
      <c r="P2555" s="17">
        <v>42873.50809027778</v>
      </c>
      <c r="Q2555" s="10" t="s">
        <v>5769</v>
      </c>
      <c r="R2555" s="10" t="s">
        <v>5770</v>
      </c>
      <c r="S2555" s="13"/>
      <c r="T2555" s="13"/>
      <c r="U2555" s="18" t="str">
        <f>HYPERLINK("https://pbs.twimg.com/profile_images/1138923170294063105/7VowT7GA.jpg","View")</f>
        <v>View</v>
      </c>
      <c r="V2555" s="13"/>
      <c r="W2555" s="13"/>
      <c r="X2555" s="13"/>
      <c r="Y2555" s="13"/>
      <c r="Z2555" s="13"/>
    </row>
    <row r="2556">
      <c r="A2556" s="8">
        <v>43847.94055555556</v>
      </c>
      <c r="B2556" s="9" t="str">
        <f>HYPERLINK("https://twitter.com/jerry987659","@jerry987659")</f>
        <v>@jerry987659</v>
      </c>
      <c r="C2556" s="10" t="s">
        <v>10776</v>
      </c>
      <c r="D2556" s="10" t="s">
        <v>10777</v>
      </c>
      <c r="E2556" s="9" t="str">
        <f>HYPERLINK("https://twitter.com/jerry987659/status/1218376064826667008","1218376064826667008")</f>
        <v>1218376064826667008</v>
      </c>
      <c r="F2556" s="13"/>
      <c r="G2556" s="13"/>
      <c r="H2556" s="13"/>
      <c r="I2556" s="14">
        <v>0.0</v>
      </c>
      <c r="J2556" s="14">
        <v>2.0</v>
      </c>
      <c r="K2556" s="9" t="str">
        <f>HYPERLINK("https://mobile.twitter.com","Twitter Web App")</f>
        <v>Twitter Web App</v>
      </c>
      <c r="L2556" s="15">
        <v>3.0</v>
      </c>
      <c r="M2556" s="15">
        <v>2.0</v>
      </c>
      <c r="N2556" s="15">
        <v>0.0</v>
      </c>
      <c r="O2556" s="16"/>
      <c r="P2556" s="17">
        <v>43120.89252314815</v>
      </c>
      <c r="Q2556" s="13"/>
      <c r="R2556" s="13"/>
      <c r="S2556" s="13"/>
      <c r="T2556" s="13"/>
      <c r="U2556" s="18" t="str">
        <f>HYPERLINK("https://pbs.twimg.com/profile_images/954922631517605888/RtTngsm2.jpg","View")</f>
        <v>View</v>
      </c>
      <c r="V2556" s="13"/>
      <c r="W2556" s="13"/>
      <c r="X2556" s="13"/>
      <c r="Y2556" s="13"/>
      <c r="Z2556" s="13"/>
    </row>
    <row r="2557">
      <c r="A2557" s="8">
        <v>43847.940300925926</v>
      </c>
      <c r="B2557" s="9" t="str">
        <f>HYPERLINK("https://twitter.com/LightHouseDXB","@LightHouseDXB")</f>
        <v>@LightHouseDXB</v>
      </c>
      <c r="C2557" s="10" t="s">
        <v>7884</v>
      </c>
      <c r="D2557" s="10" t="s">
        <v>10778</v>
      </c>
      <c r="E2557" s="9" t="str">
        <f>HYPERLINK("https://twitter.com/LightHouseDXB/status/1218375970207477760","1218375970207477760")</f>
        <v>1218375970207477760</v>
      </c>
      <c r="F2557" s="13"/>
      <c r="G2557" s="11" t="s">
        <v>10779</v>
      </c>
      <c r="H2557" s="13"/>
      <c r="I2557" s="14">
        <v>1.0</v>
      </c>
      <c r="J2557" s="14">
        <v>1.0</v>
      </c>
      <c r="K2557" s="9" t="str">
        <f>HYPERLINK("https://buffer.com","Buffer")</f>
        <v>Buffer</v>
      </c>
      <c r="L2557" s="15">
        <v>848.0</v>
      </c>
      <c r="M2557" s="15">
        <v>526.0</v>
      </c>
      <c r="N2557" s="15">
        <v>41.0</v>
      </c>
      <c r="O2557" s="16"/>
      <c r="P2557" s="17">
        <v>41189.35837962963</v>
      </c>
      <c r="Q2557" s="10" t="s">
        <v>7887</v>
      </c>
      <c r="R2557" s="10" t="s">
        <v>7888</v>
      </c>
      <c r="S2557" s="11" t="s">
        <v>7889</v>
      </c>
      <c r="T2557" s="13"/>
      <c r="U2557" s="18" t="str">
        <f>HYPERLINK("https://pbs.twimg.com/profile_images/720161497800916992/ud_nb3eZ.jpg","View")</f>
        <v>View</v>
      </c>
      <c r="V2557" s="13"/>
      <c r="W2557" s="13"/>
      <c r="X2557" s="13"/>
      <c r="Y2557" s="13"/>
      <c r="Z2557" s="13"/>
    </row>
    <row r="2558">
      <c r="A2558" s="8">
        <v>43847.93870370371</v>
      </c>
      <c r="B2558" s="9" t="str">
        <f>HYPERLINK("https://twitter.com/grouptherapy33","@grouptherapy33")</f>
        <v>@grouptherapy33</v>
      </c>
      <c r="C2558" s="10" t="s">
        <v>831</v>
      </c>
      <c r="D2558" s="10" t="s">
        <v>10780</v>
      </c>
      <c r="E2558" s="9" t="str">
        <f>HYPERLINK("https://twitter.com/grouptherapy33/status/1218375394010763266","1218375394010763266")</f>
        <v>1218375394010763266</v>
      </c>
      <c r="F2558" s="13"/>
      <c r="G2558" s="13"/>
      <c r="H2558" s="13"/>
      <c r="I2558" s="14">
        <v>0.0</v>
      </c>
      <c r="J2558" s="14">
        <v>0.0</v>
      </c>
      <c r="K2558" s="9" t="str">
        <f>HYPERLINK("http://www.DynamicTweets.com","Dynamic Tweets")</f>
        <v>Dynamic Tweets</v>
      </c>
      <c r="L2558" s="15">
        <v>4053.0</v>
      </c>
      <c r="M2558" s="15">
        <v>3517.0</v>
      </c>
      <c r="N2558" s="15">
        <v>74.0</v>
      </c>
      <c r="O2558" s="16"/>
      <c r="P2558" s="17">
        <v>42375.45542824074</v>
      </c>
      <c r="Q2558" s="13"/>
      <c r="R2558" s="13"/>
      <c r="S2558" s="11" t="s">
        <v>833</v>
      </c>
      <c r="T2558" s="13"/>
      <c r="U2558" s="18" t="str">
        <f>HYPERLINK("https://pbs.twimg.com/profile_images/773354507157671941/wE10yy8j.jpg","View")</f>
        <v>View</v>
      </c>
      <c r="V2558" s="13"/>
      <c r="W2558" s="13"/>
      <c r="X2558" s="13"/>
      <c r="Y2558" s="13"/>
      <c r="Z2558" s="13"/>
    </row>
    <row r="2559">
      <c r="A2559" s="8">
        <v>43847.93828703703</v>
      </c>
      <c r="B2559" s="9" t="str">
        <f>HYPERLINK("https://twitter.com/RealCoachArnie","@RealCoachArnie")</f>
        <v>@RealCoachArnie</v>
      </c>
      <c r="C2559" s="10" t="s">
        <v>790</v>
      </c>
      <c r="D2559" s="10" t="s">
        <v>10781</v>
      </c>
      <c r="E2559" s="9" t="str">
        <f>HYPERLINK("https://twitter.com/RealCoachArnie/status/1218375242638188544","1218375242638188544")</f>
        <v>1218375242638188544</v>
      </c>
      <c r="F2559" s="13"/>
      <c r="G2559" s="13"/>
      <c r="H2559" s="13"/>
      <c r="I2559" s="14">
        <v>0.0</v>
      </c>
      <c r="J2559" s="14">
        <v>0.0</v>
      </c>
      <c r="K2559" s="9" t="str">
        <f>HYPERLINK("http://twitter.com/download/iphone","Twitter for iPhone")</f>
        <v>Twitter for iPhone</v>
      </c>
      <c r="L2559" s="15">
        <v>1397.0</v>
      </c>
      <c r="M2559" s="15">
        <v>2097.0</v>
      </c>
      <c r="N2559" s="15">
        <v>11.0</v>
      </c>
      <c r="O2559" s="16"/>
      <c r="P2559" s="17">
        <v>41075.58196759259</v>
      </c>
      <c r="Q2559" s="10" t="s">
        <v>792</v>
      </c>
      <c r="R2559" s="10" t="s">
        <v>793</v>
      </c>
      <c r="S2559" s="11" t="s">
        <v>794</v>
      </c>
      <c r="T2559" s="13"/>
      <c r="U2559" s="18" t="str">
        <f>HYPERLINK("https://pbs.twimg.com/profile_images/1179206494446747653/PR6-8HMY.jpg","View")</f>
        <v>View</v>
      </c>
      <c r="V2559" s="13"/>
      <c r="W2559" s="13"/>
      <c r="X2559" s="13"/>
      <c r="Y2559" s="13"/>
      <c r="Z2559" s="13"/>
    </row>
    <row r="2560">
      <c r="A2560" s="8">
        <v>43847.93752314815</v>
      </c>
      <c r="B2560" s="9" t="str">
        <f>HYPERLINK("https://twitter.com/wysabuddy","@wysabuddy")</f>
        <v>@wysabuddy</v>
      </c>
      <c r="C2560" s="10" t="s">
        <v>325</v>
      </c>
      <c r="D2560" s="10" t="s">
        <v>10782</v>
      </c>
      <c r="E2560" s="9" t="str">
        <f>HYPERLINK("https://twitter.com/wysabuddy/status/1218374965680099328","1218374965680099328")</f>
        <v>1218374965680099328</v>
      </c>
      <c r="F2560" s="11" t="s">
        <v>9979</v>
      </c>
      <c r="G2560" s="13"/>
      <c r="H2560" s="13"/>
      <c r="I2560" s="14">
        <v>0.0</v>
      </c>
      <c r="J2560" s="14">
        <v>1.0</v>
      </c>
      <c r="K2560" s="9" t="str">
        <f>HYPERLINK("https://sproutsocial.com","Sprout Social")</f>
        <v>Sprout Social</v>
      </c>
      <c r="L2560" s="15">
        <v>3943.0</v>
      </c>
      <c r="M2560" s="15">
        <v>981.0</v>
      </c>
      <c r="N2560" s="15">
        <v>163.0</v>
      </c>
      <c r="O2560" s="16"/>
      <c r="P2560" s="17">
        <v>41735.31763888889</v>
      </c>
      <c r="Q2560" s="10" t="s">
        <v>329</v>
      </c>
      <c r="R2560" s="10" t="s">
        <v>330</v>
      </c>
      <c r="S2560" s="11" t="s">
        <v>327</v>
      </c>
      <c r="T2560" s="13"/>
      <c r="U2560" s="18" t="str">
        <f>HYPERLINK("https://pbs.twimg.com/profile_images/986922852900159488/b-suTNS6.jpg","View")</f>
        <v>View</v>
      </c>
      <c r="V2560" s="13"/>
      <c r="W2560" s="13"/>
      <c r="X2560" s="13"/>
      <c r="Y2560" s="13"/>
      <c r="Z2560" s="13"/>
    </row>
    <row r="2561">
      <c r="A2561" s="8">
        <v>43847.9375</v>
      </c>
      <c r="B2561" s="9" t="str">
        <f>HYPERLINK("https://twitter.com/diayash","@diayash")</f>
        <v>@diayash</v>
      </c>
      <c r="C2561" s="10" t="s">
        <v>10783</v>
      </c>
      <c r="D2561" s="10" t="s">
        <v>238</v>
      </c>
      <c r="E2561" s="9" t="str">
        <f>HYPERLINK("https://twitter.com/diayash/status/1218374956590891008","1218374956590891008")</f>
        <v>1218374956590891008</v>
      </c>
      <c r="F2561" s="13"/>
      <c r="G2561" s="13"/>
      <c r="H2561" s="13"/>
      <c r="I2561" s="14">
        <v>0.0</v>
      </c>
      <c r="J2561" s="14">
        <v>1.0</v>
      </c>
      <c r="K2561" s="9" t="str">
        <f>HYPERLINK("http://twitter.com/download/android","Twitter for Android")</f>
        <v>Twitter for Android</v>
      </c>
      <c r="L2561" s="15">
        <v>118.0</v>
      </c>
      <c r="M2561" s="15">
        <v>191.0</v>
      </c>
      <c r="N2561" s="15">
        <v>10.0</v>
      </c>
      <c r="O2561" s="16"/>
      <c r="P2561" s="17">
        <v>40392.27675925926</v>
      </c>
      <c r="Q2561" s="10" t="s">
        <v>10784</v>
      </c>
      <c r="R2561" s="10" t="s">
        <v>10785</v>
      </c>
      <c r="S2561" s="13"/>
      <c r="T2561" s="13"/>
      <c r="U2561" s="18" t="str">
        <f>HYPERLINK("https://pbs.twimg.com/profile_images/1106052609515888640/p_BHlNop.jpg","View")</f>
        <v>View</v>
      </c>
      <c r="V2561" s="13"/>
      <c r="W2561" s="13"/>
      <c r="X2561" s="13"/>
      <c r="Y2561" s="13"/>
      <c r="Z2561" s="13"/>
    </row>
    <row r="2562">
      <c r="A2562" s="8">
        <v>43847.93678240741</v>
      </c>
      <c r="B2562" s="9" t="str">
        <f>HYPERLINK("https://twitter.com/HeadWorry","@HeadWorry")</f>
        <v>@HeadWorry</v>
      </c>
      <c r="C2562" s="10" t="s">
        <v>8045</v>
      </c>
      <c r="D2562" s="10" t="s">
        <v>8046</v>
      </c>
      <c r="E2562" s="9" t="str">
        <f>HYPERLINK("https://twitter.com/HeadWorry/status/1218374694992326656","1218374694992326656")</f>
        <v>1218374694992326656</v>
      </c>
      <c r="F2562" s="11" t="s">
        <v>8047</v>
      </c>
      <c r="G2562" s="11" t="s">
        <v>10786</v>
      </c>
      <c r="H2562" s="13"/>
      <c r="I2562" s="14">
        <v>0.0</v>
      </c>
      <c r="J2562" s="14">
        <v>0.0</v>
      </c>
      <c r="K2562" s="9" t="str">
        <f>HYPERLINK("https://social.zoho.com","Zoho Social")</f>
        <v>Zoho Social</v>
      </c>
      <c r="L2562" s="15">
        <v>32.0</v>
      </c>
      <c r="M2562" s="15">
        <v>176.0</v>
      </c>
      <c r="N2562" s="15">
        <v>0.0</v>
      </c>
      <c r="O2562" s="16"/>
      <c r="P2562" s="17">
        <v>43660.53381944445</v>
      </c>
      <c r="Q2562" s="10" t="s">
        <v>2102</v>
      </c>
      <c r="R2562" s="10" t="s">
        <v>8049</v>
      </c>
      <c r="S2562" s="11" t="s">
        <v>8050</v>
      </c>
      <c r="T2562" s="13"/>
      <c r="U2562" s="18" t="str">
        <f>HYPERLINK("https://pbs.twimg.com/profile_images/1161663750950330379/ZVB_Rs9b.jpg","View")</f>
        <v>View</v>
      </c>
      <c r="V2562" s="13"/>
      <c r="W2562" s="13"/>
      <c r="X2562" s="13"/>
      <c r="Y2562" s="13"/>
      <c r="Z2562" s="13"/>
    </row>
    <row r="2563">
      <c r="A2563" s="8">
        <v>43847.93498842593</v>
      </c>
      <c r="B2563" s="9" t="str">
        <f>HYPERLINK("https://twitter.com/health_monitor7","@health_monitor7")</f>
        <v>@health_monitor7</v>
      </c>
      <c r="C2563" s="10" t="s">
        <v>218</v>
      </c>
      <c r="D2563" s="10" t="s">
        <v>10787</v>
      </c>
      <c r="E2563" s="9" t="str">
        <f>HYPERLINK("https://twitter.com/health_monitor7/status/1218374047517548544","1218374047517548544")</f>
        <v>1218374047517548544</v>
      </c>
      <c r="F2563" s="13"/>
      <c r="G2563" s="13"/>
      <c r="H2563" s="13"/>
      <c r="I2563" s="14">
        <v>0.0</v>
      </c>
      <c r="J2563" s="14">
        <v>1.0</v>
      </c>
      <c r="K2563" s="9" t="str">
        <f>HYPERLINK("http://twitter.com/download/android","Twitter for Android")</f>
        <v>Twitter for Android</v>
      </c>
      <c r="L2563" s="15">
        <v>21.0</v>
      </c>
      <c r="M2563" s="15">
        <v>37.0</v>
      </c>
      <c r="N2563" s="15">
        <v>0.0</v>
      </c>
      <c r="O2563" s="16"/>
      <c r="P2563" s="17">
        <v>43767.47483796296</v>
      </c>
      <c r="Q2563" s="13"/>
      <c r="R2563" s="10" t="s">
        <v>221</v>
      </c>
      <c r="S2563" s="11" t="s">
        <v>222</v>
      </c>
      <c r="T2563" s="13"/>
      <c r="U2563" s="18" t="str">
        <f>HYPERLINK("https://pbs.twimg.com/profile_images/1218000466430156800/PMxt5qkT.png","View")</f>
        <v>View</v>
      </c>
      <c r="V2563" s="13"/>
      <c r="W2563" s="13"/>
      <c r="X2563" s="13"/>
      <c r="Y2563" s="13"/>
      <c r="Z2563" s="13"/>
    </row>
    <row r="2564">
      <c r="A2564" s="8">
        <v>43847.934166666666</v>
      </c>
      <c r="B2564" s="9" t="str">
        <f>HYPERLINK("https://twitter.com/nuridrodriguez","@nuridrodriguez")</f>
        <v>@nuridrodriguez</v>
      </c>
      <c r="C2564" s="10" t="s">
        <v>10788</v>
      </c>
      <c r="D2564" s="10" t="s">
        <v>238</v>
      </c>
      <c r="E2564" s="9" t="str">
        <f>HYPERLINK("https://twitter.com/nuridrodriguez/status/1218373748031619072","1218373748031619072")</f>
        <v>1218373748031619072</v>
      </c>
      <c r="F2564" s="13"/>
      <c r="G2564" s="13"/>
      <c r="H2564" s="13"/>
      <c r="I2564" s="14">
        <v>0.0</v>
      </c>
      <c r="J2564" s="14">
        <v>0.0</v>
      </c>
      <c r="K2564" s="9" t="str">
        <f>HYPERLINK("http://twitter.com/download/iphone","Twitter for iPhone")</f>
        <v>Twitter for iPhone</v>
      </c>
      <c r="L2564" s="15">
        <v>1063.0</v>
      </c>
      <c r="M2564" s="15">
        <v>1958.0</v>
      </c>
      <c r="N2564" s="15">
        <v>9.0</v>
      </c>
      <c r="O2564" s="16"/>
      <c r="P2564" s="17">
        <v>40840.81445601852</v>
      </c>
      <c r="Q2564" s="10" t="s">
        <v>10789</v>
      </c>
      <c r="R2564" s="10" t="s">
        <v>10790</v>
      </c>
      <c r="S2564" s="13"/>
      <c r="T2564" s="13"/>
      <c r="U2564" s="18" t="str">
        <f>HYPERLINK("https://pbs.twimg.com/profile_images/1097991095160586240/NXo2nNJX.jpg","View")</f>
        <v>View</v>
      </c>
      <c r="V2564" s="13"/>
      <c r="W2564" s="13"/>
      <c r="X2564" s="13"/>
      <c r="Y2564" s="13"/>
      <c r="Z2564" s="13"/>
    </row>
    <row r="2565">
      <c r="A2565" s="8">
        <v>43847.933599537035</v>
      </c>
      <c r="B2565" s="9" t="str">
        <f>HYPERLINK("https://twitter.com/OSMIhelp","@OSMIhelp")</f>
        <v>@OSMIhelp</v>
      </c>
      <c r="C2565" s="10" t="s">
        <v>10791</v>
      </c>
      <c r="D2565" s="10" t="s">
        <v>10792</v>
      </c>
      <c r="E2565" s="9" t="str">
        <f>HYPERLINK("https://twitter.com/OSMIhelp/status/1218373542129041408","1218373542129041408")</f>
        <v>1218373542129041408</v>
      </c>
      <c r="F2565" s="11" t="s">
        <v>10793</v>
      </c>
      <c r="G2565" s="11" t="s">
        <v>10794</v>
      </c>
      <c r="H2565" s="13"/>
      <c r="I2565" s="14">
        <v>0.0</v>
      </c>
      <c r="J2565" s="14">
        <v>0.0</v>
      </c>
      <c r="K2565" s="9" t="str">
        <f>HYPERLINK("http://www.osmihelp.org","OSMI For Social")</f>
        <v>OSMI For Social</v>
      </c>
      <c r="L2565" s="15">
        <v>3957.0</v>
      </c>
      <c r="M2565" s="15">
        <v>1.0</v>
      </c>
      <c r="N2565" s="15">
        <v>116.0</v>
      </c>
      <c r="O2565" s="16"/>
      <c r="P2565" s="17">
        <v>41765.46506944444</v>
      </c>
      <c r="Q2565" s="13"/>
      <c r="R2565" s="10" t="s">
        <v>10795</v>
      </c>
      <c r="S2565" s="11" t="s">
        <v>10796</v>
      </c>
      <c r="T2565" s="13"/>
      <c r="U2565" s="18" t="str">
        <f>HYPERLINK("https://pbs.twimg.com/profile_images/698664274323845120/NEpuA28F.jpg","View")</f>
        <v>View</v>
      </c>
      <c r="V2565" s="13"/>
      <c r="W2565" s="13"/>
      <c r="X2565" s="13"/>
      <c r="Y2565" s="13"/>
      <c r="Z2565" s="13"/>
    </row>
    <row r="2566">
      <c r="A2566" s="8">
        <v>43847.93337962963</v>
      </c>
      <c r="B2566" s="9" t="str">
        <f>HYPERLINK("https://twitter.com/ALLLLYKATTT","@ALLLLYKATTT")</f>
        <v>@ALLLLYKATTT</v>
      </c>
      <c r="C2566" s="10" t="s">
        <v>10797</v>
      </c>
      <c r="D2566" s="10" t="s">
        <v>10798</v>
      </c>
      <c r="E2566" s="9" t="str">
        <f>HYPERLINK("https://twitter.com/ALLLLYKATTT/status/1218373464903561217","1218373464903561217")</f>
        <v>1218373464903561217</v>
      </c>
      <c r="F2566" s="13"/>
      <c r="G2566" s="13"/>
      <c r="H2566" s="13"/>
      <c r="I2566" s="14">
        <v>0.0</v>
      </c>
      <c r="J2566" s="14">
        <v>0.0</v>
      </c>
      <c r="K2566" s="9" t="str">
        <f>HYPERLINK("https://mobile.twitter.com","Twitter Web App")</f>
        <v>Twitter Web App</v>
      </c>
      <c r="L2566" s="15">
        <v>7.0</v>
      </c>
      <c r="M2566" s="15">
        <v>56.0</v>
      </c>
      <c r="N2566" s="15">
        <v>0.0</v>
      </c>
      <c r="O2566" s="16"/>
      <c r="P2566" s="17">
        <v>43508.06050925926</v>
      </c>
      <c r="Q2566" s="13"/>
      <c r="R2566" s="10" t="s">
        <v>10799</v>
      </c>
      <c r="S2566" s="13"/>
      <c r="T2566" s="13"/>
      <c r="U2566" s="18" t="str">
        <f>HYPERLINK("https://pbs.twimg.com/profile_images/1218434494656544768/aKgdGapp.jpg","View")</f>
        <v>View</v>
      </c>
      <c r="V2566" s="13"/>
      <c r="W2566" s="13"/>
      <c r="X2566" s="13"/>
      <c r="Y2566" s="13"/>
      <c r="Z2566" s="13"/>
    </row>
    <row r="2567">
      <c r="A2567" s="8">
        <v>43847.93229166667</v>
      </c>
      <c r="B2567" s="9" t="str">
        <f>HYPERLINK("https://twitter.com/dareu_app","@dareu_app")</f>
        <v>@dareu_app</v>
      </c>
      <c r="C2567" s="10" t="s">
        <v>10800</v>
      </c>
      <c r="D2567" s="10" t="s">
        <v>10801</v>
      </c>
      <c r="E2567" s="9" t="str">
        <f>HYPERLINK("https://twitter.com/dareu_app/status/1218373069460398081","1218373069460398081")</f>
        <v>1218373069460398081</v>
      </c>
      <c r="F2567" s="13"/>
      <c r="G2567" s="11" t="s">
        <v>10802</v>
      </c>
      <c r="H2567" s="13"/>
      <c r="I2567" s="14">
        <v>0.0</v>
      </c>
      <c r="J2567" s="14">
        <v>0.0</v>
      </c>
      <c r="K2567" s="9" t="str">
        <f>HYPERLINK("https://www.hootsuite.com","Hootsuite Inc.")</f>
        <v>Hootsuite Inc.</v>
      </c>
      <c r="L2567" s="15">
        <v>5.0</v>
      </c>
      <c r="M2567" s="15">
        <v>28.0</v>
      </c>
      <c r="N2567" s="15">
        <v>0.0</v>
      </c>
      <c r="O2567" s="16"/>
      <c r="P2567" s="17">
        <v>43431.556874999995</v>
      </c>
      <c r="Q2567" s="13"/>
      <c r="R2567" s="10" t="s">
        <v>10803</v>
      </c>
      <c r="S2567" s="11" t="s">
        <v>10804</v>
      </c>
      <c r="T2567" s="13"/>
      <c r="U2567" s="18" t="str">
        <f>HYPERLINK("https://pbs.twimg.com/profile_images/1067483937709056000/vL7_hHFy.jpg","View")</f>
        <v>View</v>
      </c>
      <c r="V2567" s="13"/>
      <c r="W2567" s="13"/>
      <c r="X2567" s="13"/>
      <c r="Y2567" s="13"/>
      <c r="Z2567" s="13"/>
    </row>
    <row r="2568">
      <c r="A2568" s="8">
        <v>43847.931967592594</v>
      </c>
      <c r="B2568" s="9" t="str">
        <f>HYPERLINK("https://twitter.com/Bipolarmedstud1","@Bipolarmedstud1")</f>
        <v>@Bipolarmedstud1</v>
      </c>
      <c r="C2568" s="10" t="s">
        <v>10805</v>
      </c>
      <c r="D2568" s="10" t="s">
        <v>10806</v>
      </c>
      <c r="E2568" s="9" t="str">
        <f>HYPERLINK("https://twitter.com/Bipolarmedstud1/status/1218372952976216065","1218372952976216065")</f>
        <v>1218372952976216065</v>
      </c>
      <c r="F2568" s="13"/>
      <c r="G2568" s="13"/>
      <c r="H2568" s="13"/>
      <c r="I2568" s="14">
        <v>0.0</v>
      </c>
      <c r="J2568" s="14">
        <v>0.0</v>
      </c>
      <c r="K2568" s="9" t="str">
        <f>HYPERLINK("http://twitter.com/download/android","Twitter for Android")</f>
        <v>Twitter for Android</v>
      </c>
      <c r="L2568" s="15">
        <v>48.0</v>
      </c>
      <c r="M2568" s="15">
        <v>118.0</v>
      </c>
      <c r="N2568" s="15">
        <v>0.0</v>
      </c>
      <c r="O2568" s="16"/>
      <c r="P2568" s="17">
        <v>43809.679131944446</v>
      </c>
      <c r="Q2568" s="10" t="s">
        <v>10807</v>
      </c>
      <c r="R2568" s="10" t="s">
        <v>10808</v>
      </c>
      <c r="S2568" s="11" t="s">
        <v>10809</v>
      </c>
      <c r="T2568" s="13"/>
      <c r="U2568" s="18" t="str">
        <f>HYPERLINK("https://pbs.twimg.com/profile_images/1204510796904116224/6co8HY0O.jpg","View")</f>
        <v>View</v>
      </c>
      <c r="V2568" s="13"/>
      <c r="W2568" s="13"/>
      <c r="X2568" s="13"/>
      <c r="Y2568" s="13"/>
      <c r="Z2568" s="13"/>
    </row>
    <row r="2569">
      <c r="A2569" s="8">
        <v>43847.930497685185</v>
      </c>
      <c r="B2569" s="9" t="str">
        <f>HYPERLINK("https://twitter.com/cutebutpsycho55","@cutebutpsycho55")</f>
        <v>@cutebutpsycho55</v>
      </c>
      <c r="C2569" s="10" t="s">
        <v>10810</v>
      </c>
      <c r="D2569" s="10" t="s">
        <v>238</v>
      </c>
      <c r="E2569" s="9" t="str">
        <f>HYPERLINK("https://twitter.com/cutebutpsycho55/status/1218372420484128768","1218372420484128768")</f>
        <v>1218372420484128768</v>
      </c>
      <c r="F2569" s="13"/>
      <c r="G2569" s="13"/>
      <c r="H2569" s="13"/>
      <c r="I2569" s="14">
        <v>0.0</v>
      </c>
      <c r="J2569" s="14">
        <v>0.0</v>
      </c>
      <c r="K2569" s="9" t="str">
        <f t="shared" ref="K2569:K2570" si="334">HYPERLINK("http://twitter.com/download/iphone","Twitter for iPhone")</f>
        <v>Twitter for iPhone</v>
      </c>
      <c r="L2569" s="15">
        <v>344.0</v>
      </c>
      <c r="M2569" s="15">
        <v>2648.0</v>
      </c>
      <c r="N2569" s="15">
        <v>2.0</v>
      </c>
      <c r="O2569" s="16"/>
      <c r="P2569" s="17">
        <v>41336.383784722224</v>
      </c>
      <c r="Q2569" s="10" t="s">
        <v>10811</v>
      </c>
      <c r="R2569" s="10" t="s">
        <v>10812</v>
      </c>
      <c r="S2569" s="13"/>
      <c r="T2569" s="13"/>
      <c r="U2569" s="18" t="str">
        <f>HYPERLINK("https://pbs.twimg.com/profile_images/1142235878489776128/9kTCQx3C.jpg","View")</f>
        <v>View</v>
      </c>
      <c r="V2569" s="13"/>
      <c r="W2569" s="13"/>
      <c r="X2569" s="13"/>
      <c r="Y2569" s="13"/>
      <c r="Z2569" s="13"/>
    </row>
    <row r="2570">
      <c r="A2570" s="8">
        <v>43847.930486111116</v>
      </c>
      <c r="B2570" s="9" t="str">
        <f>HYPERLINK("https://twitter.com/DipendraMastana","@DipendraMastana")</f>
        <v>@DipendraMastana</v>
      </c>
      <c r="C2570" s="10" t="s">
        <v>10813</v>
      </c>
      <c r="D2570" s="10" t="s">
        <v>238</v>
      </c>
      <c r="E2570" s="9" t="str">
        <f>HYPERLINK("https://twitter.com/DipendraMastana/status/1218372414121185286","1218372414121185286")</f>
        <v>1218372414121185286</v>
      </c>
      <c r="F2570" s="13"/>
      <c r="G2570" s="13"/>
      <c r="H2570" s="13"/>
      <c r="I2570" s="14">
        <v>0.0</v>
      </c>
      <c r="J2570" s="14">
        <v>0.0</v>
      </c>
      <c r="K2570" s="9" t="str">
        <f t="shared" si="334"/>
        <v>Twitter for iPhone</v>
      </c>
      <c r="L2570" s="15">
        <v>2414.0</v>
      </c>
      <c r="M2570" s="15">
        <v>2284.0</v>
      </c>
      <c r="N2570" s="15">
        <v>1.0</v>
      </c>
      <c r="O2570" s="16"/>
      <c r="P2570" s="17">
        <v>43321.50005787037</v>
      </c>
      <c r="Q2570" s="10" t="s">
        <v>10814</v>
      </c>
      <c r="R2570" s="10" t="s">
        <v>10815</v>
      </c>
      <c r="S2570" s="13"/>
      <c r="T2570" s="13"/>
      <c r="U2570" s="18" t="str">
        <f>HYPERLINK("https://pbs.twimg.com/profile_images/1170961236042715136/CE8ISjWP.jpg","View")</f>
        <v>View</v>
      </c>
      <c r="V2570" s="13"/>
      <c r="W2570" s="13"/>
      <c r="X2570" s="13"/>
      <c r="Y2570" s="13"/>
      <c r="Z2570" s="13"/>
    </row>
    <row r="2571">
      <c r="A2571" s="8">
        <v>43847.93019675926</v>
      </c>
      <c r="B2571" s="9" t="str">
        <f>HYPERLINK("https://twitter.com/HikikomoriPact","@HikikomoriPact")</f>
        <v>@HikikomoriPact</v>
      </c>
      <c r="C2571" s="10" t="s">
        <v>10816</v>
      </c>
      <c r="D2571" s="10" t="s">
        <v>10817</v>
      </c>
      <c r="E2571" s="9" t="str">
        <f>HYPERLINK("https://twitter.com/HikikomoriPact/status/1218372307892277250","1218372307892277250")</f>
        <v>1218372307892277250</v>
      </c>
      <c r="F2571" s="13"/>
      <c r="G2571" s="11" t="s">
        <v>10818</v>
      </c>
      <c r="H2571" s="13"/>
      <c r="I2571" s="14">
        <v>5.0</v>
      </c>
      <c r="J2571" s="14">
        <v>10.0</v>
      </c>
      <c r="K2571" s="9" t="str">
        <f>HYPERLINK("https://mobile.twitter.com","Twitter Web App")</f>
        <v>Twitter Web App</v>
      </c>
      <c r="L2571" s="15">
        <v>1926.0</v>
      </c>
      <c r="M2571" s="15">
        <v>2279.0</v>
      </c>
      <c r="N2571" s="15">
        <v>3.0</v>
      </c>
      <c r="O2571" s="16"/>
      <c r="P2571" s="17">
        <v>42284.08241898148</v>
      </c>
      <c r="Q2571" s="10" t="s">
        <v>10819</v>
      </c>
      <c r="R2571" s="10" t="s">
        <v>10820</v>
      </c>
      <c r="S2571" s="11" t="s">
        <v>10821</v>
      </c>
      <c r="T2571" s="13"/>
      <c r="U2571" s="18" t="str">
        <f>HYPERLINK("https://pbs.twimg.com/profile_images/655210525735976966/53CenK1M.jpg","View")</f>
        <v>View</v>
      </c>
      <c r="V2571" s="13"/>
      <c r="W2571" s="13"/>
      <c r="X2571" s="13"/>
      <c r="Y2571" s="13"/>
      <c r="Z2571" s="13"/>
    </row>
    <row r="2572">
      <c r="A2572" s="8">
        <v>43847.92980324074</v>
      </c>
      <c r="B2572" s="9" t="str">
        <f>HYPERLINK("https://twitter.com/4UWell","@4UWell")</f>
        <v>@4UWell</v>
      </c>
      <c r="C2572" s="10" t="s">
        <v>10822</v>
      </c>
      <c r="D2572" s="10" t="s">
        <v>10823</v>
      </c>
      <c r="E2572" s="9" t="str">
        <f>HYPERLINK("https://twitter.com/4UWell/status/1218372164992323584","1218372164992323584")</f>
        <v>1218372164992323584</v>
      </c>
      <c r="F2572" s="11" t="s">
        <v>10824</v>
      </c>
      <c r="G2572" s="11" t="s">
        <v>10825</v>
      </c>
      <c r="H2572" s="13"/>
      <c r="I2572" s="14">
        <v>23.0</v>
      </c>
      <c r="J2572" s="14">
        <v>46.0</v>
      </c>
      <c r="K2572" s="9" t="str">
        <f>HYPERLINK("https://buffer.com","Buffer")</f>
        <v>Buffer</v>
      </c>
      <c r="L2572" s="15">
        <v>74032.0</v>
      </c>
      <c r="M2572" s="15">
        <v>68047.0</v>
      </c>
      <c r="N2572" s="15">
        <v>460.0</v>
      </c>
      <c r="O2572" s="16"/>
      <c r="P2572" s="17">
        <v>43279.97793981481</v>
      </c>
      <c r="Q2572" s="10" t="s">
        <v>10826</v>
      </c>
      <c r="R2572" s="10" t="s">
        <v>10827</v>
      </c>
      <c r="S2572" s="13"/>
      <c r="T2572" s="13"/>
      <c r="U2572" s="18" t="str">
        <f>HYPERLINK("https://pbs.twimg.com/profile_images/1200176078091935745/Gnk94Jrn.jpg","View")</f>
        <v>View</v>
      </c>
      <c r="V2572" s="13"/>
      <c r="W2572" s="13"/>
      <c r="X2572" s="13"/>
      <c r="Y2572" s="13"/>
      <c r="Z2572" s="13"/>
    </row>
    <row r="2573">
      <c r="A2573" s="8">
        <v>43847.92952546296</v>
      </c>
      <c r="B2573" s="9" t="str">
        <f>HYPERLINK("https://twitter.com/irwin_brenda","@irwin_brenda")</f>
        <v>@irwin_brenda</v>
      </c>
      <c r="C2573" s="10" t="s">
        <v>10828</v>
      </c>
      <c r="D2573" s="10" t="s">
        <v>10829</v>
      </c>
      <c r="E2573" s="9" t="str">
        <f>HYPERLINK("https://twitter.com/irwin_brenda/status/1218372065843003393","1218372065843003393")</f>
        <v>1218372065843003393</v>
      </c>
      <c r="F2573" s="13"/>
      <c r="G2573" s="11" t="s">
        <v>10830</v>
      </c>
      <c r="H2573" s="13"/>
      <c r="I2573" s="14">
        <v>1.0</v>
      </c>
      <c r="J2573" s="14">
        <v>5.0</v>
      </c>
      <c r="K2573" s="9" t="str">
        <f>HYPERLINK("http://twitter.com/download/iphone","Twitter for iPhone")</f>
        <v>Twitter for iPhone</v>
      </c>
      <c r="L2573" s="15">
        <v>2033.0</v>
      </c>
      <c r="M2573" s="15">
        <v>2227.0</v>
      </c>
      <c r="N2573" s="15">
        <v>237.0</v>
      </c>
      <c r="O2573" s="16"/>
      <c r="P2573" s="17">
        <v>41179.0244212963</v>
      </c>
      <c r="Q2573" s="10" t="s">
        <v>10831</v>
      </c>
      <c r="R2573" s="10" t="s">
        <v>10832</v>
      </c>
      <c r="S2573" s="11" t="s">
        <v>10833</v>
      </c>
      <c r="T2573" s="13"/>
      <c r="U2573" s="18" t="str">
        <f>HYPERLINK("https://pbs.twimg.com/profile_images/2867133325/47b49137bef480489918ab2ef2008829.jpeg","View")</f>
        <v>View</v>
      </c>
      <c r="V2573" s="13"/>
      <c r="W2573" s="13"/>
      <c r="X2573" s="13"/>
      <c r="Y2573" s="13"/>
      <c r="Z2573" s="13"/>
    </row>
    <row r="2574">
      <c r="A2574" s="8">
        <v>43847.928194444445</v>
      </c>
      <c r="B2574" s="9" t="str">
        <f>HYPERLINK("https://twitter.com/DrJawahars","@DrJawahars")</f>
        <v>@DrJawahars</v>
      </c>
      <c r="C2574" s="10" t="s">
        <v>8950</v>
      </c>
      <c r="D2574" s="10" t="s">
        <v>10834</v>
      </c>
      <c r="E2574" s="9" t="str">
        <f>HYPERLINK("https://twitter.com/DrJawahars/status/1218371583955177474","1218371583955177474")</f>
        <v>1218371583955177474</v>
      </c>
      <c r="F2574" s="10" t="s">
        <v>10835</v>
      </c>
      <c r="G2574" s="13"/>
      <c r="H2574" s="13"/>
      <c r="I2574" s="14">
        <v>1.0</v>
      </c>
      <c r="J2574" s="14">
        <v>4.0</v>
      </c>
      <c r="K2574" s="9" t="str">
        <f>HYPERLINK("http://twitter.com/download/android","Twitter for Android")</f>
        <v>Twitter for Android</v>
      </c>
      <c r="L2574" s="15">
        <v>786.0</v>
      </c>
      <c r="M2574" s="15">
        <v>192.0</v>
      </c>
      <c r="N2574" s="15">
        <v>2.0</v>
      </c>
      <c r="O2574" s="16"/>
      <c r="P2574" s="17">
        <v>43237.69292824074</v>
      </c>
      <c r="Q2574" s="10" t="s">
        <v>8953</v>
      </c>
      <c r="R2574" s="10" t="s">
        <v>8954</v>
      </c>
      <c r="S2574" s="11" t="s">
        <v>8955</v>
      </c>
      <c r="T2574" s="13"/>
      <c r="U2574" s="18" t="str">
        <f>HYPERLINK("https://pbs.twimg.com/profile_images/1218488175556841472/2lWW6-Si.jpg","View")</f>
        <v>View</v>
      </c>
      <c r="V2574" s="13"/>
      <c r="W2574" s="13"/>
      <c r="X2574" s="13"/>
      <c r="Y2574" s="13"/>
      <c r="Z2574" s="13"/>
    </row>
    <row r="2575">
      <c r="A2575" s="8">
        <v>43847.92611111111</v>
      </c>
      <c r="B2575" s="9" t="str">
        <f>HYPERLINK("https://twitter.com/carolin16466165","@carolin16466165")</f>
        <v>@carolin16466165</v>
      </c>
      <c r="C2575" s="10" t="s">
        <v>10836</v>
      </c>
      <c r="D2575" s="10" t="s">
        <v>10837</v>
      </c>
      <c r="E2575" s="9" t="str">
        <f>HYPERLINK("https://twitter.com/carolin16466165/status/1218370828108210177","1218370828108210177")</f>
        <v>1218370828108210177</v>
      </c>
      <c r="F2575" s="11" t="s">
        <v>10838</v>
      </c>
      <c r="G2575" s="13"/>
      <c r="H2575" s="13"/>
      <c r="I2575" s="14">
        <v>0.0</v>
      </c>
      <c r="J2575" s="14">
        <v>1.0</v>
      </c>
      <c r="K2575" s="9" t="str">
        <f>HYPERLINK("http://instagram.com","Instagram")</f>
        <v>Instagram</v>
      </c>
      <c r="L2575" s="15">
        <v>3.0</v>
      </c>
      <c r="M2575" s="15">
        <v>50.0</v>
      </c>
      <c r="N2575" s="15">
        <v>1.0</v>
      </c>
      <c r="O2575" s="16"/>
      <c r="P2575" s="17">
        <v>42982.40383101851</v>
      </c>
      <c r="Q2575" s="10" t="s">
        <v>91</v>
      </c>
      <c r="R2575" s="10" t="s">
        <v>10839</v>
      </c>
      <c r="S2575" s="11" t="s">
        <v>10840</v>
      </c>
      <c r="T2575" s="13"/>
      <c r="U2575" s="18" t="str">
        <f>HYPERLINK("https://pbs.twimg.com/profile_images/904703475573018625/X9D7iPEc.jpg","View")</f>
        <v>View</v>
      </c>
      <c r="V2575" s="13"/>
      <c r="W2575" s="13"/>
      <c r="X2575" s="13"/>
      <c r="Y2575" s="13"/>
      <c r="Z2575" s="13"/>
    </row>
    <row r="2576">
      <c r="A2576" s="8">
        <v>43847.92605324074</v>
      </c>
      <c r="B2576" s="9" t="str">
        <f>HYPERLINK("https://twitter.com/Chronically_Meg","@Chronically_Meg")</f>
        <v>@Chronically_Meg</v>
      </c>
      <c r="C2576" s="10" t="s">
        <v>2040</v>
      </c>
      <c r="D2576" s="10" t="s">
        <v>10841</v>
      </c>
      <c r="E2576" s="9" t="str">
        <f>HYPERLINK("https://twitter.com/Chronically_Meg/status/1218370808072081408","1218370808072081408")</f>
        <v>1218370808072081408</v>
      </c>
      <c r="F2576" s="11" t="s">
        <v>10842</v>
      </c>
      <c r="G2576" s="13"/>
      <c r="H2576" s="13"/>
      <c r="I2576" s="14">
        <v>5.0</v>
      </c>
      <c r="J2576" s="14">
        <v>3.0</v>
      </c>
      <c r="K2576" s="9" t="str">
        <f t="shared" ref="K2576:K2578" si="335">HYPERLINK("http://twitter.com/download/android","Twitter for Android")</f>
        <v>Twitter for Android</v>
      </c>
      <c r="L2576" s="15">
        <v>104.0</v>
      </c>
      <c r="M2576" s="15">
        <v>176.0</v>
      </c>
      <c r="N2576" s="15">
        <v>0.0</v>
      </c>
      <c r="O2576" s="16"/>
      <c r="P2576" s="17">
        <v>43565.86857638889</v>
      </c>
      <c r="Q2576" s="13"/>
      <c r="R2576" s="10" t="s">
        <v>10843</v>
      </c>
      <c r="S2576" s="11" t="s">
        <v>10842</v>
      </c>
      <c r="T2576" s="13"/>
      <c r="U2576" s="18" t="str">
        <f>HYPERLINK("https://pbs.twimg.com/profile_images/1210679737489731587/eBQUamDb.jpg","View")</f>
        <v>View</v>
      </c>
      <c r="V2576" s="13"/>
      <c r="W2576" s="13"/>
      <c r="X2576" s="13"/>
      <c r="Y2576" s="13"/>
      <c r="Z2576" s="13"/>
    </row>
    <row r="2577">
      <c r="A2577" s="8">
        <v>43847.925787037035</v>
      </c>
      <c r="B2577" s="9" t="str">
        <f>HYPERLINK("https://twitter.com/times_next","@times_next")</f>
        <v>@times_next</v>
      </c>
      <c r="C2577" s="10" t="s">
        <v>10844</v>
      </c>
      <c r="D2577" s="10" t="s">
        <v>238</v>
      </c>
      <c r="E2577" s="9" t="str">
        <f>HYPERLINK("https://twitter.com/times_next/status/1218370711212851200","1218370711212851200")</f>
        <v>1218370711212851200</v>
      </c>
      <c r="F2577" s="13"/>
      <c r="G2577" s="13"/>
      <c r="H2577" s="13"/>
      <c r="I2577" s="14">
        <v>1.0</v>
      </c>
      <c r="J2577" s="14">
        <v>0.0</v>
      </c>
      <c r="K2577" s="9" t="str">
        <f t="shared" si="335"/>
        <v>Twitter for Android</v>
      </c>
      <c r="L2577" s="15">
        <v>6.0</v>
      </c>
      <c r="M2577" s="15">
        <v>137.0</v>
      </c>
      <c r="N2577" s="15">
        <v>0.0</v>
      </c>
      <c r="O2577" s="16"/>
      <c r="P2577" s="17">
        <v>43144.46726851852</v>
      </c>
      <c r="Q2577" s="13"/>
      <c r="R2577" s="10" t="s">
        <v>10845</v>
      </c>
      <c r="S2577" s="13"/>
      <c r="T2577" s="13"/>
      <c r="U2577" s="18" t="str">
        <f>HYPERLINK("https://pbs.twimg.com/profile_images/963451605642129408/3HS0OE_N.jpg","View")</f>
        <v>View</v>
      </c>
      <c r="V2577" s="13"/>
      <c r="W2577" s="13"/>
      <c r="X2577" s="13"/>
      <c r="Y2577" s="13"/>
      <c r="Z2577" s="13"/>
    </row>
    <row r="2578">
      <c r="A2578" s="8">
        <v>43847.92534722222</v>
      </c>
      <c r="B2578" s="9" t="str">
        <f>HYPERLINK("https://twitter.com/17Rebel17","@17Rebel17")</f>
        <v>@17Rebel17</v>
      </c>
      <c r="C2578" s="10" t="s">
        <v>4089</v>
      </c>
      <c r="D2578" s="10" t="s">
        <v>10846</v>
      </c>
      <c r="E2578" s="9" t="str">
        <f>HYPERLINK("https://twitter.com/17Rebel17/status/1218370551997054976","1218370551997054976")</f>
        <v>1218370551997054976</v>
      </c>
      <c r="F2578" s="13"/>
      <c r="G2578" s="13"/>
      <c r="H2578" s="13"/>
      <c r="I2578" s="14">
        <v>1.0</v>
      </c>
      <c r="J2578" s="14">
        <v>1.0</v>
      </c>
      <c r="K2578" s="9" t="str">
        <f t="shared" si="335"/>
        <v>Twitter for Android</v>
      </c>
      <c r="L2578" s="15">
        <v>0.0</v>
      </c>
      <c r="M2578" s="15">
        <v>21.0</v>
      </c>
      <c r="N2578" s="15">
        <v>0.0</v>
      </c>
      <c r="O2578" s="16"/>
      <c r="P2578" s="17">
        <v>43847.899097222224</v>
      </c>
      <c r="Q2578" s="13"/>
      <c r="R2578" s="10" t="s">
        <v>4091</v>
      </c>
      <c r="S2578" s="13"/>
      <c r="T2578" s="13"/>
      <c r="U2578" s="18" t="str">
        <f>HYPERLINK("https://pbs.twimg.com/profile_images/1218361179380207617/Dix47YyU.jpg","View")</f>
        <v>View</v>
      </c>
      <c r="V2578" s="13"/>
      <c r="W2578" s="13"/>
      <c r="X2578" s="13"/>
      <c r="Y2578" s="13"/>
      <c r="Z2578" s="13"/>
    </row>
    <row r="2579">
      <c r="A2579" s="8">
        <v>43847.92534722222</v>
      </c>
      <c r="B2579" s="9" t="str">
        <f>HYPERLINK("https://twitter.com/DShorb","@DShorb")</f>
        <v>@DShorb</v>
      </c>
      <c r="C2579" s="10" t="s">
        <v>21</v>
      </c>
      <c r="D2579" s="10" t="s">
        <v>22</v>
      </c>
      <c r="E2579" s="9" t="str">
        <f>HYPERLINK("https://twitter.com/DShorb/status/1218370551888084993","1218370551888084993")</f>
        <v>1218370551888084993</v>
      </c>
      <c r="F2579" s="11" t="s">
        <v>10847</v>
      </c>
      <c r="G2579" s="13"/>
      <c r="H2579" s="13"/>
      <c r="I2579" s="14">
        <v>1.0</v>
      </c>
      <c r="J2579" s="14">
        <v>0.0</v>
      </c>
      <c r="K2579" s="9" t="str">
        <f>HYPERLINK("https://www.smedian.com","Penname")</f>
        <v>Penname</v>
      </c>
      <c r="L2579" s="15">
        <v>3871.0</v>
      </c>
      <c r="M2579" s="15">
        <v>4543.0</v>
      </c>
      <c r="N2579" s="15">
        <v>185.0</v>
      </c>
      <c r="O2579" s="16"/>
      <c r="P2579" s="17">
        <v>40991.739027777774</v>
      </c>
      <c r="Q2579" s="10" t="s">
        <v>24</v>
      </c>
      <c r="R2579" s="10" t="s">
        <v>25</v>
      </c>
      <c r="S2579" s="11" t="s">
        <v>26</v>
      </c>
      <c r="T2579" s="13"/>
      <c r="U2579" s="18" t="str">
        <f>HYPERLINK("https://pbs.twimg.com/profile_images/1134459629478408192/VnPf0dlm.jpg","View")</f>
        <v>View</v>
      </c>
      <c r="V2579" s="13"/>
      <c r="W2579" s="13"/>
      <c r="X2579" s="13"/>
      <c r="Y2579" s="13"/>
      <c r="Z2579" s="13"/>
    </row>
    <row r="2580">
      <c r="A2580" s="8">
        <v>43847.925</v>
      </c>
      <c r="B2580" s="9" t="str">
        <f>HYPERLINK("https://twitter.com/manojpandey66","@manojpandey66")</f>
        <v>@manojpandey66</v>
      </c>
      <c r="C2580" s="10" t="s">
        <v>7504</v>
      </c>
      <c r="D2580" s="10" t="s">
        <v>10848</v>
      </c>
      <c r="E2580" s="9" t="str">
        <f>HYPERLINK("https://twitter.com/manojpandey66/status/1218370425870139392","1218370425870139392")</f>
        <v>1218370425870139392</v>
      </c>
      <c r="F2580" s="13"/>
      <c r="G2580" s="11" t="s">
        <v>10849</v>
      </c>
      <c r="H2580" s="13"/>
      <c r="I2580" s="14">
        <v>0.0</v>
      </c>
      <c r="J2580" s="14">
        <v>2.0</v>
      </c>
      <c r="K2580" s="9" t="str">
        <f>HYPERLINK("https://mobile.twitter.com","Twitter Web App")</f>
        <v>Twitter Web App</v>
      </c>
      <c r="L2580" s="15">
        <v>1372.0</v>
      </c>
      <c r="M2580" s="15">
        <v>555.0</v>
      </c>
      <c r="N2580" s="15">
        <v>7.0</v>
      </c>
      <c r="O2580" s="16"/>
      <c r="P2580" s="17">
        <v>40746.0390625</v>
      </c>
      <c r="Q2580" s="10" t="s">
        <v>7507</v>
      </c>
      <c r="R2580" s="10" t="s">
        <v>7508</v>
      </c>
      <c r="S2580" s="11" t="s">
        <v>7509</v>
      </c>
      <c r="T2580" s="13"/>
      <c r="U2580" s="18" t="str">
        <f>HYPERLINK("https://pbs.twimg.com/profile_images/1134750107302125569/VwLz3fkd.png","View")</f>
        <v>View</v>
      </c>
      <c r="V2580" s="13"/>
      <c r="W2580" s="13"/>
      <c r="X2580" s="13"/>
      <c r="Y2580" s="13"/>
      <c r="Z2580" s="13"/>
    </row>
    <row r="2581">
      <c r="A2581" s="8">
        <v>43847.92474537037</v>
      </c>
      <c r="B2581" s="9" t="str">
        <f>HYPERLINK("https://twitter.com/melanie_korach","@melanie_korach")</f>
        <v>@melanie_korach</v>
      </c>
      <c r="C2581" s="10" t="s">
        <v>5766</v>
      </c>
      <c r="D2581" s="10" t="s">
        <v>10850</v>
      </c>
      <c r="E2581" s="9" t="str">
        <f>HYPERLINK("https://twitter.com/melanie_korach/status/1218370334992134145","1218370334992134145")</f>
        <v>1218370334992134145</v>
      </c>
      <c r="F2581" s="11" t="s">
        <v>10851</v>
      </c>
      <c r="G2581" s="11" t="s">
        <v>10852</v>
      </c>
      <c r="H2581" s="13"/>
      <c r="I2581" s="14">
        <v>25.0</v>
      </c>
      <c r="J2581" s="14">
        <v>149.0</v>
      </c>
      <c r="K2581" s="9" t="str">
        <f t="shared" ref="K2581:K2583" si="336">HYPERLINK("http://twitter.com/download/iphone","Twitter for iPhone")</f>
        <v>Twitter for iPhone</v>
      </c>
      <c r="L2581" s="15">
        <v>23865.0</v>
      </c>
      <c r="M2581" s="15">
        <v>21089.0</v>
      </c>
      <c r="N2581" s="15">
        <v>131.0</v>
      </c>
      <c r="O2581" s="16"/>
      <c r="P2581" s="17">
        <v>42873.50809027778</v>
      </c>
      <c r="Q2581" s="10" t="s">
        <v>5769</v>
      </c>
      <c r="R2581" s="10" t="s">
        <v>5770</v>
      </c>
      <c r="S2581" s="13"/>
      <c r="T2581" s="13"/>
      <c r="U2581" s="18" t="str">
        <f>HYPERLINK("https://pbs.twimg.com/profile_images/1138923170294063105/7VowT7GA.jpg","View")</f>
        <v>View</v>
      </c>
      <c r="V2581" s="13"/>
      <c r="W2581" s="13"/>
      <c r="X2581" s="13"/>
      <c r="Y2581" s="13"/>
      <c r="Z2581" s="13"/>
    </row>
    <row r="2582">
      <c r="A2582" s="8">
        <v>43847.92319444445</v>
      </c>
      <c r="B2582" s="9" t="str">
        <f>HYPERLINK("https://twitter.com/thedude039","@thedude039")</f>
        <v>@thedude039</v>
      </c>
      <c r="C2582" s="10" t="s">
        <v>10853</v>
      </c>
      <c r="D2582" s="10" t="s">
        <v>10854</v>
      </c>
      <c r="E2582" s="9" t="str">
        <f>HYPERLINK("https://twitter.com/thedude039/status/1218369773223809029","1218369773223809029")</f>
        <v>1218369773223809029</v>
      </c>
      <c r="F2582" s="13"/>
      <c r="G2582" s="13"/>
      <c r="H2582" s="13"/>
      <c r="I2582" s="14">
        <v>0.0</v>
      </c>
      <c r="J2582" s="14">
        <v>3.0</v>
      </c>
      <c r="K2582" s="9" t="str">
        <f t="shared" si="336"/>
        <v>Twitter for iPhone</v>
      </c>
      <c r="L2582" s="15">
        <v>710.0</v>
      </c>
      <c r="M2582" s="15">
        <v>1058.0</v>
      </c>
      <c r="N2582" s="15">
        <v>0.0</v>
      </c>
      <c r="O2582" s="16"/>
      <c r="P2582" s="17">
        <v>40543.1090625</v>
      </c>
      <c r="Q2582" s="10" t="s">
        <v>382</v>
      </c>
      <c r="R2582" s="10" t="s">
        <v>10855</v>
      </c>
      <c r="S2582" s="13"/>
      <c r="T2582" s="13"/>
      <c r="U2582" s="18" t="str">
        <f>HYPERLINK("https://pbs.twimg.com/profile_images/1211451571759763456/u_71EKRz.jpg","View")</f>
        <v>View</v>
      </c>
      <c r="V2582" s="13"/>
      <c r="W2582" s="13"/>
      <c r="X2582" s="13"/>
      <c r="Y2582" s="13"/>
      <c r="Z2582" s="13"/>
    </row>
    <row r="2583">
      <c r="A2583" s="8">
        <v>43847.92313657407</v>
      </c>
      <c r="B2583" s="9" t="str">
        <f>HYPERLINK("https://twitter.com/PinchMeDough","@PinchMeDough")</f>
        <v>@PinchMeDough</v>
      </c>
      <c r="C2583" s="10" t="s">
        <v>10856</v>
      </c>
      <c r="D2583" s="10" t="s">
        <v>10857</v>
      </c>
      <c r="E2583" s="9" t="str">
        <f>HYPERLINK("https://twitter.com/PinchMeDough/status/1218369752713826309","1218369752713826309")</f>
        <v>1218369752713826309</v>
      </c>
      <c r="F2583" s="11" t="s">
        <v>10858</v>
      </c>
      <c r="G2583" s="11" t="s">
        <v>10859</v>
      </c>
      <c r="H2583" s="13"/>
      <c r="I2583" s="14">
        <v>0.0</v>
      </c>
      <c r="J2583" s="14">
        <v>0.0</v>
      </c>
      <c r="K2583" s="9" t="str">
        <f t="shared" si="336"/>
        <v>Twitter for iPhone</v>
      </c>
      <c r="L2583" s="15">
        <v>314.0</v>
      </c>
      <c r="M2583" s="15">
        <v>114.0</v>
      </c>
      <c r="N2583" s="15">
        <v>6.0</v>
      </c>
      <c r="O2583" s="16"/>
      <c r="P2583" s="17">
        <v>41736.99392361111</v>
      </c>
      <c r="Q2583" s="13"/>
      <c r="R2583" s="10" t="s">
        <v>10860</v>
      </c>
      <c r="S2583" s="11" t="s">
        <v>10861</v>
      </c>
      <c r="T2583" s="13"/>
      <c r="U2583" s="18" t="str">
        <f>HYPERLINK("https://pbs.twimg.com/profile_images/471674375209361408/D0KCqXZb.jpeg","View")</f>
        <v>View</v>
      </c>
      <c r="V2583" s="13"/>
      <c r="W2583" s="13"/>
      <c r="X2583" s="13"/>
      <c r="Y2583" s="13"/>
      <c r="Z2583" s="13"/>
    </row>
    <row r="2584">
      <c r="A2584" s="8">
        <v>43847.92307870371</v>
      </c>
      <c r="B2584" s="9" t="str">
        <f>HYPERLINK("https://twitter.com/Vidsks","@Vidsks")</f>
        <v>@Vidsks</v>
      </c>
      <c r="C2584" s="10" t="s">
        <v>10862</v>
      </c>
      <c r="D2584" s="10" t="s">
        <v>10863</v>
      </c>
      <c r="E2584" s="9" t="str">
        <f>HYPERLINK("https://twitter.com/Vidsks/status/1218369731607973894","1218369731607973894")</f>
        <v>1218369731607973894</v>
      </c>
      <c r="F2584" s="11" t="s">
        <v>10864</v>
      </c>
      <c r="G2584" s="11" t="s">
        <v>10865</v>
      </c>
      <c r="H2584" s="13"/>
      <c r="I2584" s="14">
        <v>1.0</v>
      </c>
      <c r="J2584" s="14">
        <v>1.0</v>
      </c>
      <c r="K2584" s="9" t="str">
        <f t="shared" ref="K2584:K2585" si="337">HYPERLINK("https://mobile.twitter.com","Twitter Web App")</f>
        <v>Twitter Web App</v>
      </c>
      <c r="L2584" s="15">
        <v>8.0</v>
      </c>
      <c r="M2584" s="15">
        <v>55.0</v>
      </c>
      <c r="N2584" s="15">
        <v>0.0</v>
      </c>
      <c r="O2584" s="16"/>
      <c r="P2584" s="17">
        <v>41543.00625</v>
      </c>
      <c r="Q2584" s="10" t="s">
        <v>10866</v>
      </c>
      <c r="R2584" s="10" t="s">
        <v>10867</v>
      </c>
      <c r="S2584" s="13"/>
      <c r="T2584" s="13"/>
      <c r="U2584" s="18" t="str">
        <f>HYPERLINK("https://pbs.twimg.com/profile_images/1208655517209333760/BEU8NBl6.jpg","View")</f>
        <v>View</v>
      </c>
      <c r="V2584" s="13"/>
      <c r="W2584" s="13"/>
      <c r="X2584" s="13"/>
      <c r="Y2584" s="13"/>
      <c r="Z2584" s="13"/>
    </row>
    <row r="2585">
      <c r="A2585" s="8">
        <v>43847.92199074074</v>
      </c>
      <c r="B2585" s="9" t="str">
        <f>HYPERLINK("https://twitter.com/thelaceylondon","@thelaceylondon")</f>
        <v>@thelaceylondon</v>
      </c>
      <c r="C2585" s="10" t="s">
        <v>10868</v>
      </c>
      <c r="D2585" s="10" t="s">
        <v>10869</v>
      </c>
      <c r="E2585" s="9" t="str">
        <f>HYPERLINK("https://twitter.com/thelaceylondon/status/1218369333941936128","1218369333941936128")</f>
        <v>1218369333941936128</v>
      </c>
      <c r="F2585" s="11" t="s">
        <v>10870</v>
      </c>
      <c r="G2585" s="13"/>
      <c r="H2585" s="13"/>
      <c r="I2585" s="14">
        <v>3.0</v>
      </c>
      <c r="J2585" s="14">
        <v>2.0</v>
      </c>
      <c r="K2585" s="9" t="str">
        <f t="shared" si="337"/>
        <v>Twitter Web App</v>
      </c>
      <c r="L2585" s="15">
        <v>112180.0</v>
      </c>
      <c r="M2585" s="15">
        <v>2842.0</v>
      </c>
      <c r="N2585" s="15">
        <v>1686.0</v>
      </c>
      <c r="O2585" s="16"/>
      <c r="P2585" s="17">
        <v>41952.42885416667</v>
      </c>
      <c r="Q2585" s="10" t="s">
        <v>10871</v>
      </c>
      <c r="R2585" s="10" t="s">
        <v>10872</v>
      </c>
      <c r="S2585" s="11" t="s">
        <v>10873</v>
      </c>
      <c r="T2585" s="13"/>
      <c r="U2585" s="18" t="str">
        <f>HYPERLINK("https://pbs.twimg.com/profile_images/1092806611134017536/xV2LYmSW.jpg","View")</f>
        <v>View</v>
      </c>
      <c r="V2585" s="13"/>
      <c r="W2585" s="13"/>
      <c r="X2585" s="13"/>
      <c r="Y2585" s="13"/>
      <c r="Z2585" s="13"/>
    </row>
    <row r="2586">
      <c r="A2586" s="8">
        <v>43847.921701388885</v>
      </c>
      <c r="B2586" s="9" t="str">
        <f>HYPERLINK("https://twitter.com/conner4481","@conner4481")</f>
        <v>@conner4481</v>
      </c>
      <c r="C2586" s="10" t="s">
        <v>10874</v>
      </c>
      <c r="D2586" s="10" t="s">
        <v>238</v>
      </c>
      <c r="E2586" s="9" t="str">
        <f>HYPERLINK("https://twitter.com/conner4481/status/1218369229776465920","1218369229776465920")</f>
        <v>1218369229776465920</v>
      </c>
      <c r="F2586" s="13"/>
      <c r="G2586" s="13"/>
      <c r="H2586" s="13"/>
      <c r="I2586" s="14">
        <v>0.0</v>
      </c>
      <c r="J2586" s="14">
        <v>0.0</v>
      </c>
      <c r="K2586" s="9" t="str">
        <f t="shared" ref="K2586:K2587" si="338">HYPERLINK("http://twitter.com/download/iphone","Twitter for iPhone")</f>
        <v>Twitter for iPhone</v>
      </c>
      <c r="L2586" s="15">
        <v>25.0</v>
      </c>
      <c r="M2586" s="15">
        <v>131.0</v>
      </c>
      <c r="N2586" s="15">
        <v>0.0</v>
      </c>
      <c r="O2586" s="16"/>
      <c r="P2586" s="17">
        <v>43299.8882175926</v>
      </c>
      <c r="Q2586" s="10" t="s">
        <v>10875</v>
      </c>
      <c r="R2586" s="10" t="s">
        <v>10876</v>
      </c>
      <c r="S2586" s="13"/>
      <c r="T2586" s="13"/>
      <c r="U2586" s="18" t="str">
        <f>HYPERLINK("https://pbs.twimg.com/profile_images/1019753949165998080/oVkqt-MU.jpg","View")</f>
        <v>View</v>
      </c>
      <c r="V2586" s="13"/>
      <c r="W2586" s="13"/>
      <c r="X2586" s="13"/>
      <c r="Y2586" s="13"/>
      <c r="Z2586" s="13"/>
    </row>
    <row r="2587">
      <c r="A2587" s="8">
        <v>43847.92129629629</v>
      </c>
      <c r="B2587" s="9" t="str">
        <f>HYPERLINK("https://twitter.com/malikaspeaks","@malikaspeaks")</f>
        <v>@malikaspeaks</v>
      </c>
      <c r="C2587" s="10" t="s">
        <v>10877</v>
      </c>
      <c r="D2587" s="10" t="s">
        <v>10878</v>
      </c>
      <c r="E2587" s="9" t="str">
        <f>HYPERLINK("https://twitter.com/malikaspeaks/status/1218369082589941761","1218369082589941761")</f>
        <v>1218369082589941761</v>
      </c>
      <c r="F2587" s="13"/>
      <c r="G2587" s="11" t="s">
        <v>10879</v>
      </c>
      <c r="H2587" s="13"/>
      <c r="I2587" s="14">
        <v>3.0</v>
      </c>
      <c r="J2587" s="14">
        <v>3.0</v>
      </c>
      <c r="K2587" s="9" t="str">
        <f t="shared" si="338"/>
        <v>Twitter for iPhone</v>
      </c>
      <c r="L2587" s="15">
        <v>81.0</v>
      </c>
      <c r="M2587" s="15">
        <v>186.0</v>
      </c>
      <c r="N2587" s="15">
        <v>0.0</v>
      </c>
      <c r="O2587" s="16"/>
      <c r="P2587" s="17">
        <v>41296.52134259259</v>
      </c>
      <c r="Q2587" s="10" t="s">
        <v>1324</v>
      </c>
      <c r="R2587" s="10" t="s">
        <v>10880</v>
      </c>
      <c r="S2587" s="11" t="s">
        <v>10881</v>
      </c>
      <c r="T2587" s="13"/>
      <c r="U2587" s="18" t="str">
        <f>HYPERLINK("https://pbs.twimg.com/profile_images/1201665958055759872/VgkpAMQ6.jpg","View")</f>
        <v>View</v>
      </c>
      <c r="V2587" s="13"/>
      <c r="W2587" s="13"/>
      <c r="X2587" s="13"/>
      <c r="Y2587" s="13"/>
      <c r="Z2587" s="13"/>
    </row>
    <row r="2588">
      <c r="A2588" s="8">
        <v>43847.92074074074</v>
      </c>
      <c r="B2588" s="9" t="str">
        <f>HYPERLINK("https://twitter.com/thornhillmom","@thornhillmom")</f>
        <v>@thornhillmom</v>
      </c>
      <c r="C2588" s="10" t="s">
        <v>2702</v>
      </c>
      <c r="D2588" s="10" t="s">
        <v>10882</v>
      </c>
      <c r="E2588" s="9" t="str">
        <f>HYPERLINK("https://twitter.com/thornhillmom/status/1218368881560973312","1218368881560973312")</f>
        <v>1218368881560973312</v>
      </c>
      <c r="F2588" s="11" t="s">
        <v>10883</v>
      </c>
      <c r="G2588" s="13"/>
      <c r="H2588" s="13"/>
      <c r="I2588" s="14">
        <v>1.0</v>
      </c>
      <c r="J2588" s="14">
        <v>0.0</v>
      </c>
      <c r="K2588" s="9" t="str">
        <f>HYPERLINK("http://www.twitter.com","Marietweet")</f>
        <v>Marietweet</v>
      </c>
      <c r="L2588" s="15">
        <v>10918.0</v>
      </c>
      <c r="M2588" s="15">
        <v>3968.0</v>
      </c>
      <c r="N2588" s="15">
        <v>510.0</v>
      </c>
      <c r="O2588" s="16"/>
      <c r="P2588" s="17">
        <v>41233.47824074074</v>
      </c>
      <c r="Q2588" s="10" t="s">
        <v>2705</v>
      </c>
      <c r="R2588" s="10" t="s">
        <v>2706</v>
      </c>
      <c r="S2588" s="11" t="s">
        <v>2707</v>
      </c>
      <c r="T2588" s="13"/>
      <c r="U2588" s="18" t="str">
        <f>HYPERLINK("https://pbs.twimg.com/profile_images/528657627157233664/mAw3lKf_.jpeg","View")</f>
        <v>View</v>
      </c>
      <c r="V2588" s="13"/>
      <c r="W2588" s="13"/>
      <c r="X2588" s="13"/>
      <c r="Y2588" s="13"/>
      <c r="Z2588" s="13"/>
    </row>
    <row r="2589">
      <c r="A2589" s="8">
        <v>43847.91997685185</v>
      </c>
      <c r="B2589" s="9" t="str">
        <f>HYPERLINK("https://twitter.com/17Rebel17","@17Rebel17")</f>
        <v>@17Rebel17</v>
      </c>
      <c r="C2589" s="10" t="s">
        <v>4089</v>
      </c>
      <c r="D2589" s="10" t="s">
        <v>10884</v>
      </c>
      <c r="E2589" s="9" t="str">
        <f>HYPERLINK("https://twitter.com/17Rebel17/status/1218368607027003392","1218368607027003392")</f>
        <v>1218368607027003392</v>
      </c>
      <c r="F2589" s="13"/>
      <c r="G2589" s="13"/>
      <c r="H2589" s="13"/>
      <c r="I2589" s="14">
        <v>0.0</v>
      </c>
      <c r="J2589" s="14">
        <v>0.0</v>
      </c>
      <c r="K2589" s="9" t="str">
        <f>HYPERLINK("http://twitter.com/download/android","Twitter for Android")</f>
        <v>Twitter for Android</v>
      </c>
      <c r="L2589" s="15">
        <v>0.0</v>
      </c>
      <c r="M2589" s="15">
        <v>21.0</v>
      </c>
      <c r="N2589" s="15">
        <v>0.0</v>
      </c>
      <c r="O2589" s="16"/>
      <c r="P2589" s="17">
        <v>43847.899097222224</v>
      </c>
      <c r="Q2589" s="13"/>
      <c r="R2589" s="10" t="s">
        <v>4091</v>
      </c>
      <c r="S2589" s="13"/>
      <c r="T2589" s="13"/>
      <c r="U2589" s="18" t="str">
        <f>HYPERLINK("https://pbs.twimg.com/profile_images/1218361179380207617/Dix47YyU.jpg","View")</f>
        <v>View</v>
      </c>
      <c r="V2589" s="13"/>
      <c r="W2589" s="13"/>
      <c r="X2589" s="13"/>
      <c r="Y2589" s="13"/>
      <c r="Z2589" s="13"/>
    </row>
    <row r="2590">
      <c r="A2590" s="8">
        <v>43847.91810185185</v>
      </c>
      <c r="B2590" s="9" t="str">
        <f>HYPERLINK("https://twitter.com/NenaLavonne","@NenaLavonne")</f>
        <v>@NenaLavonne</v>
      </c>
      <c r="C2590" s="10" t="s">
        <v>10885</v>
      </c>
      <c r="D2590" s="10" t="s">
        <v>10886</v>
      </c>
      <c r="E2590" s="9" t="str">
        <f>HYPERLINK("https://twitter.com/NenaLavonne/status/1218367927201812480","1218367927201812480")</f>
        <v>1218367927201812480</v>
      </c>
      <c r="F2590" s="13"/>
      <c r="G2590" s="11" t="s">
        <v>10887</v>
      </c>
      <c r="H2590" s="13"/>
      <c r="I2590" s="14">
        <v>5.0</v>
      </c>
      <c r="J2590" s="14">
        <v>23.0</v>
      </c>
      <c r="K2590" s="9" t="str">
        <f>HYPERLINK("http://twitter.com/download/iphone","Twitter for iPhone")</f>
        <v>Twitter for iPhone</v>
      </c>
      <c r="L2590" s="15">
        <v>2941.0</v>
      </c>
      <c r="M2590" s="15">
        <v>4197.0</v>
      </c>
      <c r="N2590" s="15">
        <v>10.0</v>
      </c>
      <c r="O2590" s="16"/>
      <c r="P2590" s="17">
        <v>43603.98763888889</v>
      </c>
      <c r="Q2590" s="13"/>
      <c r="R2590" s="10" t="s">
        <v>10888</v>
      </c>
      <c r="S2590" s="11" t="s">
        <v>10889</v>
      </c>
      <c r="T2590" s="13"/>
      <c r="U2590" s="18" t="str">
        <f>HYPERLINK("https://pbs.twimg.com/profile_images/1210739722659610624/sjdS-th5.jpg","View")</f>
        <v>View</v>
      </c>
      <c r="V2590" s="13"/>
      <c r="W2590" s="13"/>
      <c r="X2590" s="13"/>
      <c r="Y2590" s="13"/>
      <c r="Z2590" s="13"/>
    </row>
    <row r="2591">
      <c r="A2591" s="8">
        <v>43847.91758101852</v>
      </c>
      <c r="B2591" s="9" t="str">
        <f>HYPERLINK("https://twitter.com/LainiMoreno","@LainiMoreno")</f>
        <v>@LainiMoreno</v>
      </c>
      <c r="C2591" s="10" t="s">
        <v>10890</v>
      </c>
      <c r="D2591" s="10" t="s">
        <v>10891</v>
      </c>
      <c r="E2591" s="9" t="str">
        <f>HYPERLINK("https://twitter.com/LainiMoreno/status/1218367736138665985","1218367736138665985")</f>
        <v>1218367736138665985</v>
      </c>
      <c r="F2591" s="11" t="s">
        <v>10892</v>
      </c>
      <c r="G2591" s="11" t="s">
        <v>10893</v>
      </c>
      <c r="H2591" s="13"/>
      <c r="I2591" s="14">
        <v>2.0</v>
      </c>
      <c r="J2591" s="14">
        <v>3.0</v>
      </c>
      <c r="K2591" s="9" t="str">
        <f>HYPERLINK("https://mobile.twitter.com","Twitter Web App")</f>
        <v>Twitter Web App</v>
      </c>
      <c r="L2591" s="15">
        <v>622.0</v>
      </c>
      <c r="M2591" s="15">
        <v>9.0</v>
      </c>
      <c r="N2591" s="15">
        <v>288.0</v>
      </c>
      <c r="O2591" s="16"/>
      <c r="P2591" s="17">
        <v>41368.465150462966</v>
      </c>
      <c r="Q2591" s="10" t="s">
        <v>24</v>
      </c>
      <c r="R2591" s="10" t="s">
        <v>10894</v>
      </c>
      <c r="S2591" s="11" t="s">
        <v>10895</v>
      </c>
      <c r="T2591" s="13"/>
      <c r="U2591" s="18" t="str">
        <f>HYPERLINK("https://pbs.twimg.com/profile_images/1136967256154476544/IDLGxTTZ.jpg","View")</f>
        <v>View</v>
      </c>
      <c r="V2591" s="13"/>
      <c r="W2591" s="13"/>
      <c r="X2591" s="13"/>
      <c r="Y2591" s="13"/>
      <c r="Z2591" s="13"/>
    </row>
    <row r="2592">
      <c r="A2592" s="8">
        <v>43847.91747685186</v>
      </c>
      <c r="B2592" s="9" t="str">
        <f>HYPERLINK("https://twitter.com/krigby38","@krigby38")</f>
        <v>@krigby38</v>
      </c>
      <c r="C2592" s="10" t="s">
        <v>10896</v>
      </c>
      <c r="D2592" s="10" t="s">
        <v>10897</v>
      </c>
      <c r="E2592" s="9" t="str">
        <f>HYPERLINK("https://twitter.com/krigby38/status/1218367701225263104","1218367701225263104")</f>
        <v>1218367701225263104</v>
      </c>
      <c r="F2592" s="11" t="s">
        <v>10898</v>
      </c>
      <c r="G2592" s="13"/>
      <c r="H2592" s="13"/>
      <c r="I2592" s="14">
        <v>1.0</v>
      </c>
      <c r="J2592" s="14">
        <v>1.0</v>
      </c>
      <c r="K2592" s="9" t="str">
        <f>HYPERLINK("https://paper.li","Paper.li")</f>
        <v>Paper.li</v>
      </c>
      <c r="L2592" s="15">
        <v>312.0</v>
      </c>
      <c r="M2592" s="15">
        <v>481.0</v>
      </c>
      <c r="N2592" s="15">
        <v>3.0</v>
      </c>
      <c r="O2592" s="16"/>
      <c r="P2592" s="17">
        <v>42866.91427083334</v>
      </c>
      <c r="Q2592" s="10" t="s">
        <v>10899</v>
      </c>
      <c r="R2592" s="10" t="s">
        <v>10900</v>
      </c>
      <c r="S2592" s="11" t="s">
        <v>10901</v>
      </c>
      <c r="T2592" s="13"/>
      <c r="U2592" s="18" t="str">
        <f>HYPERLINK("https://pbs.twimg.com/profile_images/947168666260516864/zg1CAUPY.jpg","View")</f>
        <v>View</v>
      </c>
      <c r="V2592" s="13"/>
      <c r="W2592" s="13"/>
      <c r="X2592" s="13"/>
      <c r="Y2592" s="13"/>
      <c r="Z2592" s="13"/>
    </row>
    <row r="2593">
      <c r="A2593" s="8">
        <v>43847.91677083333</v>
      </c>
      <c r="B2593" s="9" t="str">
        <f>HYPERLINK("https://twitter.com/LifelineAust","@LifelineAust")</f>
        <v>@LifelineAust</v>
      </c>
      <c r="C2593" s="10" t="s">
        <v>10902</v>
      </c>
      <c r="D2593" s="10" t="s">
        <v>10903</v>
      </c>
      <c r="E2593" s="9" t="str">
        <f>HYPERLINK("https://twitter.com/LifelineAust/status/1218367443971854336","1218367443971854336")</f>
        <v>1218367443971854336</v>
      </c>
      <c r="F2593" s="11" t="s">
        <v>10904</v>
      </c>
      <c r="G2593" s="11" t="s">
        <v>10905</v>
      </c>
      <c r="H2593" s="13"/>
      <c r="I2593" s="14">
        <v>8.0</v>
      </c>
      <c r="J2593" s="14">
        <v>12.0</v>
      </c>
      <c r="K2593" s="9" t="str">
        <f t="shared" ref="K2593:K2594" si="339">HYPERLINK("https://www.hootsuite.com","Hootsuite Inc.")</f>
        <v>Hootsuite Inc.</v>
      </c>
      <c r="L2593" s="15">
        <v>36523.0</v>
      </c>
      <c r="M2593" s="15">
        <v>638.0</v>
      </c>
      <c r="N2593" s="15">
        <v>415.0</v>
      </c>
      <c r="O2593" s="21" t="s">
        <v>522</v>
      </c>
      <c r="P2593" s="17">
        <v>39968.125752314816</v>
      </c>
      <c r="Q2593" s="13"/>
      <c r="R2593" s="10" t="s">
        <v>10906</v>
      </c>
      <c r="S2593" s="11" t="s">
        <v>10907</v>
      </c>
      <c r="T2593" s="13"/>
      <c r="U2593" s="18" t="str">
        <f>HYPERLINK("https://pbs.twimg.com/profile_images/378800000070251150/81b5d73e8d1df16d2e88eddde53e30e1.jpeg","View")</f>
        <v>View</v>
      </c>
      <c r="V2593" s="13"/>
      <c r="W2593" s="13"/>
      <c r="X2593" s="13"/>
      <c r="Y2593" s="13"/>
      <c r="Z2593" s="13"/>
    </row>
    <row r="2594">
      <c r="A2594" s="8">
        <v>43847.91674768519</v>
      </c>
      <c r="B2594" s="9" t="str">
        <f>HYPERLINK("https://twitter.com/Aluwir","@Aluwir")</f>
        <v>@Aluwir</v>
      </c>
      <c r="C2594" s="10" t="s">
        <v>10908</v>
      </c>
      <c r="D2594" s="10" t="s">
        <v>10909</v>
      </c>
      <c r="E2594" s="9" t="str">
        <f>HYPERLINK("https://twitter.com/Aluwir/status/1218367436862447616","1218367436862447616")</f>
        <v>1218367436862447616</v>
      </c>
      <c r="F2594" s="11" t="s">
        <v>10910</v>
      </c>
      <c r="G2594" s="13"/>
      <c r="H2594" s="13"/>
      <c r="I2594" s="14">
        <v>0.0</v>
      </c>
      <c r="J2594" s="14">
        <v>0.0</v>
      </c>
      <c r="K2594" s="9" t="str">
        <f t="shared" si="339"/>
        <v>Hootsuite Inc.</v>
      </c>
      <c r="L2594" s="15">
        <v>1274.0</v>
      </c>
      <c r="M2594" s="15">
        <v>973.0</v>
      </c>
      <c r="N2594" s="15">
        <v>110.0</v>
      </c>
      <c r="O2594" s="16"/>
      <c r="P2594" s="17">
        <v>39868.90300925926</v>
      </c>
      <c r="Q2594" s="10" t="s">
        <v>10911</v>
      </c>
      <c r="R2594" s="10" t="s">
        <v>10912</v>
      </c>
      <c r="S2594" s="11" t="s">
        <v>10913</v>
      </c>
      <c r="T2594" s="13"/>
      <c r="U2594" s="18" t="str">
        <f>HYPERLINK("https://pbs.twimg.com/profile_images/459845167269179392/MKVBEHfL.jpeg","View")</f>
        <v>View</v>
      </c>
      <c r="V2594" s="13"/>
      <c r="W2594" s="13"/>
      <c r="X2594" s="13"/>
      <c r="Y2594" s="13"/>
      <c r="Z2594" s="13"/>
    </row>
    <row r="2595">
      <c r="A2595" s="8">
        <v>43847.91672453703</v>
      </c>
      <c r="B2595" s="9" t="str">
        <f>HYPERLINK("https://twitter.com/TheReal_Heaven","@TheReal_Heaven")</f>
        <v>@TheReal_Heaven</v>
      </c>
      <c r="C2595" s="10" t="s">
        <v>10914</v>
      </c>
      <c r="D2595" s="10" t="s">
        <v>10915</v>
      </c>
      <c r="E2595" s="9" t="str">
        <f>HYPERLINK("https://twitter.com/TheReal_Heaven/status/1218367428708581378","1218367428708581378")</f>
        <v>1218367428708581378</v>
      </c>
      <c r="F2595" s="11" t="s">
        <v>10916</v>
      </c>
      <c r="G2595" s="13"/>
      <c r="H2595" s="13"/>
      <c r="I2595" s="14">
        <v>0.0</v>
      </c>
      <c r="J2595" s="14">
        <v>0.0</v>
      </c>
      <c r="K2595" s="9" t="str">
        <f>HYPERLINK("http://instagram.com","Instagram")</f>
        <v>Instagram</v>
      </c>
      <c r="L2595" s="15">
        <v>1606.0</v>
      </c>
      <c r="M2595" s="15">
        <v>1459.0</v>
      </c>
      <c r="N2595" s="15">
        <v>13.0</v>
      </c>
      <c r="O2595" s="16"/>
      <c r="P2595" s="17">
        <v>40307.90385416667</v>
      </c>
      <c r="Q2595" s="10" t="s">
        <v>10917</v>
      </c>
      <c r="R2595" s="10" t="s">
        <v>10918</v>
      </c>
      <c r="S2595" s="11" t="s">
        <v>10919</v>
      </c>
      <c r="T2595" s="13"/>
      <c r="U2595" s="18" t="str">
        <f>HYPERLINK("https://pbs.twimg.com/profile_images/1128408660433154048/OF1qh2HT.jpg","View")</f>
        <v>View</v>
      </c>
      <c r="V2595" s="13"/>
      <c r="W2595" s="13"/>
      <c r="X2595" s="13"/>
      <c r="Y2595" s="13"/>
      <c r="Z2595" s="13"/>
    </row>
    <row r="2596">
      <c r="A2596" s="24"/>
      <c r="B2596" s="19"/>
      <c r="C2596" s="19"/>
      <c r="D2596" s="19"/>
      <c r="E2596" s="19"/>
      <c r="F2596" s="19"/>
      <c r="G2596" s="19"/>
      <c r="H2596" s="19"/>
      <c r="I2596" s="19"/>
      <c r="J2596" s="19"/>
      <c r="K2596" s="19"/>
      <c r="L2596" s="25"/>
      <c r="M2596" s="25"/>
      <c r="N2596" s="25"/>
      <c r="O2596" s="25"/>
      <c r="P2596" s="25"/>
      <c r="Q2596" s="19"/>
      <c r="R2596" s="19"/>
      <c r="S2596" s="19"/>
      <c r="T2596" s="19"/>
      <c r="U2596" s="25"/>
      <c r="V2596" s="19"/>
      <c r="W2596" s="19"/>
      <c r="X2596" s="19"/>
      <c r="Y2596" s="19"/>
      <c r="Z2596" s="19"/>
    </row>
    <row r="2597">
      <c r="A2597" s="24"/>
      <c r="B2597" s="19"/>
      <c r="C2597" s="19"/>
      <c r="D2597" s="19"/>
      <c r="E2597" s="19"/>
      <c r="F2597" s="19"/>
      <c r="G2597" s="19"/>
      <c r="H2597" s="19"/>
      <c r="I2597" s="19"/>
      <c r="J2597" s="19"/>
      <c r="K2597" s="19"/>
      <c r="L2597" s="25"/>
      <c r="M2597" s="25"/>
      <c r="N2597" s="25"/>
      <c r="O2597" s="25"/>
      <c r="P2597" s="25"/>
      <c r="Q2597" s="19"/>
      <c r="R2597" s="19"/>
      <c r="S2597" s="19"/>
      <c r="T2597" s="19"/>
      <c r="U2597" s="25"/>
      <c r="V2597" s="19"/>
      <c r="W2597" s="19"/>
      <c r="X2597" s="19"/>
      <c r="Y2597" s="19"/>
      <c r="Z2597" s="19"/>
    </row>
    <row r="2598">
      <c r="A2598" s="24"/>
      <c r="B2598" s="19"/>
      <c r="C2598" s="19"/>
      <c r="D2598" s="19"/>
      <c r="E2598" s="19"/>
      <c r="F2598" s="19"/>
      <c r="G2598" s="19"/>
      <c r="H2598" s="19"/>
      <c r="I2598" s="19"/>
      <c r="J2598" s="19"/>
      <c r="K2598" s="19"/>
      <c r="L2598" s="25"/>
      <c r="M2598" s="25"/>
      <c r="N2598" s="25"/>
      <c r="O2598" s="25"/>
      <c r="P2598" s="25"/>
      <c r="Q2598" s="19"/>
      <c r="R2598" s="19"/>
      <c r="S2598" s="19"/>
      <c r="T2598" s="19"/>
      <c r="U2598" s="25"/>
      <c r="V2598" s="19"/>
      <c r="W2598" s="19"/>
      <c r="X2598" s="19"/>
      <c r="Y2598" s="19"/>
      <c r="Z2598" s="19"/>
    </row>
    <row r="2599">
      <c r="A2599" s="24"/>
      <c r="B2599" s="19"/>
      <c r="C2599" s="19"/>
      <c r="D2599" s="19"/>
      <c r="E2599" s="19"/>
      <c r="F2599" s="19"/>
      <c r="G2599" s="19"/>
      <c r="H2599" s="19"/>
      <c r="I2599" s="19"/>
      <c r="J2599" s="19"/>
      <c r="K2599" s="19"/>
      <c r="L2599" s="25"/>
      <c r="M2599" s="25"/>
      <c r="N2599" s="25"/>
      <c r="O2599" s="25"/>
      <c r="P2599" s="25"/>
      <c r="Q2599" s="19"/>
      <c r="R2599" s="19"/>
      <c r="S2599" s="19"/>
      <c r="T2599" s="19"/>
      <c r="U2599" s="25"/>
      <c r="V2599" s="19"/>
      <c r="W2599" s="19"/>
      <c r="X2599" s="19"/>
      <c r="Y2599" s="19"/>
      <c r="Z2599" s="19"/>
    </row>
    <row r="2600">
      <c r="A2600" s="24"/>
      <c r="B2600" s="19"/>
      <c r="C2600" s="19"/>
      <c r="D2600" s="19"/>
      <c r="E2600" s="19"/>
      <c r="F2600" s="19"/>
      <c r="G2600" s="19"/>
      <c r="H2600" s="19"/>
      <c r="I2600" s="19"/>
      <c r="J2600" s="19"/>
      <c r="K2600" s="19"/>
      <c r="L2600" s="25"/>
      <c r="M2600" s="25"/>
      <c r="N2600" s="25"/>
      <c r="O2600" s="25"/>
      <c r="P2600" s="25"/>
      <c r="Q2600" s="19"/>
      <c r="R2600" s="19"/>
      <c r="S2600" s="19"/>
      <c r="T2600" s="19"/>
      <c r="U2600" s="25"/>
      <c r="V2600" s="19"/>
      <c r="W2600" s="19"/>
      <c r="X2600" s="19"/>
      <c r="Y2600" s="19"/>
      <c r="Z2600" s="19"/>
    </row>
    <row r="2601">
      <c r="A2601" s="24"/>
      <c r="B2601" s="19"/>
      <c r="C2601" s="19"/>
      <c r="D2601" s="19"/>
      <c r="E2601" s="19"/>
      <c r="F2601" s="19"/>
      <c r="G2601" s="19"/>
      <c r="H2601" s="19"/>
      <c r="I2601" s="19"/>
      <c r="J2601" s="19"/>
      <c r="K2601" s="19"/>
      <c r="L2601" s="25"/>
      <c r="M2601" s="25"/>
      <c r="N2601" s="25"/>
      <c r="O2601" s="25"/>
      <c r="P2601" s="25"/>
      <c r="Q2601" s="19"/>
      <c r="R2601" s="19"/>
      <c r="S2601" s="19"/>
      <c r="T2601" s="19"/>
      <c r="U2601" s="25"/>
      <c r="V2601" s="19"/>
      <c r="W2601" s="19"/>
      <c r="X2601" s="19"/>
      <c r="Y2601" s="19"/>
      <c r="Z2601" s="19"/>
    </row>
    <row r="2602">
      <c r="A2602" s="24"/>
      <c r="B2602" s="19"/>
      <c r="C2602" s="19"/>
      <c r="D2602" s="19"/>
      <c r="E2602" s="19"/>
      <c r="F2602" s="19"/>
      <c r="G2602" s="19"/>
      <c r="H2602" s="19"/>
      <c r="I2602" s="19"/>
      <c r="J2602" s="19"/>
      <c r="K2602" s="19"/>
      <c r="L2602" s="25"/>
      <c r="M2602" s="25"/>
      <c r="N2602" s="25"/>
      <c r="O2602" s="25"/>
      <c r="P2602" s="25"/>
      <c r="Q2602" s="19"/>
      <c r="R2602" s="19"/>
      <c r="S2602" s="19"/>
      <c r="T2602" s="19"/>
      <c r="U2602" s="25"/>
      <c r="V2602" s="19"/>
      <c r="W2602" s="19"/>
      <c r="X2602" s="19"/>
      <c r="Y2602" s="19"/>
      <c r="Z2602" s="19"/>
    </row>
    <row r="2603">
      <c r="A2603" s="24"/>
      <c r="B2603" s="19"/>
      <c r="C2603" s="19"/>
      <c r="D2603" s="19"/>
      <c r="E2603" s="19"/>
      <c r="F2603" s="19"/>
      <c r="G2603" s="19"/>
      <c r="H2603" s="19"/>
      <c r="I2603" s="19"/>
      <c r="J2603" s="19"/>
      <c r="K2603" s="19"/>
      <c r="L2603" s="25"/>
      <c r="M2603" s="25"/>
      <c r="N2603" s="25"/>
      <c r="O2603" s="25"/>
      <c r="P2603" s="25"/>
      <c r="Q2603" s="19"/>
      <c r="R2603" s="19"/>
      <c r="S2603" s="19"/>
      <c r="T2603" s="19"/>
      <c r="U2603" s="25"/>
      <c r="V2603" s="19"/>
      <c r="W2603" s="19"/>
      <c r="X2603" s="19"/>
      <c r="Y2603" s="19"/>
      <c r="Z2603" s="19"/>
    </row>
    <row r="2604">
      <c r="A2604" s="24"/>
      <c r="B2604" s="19"/>
      <c r="C2604" s="19"/>
      <c r="D2604" s="19"/>
      <c r="E2604" s="19"/>
      <c r="F2604" s="19"/>
      <c r="G2604" s="19"/>
      <c r="H2604" s="19"/>
      <c r="I2604" s="19"/>
      <c r="J2604" s="19"/>
      <c r="K2604" s="19"/>
      <c r="L2604" s="25"/>
      <c r="M2604" s="25"/>
      <c r="N2604" s="25"/>
      <c r="O2604" s="25"/>
      <c r="P2604" s="25"/>
      <c r="Q2604" s="19"/>
      <c r="R2604" s="19"/>
      <c r="S2604" s="19"/>
      <c r="T2604" s="19"/>
      <c r="U2604" s="25"/>
      <c r="V2604" s="19"/>
      <c r="W2604" s="19"/>
      <c r="X2604" s="19"/>
      <c r="Y2604" s="19"/>
      <c r="Z2604" s="19"/>
    </row>
    <row r="2605">
      <c r="A2605" s="24"/>
      <c r="B2605" s="19"/>
      <c r="C2605" s="19"/>
      <c r="D2605" s="19"/>
      <c r="E2605" s="19"/>
      <c r="F2605" s="19"/>
      <c r="G2605" s="19"/>
      <c r="H2605" s="19"/>
      <c r="I2605" s="19"/>
      <c r="J2605" s="19"/>
      <c r="K2605" s="19"/>
      <c r="L2605" s="25"/>
      <c r="M2605" s="25"/>
      <c r="N2605" s="25"/>
      <c r="O2605" s="25"/>
      <c r="P2605" s="25"/>
      <c r="Q2605" s="19"/>
      <c r="R2605" s="19"/>
      <c r="S2605" s="19"/>
      <c r="T2605" s="19"/>
      <c r="U2605" s="25"/>
      <c r="V2605" s="19"/>
      <c r="W2605" s="19"/>
      <c r="X2605" s="19"/>
      <c r="Y2605" s="19"/>
      <c r="Z2605" s="19"/>
    </row>
    <row r="2606">
      <c r="A2606" s="24"/>
      <c r="B2606" s="19"/>
      <c r="C2606" s="19"/>
      <c r="D2606" s="19"/>
      <c r="E2606" s="19"/>
      <c r="F2606" s="19"/>
      <c r="G2606" s="19"/>
      <c r="H2606" s="19"/>
      <c r="I2606" s="19"/>
      <c r="J2606" s="19"/>
      <c r="K2606" s="19"/>
      <c r="L2606" s="25"/>
      <c r="M2606" s="25"/>
      <c r="N2606" s="25"/>
      <c r="O2606" s="25"/>
      <c r="P2606" s="25"/>
      <c r="Q2606" s="19"/>
      <c r="R2606" s="19"/>
      <c r="S2606" s="19"/>
      <c r="T2606" s="19"/>
      <c r="U2606" s="25"/>
      <c r="V2606" s="19"/>
      <c r="W2606" s="19"/>
      <c r="X2606" s="19"/>
      <c r="Y2606" s="19"/>
      <c r="Z2606" s="19"/>
    </row>
    <row r="2607">
      <c r="A2607" s="24"/>
      <c r="B2607" s="19"/>
      <c r="C2607" s="19"/>
      <c r="D2607" s="19"/>
      <c r="E2607" s="19"/>
      <c r="F2607" s="19"/>
      <c r="G2607" s="19"/>
      <c r="H2607" s="19"/>
      <c r="I2607" s="19"/>
      <c r="J2607" s="19"/>
      <c r="K2607" s="19"/>
      <c r="L2607" s="25"/>
      <c r="M2607" s="25"/>
      <c r="N2607" s="25"/>
      <c r="O2607" s="25"/>
      <c r="P2607" s="25"/>
      <c r="Q2607" s="19"/>
      <c r="R2607" s="19"/>
      <c r="S2607" s="19"/>
      <c r="T2607" s="19"/>
      <c r="U2607" s="25"/>
      <c r="V2607" s="19"/>
      <c r="W2607" s="19"/>
      <c r="X2607" s="19"/>
      <c r="Y2607" s="19"/>
      <c r="Z2607" s="19"/>
    </row>
    <row r="2608">
      <c r="A2608" s="24"/>
      <c r="B2608" s="19"/>
      <c r="C2608" s="19"/>
      <c r="D2608" s="19"/>
      <c r="E2608" s="19"/>
      <c r="F2608" s="19"/>
      <c r="G2608" s="19"/>
      <c r="H2608" s="19"/>
      <c r="I2608" s="19"/>
      <c r="J2608" s="19"/>
      <c r="K2608" s="19"/>
      <c r="L2608" s="25"/>
      <c r="M2608" s="25"/>
      <c r="N2608" s="25"/>
      <c r="O2608" s="25"/>
      <c r="P2608" s="25"/>
      <c r="Q2608" s="19"/>
      <c r="R2608" s="19"/>
      <c r="S2608" s="19"/>
      <c r="T2608" s="19"/>
      <c r="U2608" s="25"/>
      <c r="V2608" s="19"/>
      <c r="W2608" s="19"/>
      <c r="X2608" s="19"/>
      <c r="Y2608" s="19"/>
      <c r="Z2608" s="19"/>
    </row>
    <row r="2609">
      <c r="A2609" s="24"/>
      <c r="B2609" s="19"/>
      <c r="C2609" s="19"/>
      <c r="D2609" s="19"/>
      <c r="E2609" s="19"/>
      <c r="F2609" s="19"/>
      <c r="G2609" s="19"/>
      <c r="H2609" s="19"/>
      <c r="I2609" s="19"/>
      <c r="J2609" s="19"/>
      <c r="K2609" s="19"/>
      <c r="L2609" s="25"/>
      <c r="M2609" s="25"/>
      <c r="N2609" s="25"/>
      <c r="O2609" s="25"/>
      <c r="P2609" s="25"/>
      <c r="Q2609" s="19"/>
      <c r="R2609" s="19"/>
      <c r="S2609" s="19"/>
      <c r="T2609" s="19"/>
      <c r="U2609" s="25"/>
      <c r="V2609" s="19"/>
      <c r="W2609" s="19"/>
      <c r="X2609" s="19"/>
      <c r="Y2609" s="19"/>
      <c r="Z2609" s="19"/>
    </row>
    <row r="2610">
      <c r="A2610" s="24"/>
      <c r="B2610" s="19"/>
      <c r="C2610" s="19"/>
      <c r="D2610" s="19"/>
      <c r="E2610" s="19"/>
      <c r="F2610" s="19"/>
      <c r="G2610" s="19"/>
      <c r="H2610" s="19"/>
      <c r="I2610" s="19"/>
      <c r="J2610" s="19"/>
      <c r="K2610" s="19"/>
      <c r="L2610" s="25"/>
      <c r="M2610" s="25"/>
      <c r="N2610" s="25"/>
      <c r="O2610" s="25"/>
      <c r="P2610" s="25"/>
      <c r="Q2610" s="19"/>
      <c r="R2610" s="19"/>
      <c r="S2610" s="19"/>
      <c r="T2610" s="19"/>
      <c r="U2610" s="25"/>
      <c r="V2610" s="19"/>
      <c r="W2610" s="19"/>
      <c r="X2610" s="19"/>
      <c r="Y2610" s="19"/>
      <c r="Z2610" s="19"/>
    </row>
    <row r="2611">
      <c r="A2611" s="24"/>
      <c r="B2611" s="19"/>
      <c r="C2611" s="19"/>
      <c r="D2611" s="19"/>
      <c r="E2611" s="19"/>
      <c r="F2611" s="19"/>
      <c r="G2611" s="19"/>
      <c r="H2611" s="19"/>
      <c r="I2611" s="19"/>
      <c r="J2611" s="19"/>
      <c r="K2611" s="19"/>
      <c r="L2611" s="25"/>
      <c r="M2611" s="25"/>
      <c r="N2611" s="25"/>
      <c r="O2611" s="25"/>
      <c r="P2611" s="25"/>
      <c r="Q2611" s="19"/>
      <c r="R2611" s="19"/>
      <c r="S2611" s="19"/>
      <c r="T2611" s="19"/>
      <c r="U2611" s="25"/>
      <c r="V2611" s="19"/>
      <c r="W2611" s="19"/>
      <c r="X2611" s="19"/>
      <c r="Y2611" s="19"/>
      <c r="Z2611" s="19"/>
    </row>
    <row r="2612">
      <c r="A2612" s="24"/>
      <c r="B2612" s="19"/>
      <c r="C2612" s="19"/>
      <c r="D2612" s="19"/>
      <c r="E2612" s="19"/>
      <c r="F2612" s="19"/>
      <c r="G2612" s="19"/>
      <c r="H2612" s="19"/>
      <c r="I2612" s="19"/>
      <c r="J2612" s="19"/>
      <c r="K2612" s="19"/>
      <c r="L2612" s="25"/>
      <c r="M2612" s="25"/>
      <c r="N2612" s="25"/>
      <c r="O2612" s="25"/>
      <c r="P2612" s="25"/>
      <c r="Q2612" s="19"/>
      <c r="R2612" s="19"/>
      <c r="S2612" s="19"/>
      <c r="T2612" s="19"/>
      <c r="U2612" s="25"/>
      <c r="V2612" s="19"/>
      <c r="W2612" s="19"/>
      <c r="X2612" s="19"/>
      <c r="Y2612" s="19"/>
      <c r="Z2612" s="19"/>
    </row>
    <row r="2613">
      <c r="A2613" s="24"/>
      <c r="B2613" s="19"/>
      <c r="C2613" s="19"/>
      <c r="D2613" s="19"/>
      <c r="E2613" s="19"/>
      <c r="F2613" s="19"/>
      <c r="G2613" s="19"/>
      <c r="H2613" s="19"/>
      <c r="I2613" s="19"/>
      <c r="J2613" s="19"/>
      <c r="K2613" s="19"/>
      <c r="L2613" s="25"/>
      <c r="M2613" s="25"/>
      <c r="N2613" s="25"/>
      <c r="O2613" s="25"/>
      <c r="P2613" s="25"/>
      <c r="Q2613" s="19"/>
      <c r="R2613" s="19"/>
      <c r="S2613" s="19"/>
      <c r="T2613" s="19"/>
      <c r="U2613" s="25"/>
      <c r="V2613" s="19"/>
      <c r="W2613" s="19"/>
      <c r="X2613" s="19"/>
      <c r="Y2613" s="19"/>
      <c r="Z2613" s="19"/>
    </row>
    <row r="2614">
      <c r="A2614" s="24"/>
      <c r="B2614" s="19"/>
      <c r="C2614" s="19"/>
      <c r="D2614" s="19"/>
      <c r="E2614" s="19"/>
      <c r="F2614" s="19"/>
      <c r="G2614" s="19"/>
      <c r="H2614" s="19"/>
      <c r="I2614" s="19"/>
      <c r="J2614" s="19"/>
      <c r="K2614" s="19"/>
      <c r="L2614" s="25"/>
      <c r="M2614" s="25"/>
      <c r="N2614" s="25"/>
      <c r="O2614" s="25"/>
      <c r="P2614" s="25"/>
      <c r="Q2614" s="19"/>
      <c r="R2614" s="19"/>
      <c r="S2614" s="19"/>
      <c r="T2614" s="19"/>
      <c r="U2614" s="25"/>
      <c r="V2614" s="19"/>
      <c r="W2614" s="19"/>
      <c r="X2614" s="19"/>
      <c r="Y2614" s="19"/>
      <c r="Z2614" s="19"/>
    </row>
    <row r="2615">
      <c r="A2615" s="24"/>
      <c r="B2615" s="19"/>
      <c r="C2615" s="19"/>
      <c r="D2615" s="19"/>
      <c r="E2615" s="19"/>
      <c r="F2615" s="19"/>
      <c r="G2615" s="19"/>
      <c r="H2615" s="19"/>
      <c r="I2615" s="19"/>
      <c r="J2615" s="19"/>
      <c r="K2615" s="19"/>
      <c r="L2615" s="25"/>
      <c r="M2615" s="25"/>
      <c r="N2615" s="25"/>
      <c r="O2615" s="25"/>
      <c r="P2615" s="25"/>
      <c r="Q2615" s="19"/>
      <c r="R2615" s="19"/>
      <c r="S2615" s="19"/>
      <c r="T2615" s="19"/>
      <c r="U2615" s="25"/>
      <c r="V2615" s="19"/>
      <c r="W2615" s="19"/>
      <c r="X2615" s="19"/>
      <c r="Y2615" s="19"/>
      <c r="Z2615" s="19"/>
    </row>
    <row r="2616">
      <c r="A2616" s="24"/>
      <c r="B2616" s="19"/>
      <c r="C2616" s="19"/>
      <c r="D2616" s="19"/>
      <c r="E2616" s="19"/>
      <c r="F2616" s="19"/>
      <c r="G2616" s="19"/>
      <c r="H2616" s="19"/>
      <c r="I2616" s="19"/>
      <c r="J2616" s="19"/>
      <c r="K2616" s="19"/>
      <c r="L2616" s="25"/>
      <c r="M2616" s="25"/>
      <c r="N2616" s="25"/>
      <c r="O2616" s="25"/>
      <c r="P2616" s="25"/>
      <c r="Q2616" s="19"/>
      <c r="R2616" s="19"/>
      <c r="S2616" s="19"/>
      <c r="T2616" s="19"/>
      <c r="U2616" s="25"/>
      <c r="V2616" s="19"/>
      <c r="W2616" s="19"/>
      <c r="X2616" s="19"/>
      <c r="Y2616" s="19"/>
      <c r="Z2616" s="19"/>
    </row>
    <row r="2617">
      <c r="A2617" s="24"/>
      <c r="B2617" s="19"/>
      <c r="C2617" s="19"/>
      <c r="D2617" s="19"/>
      <c r="E2617" s="19"/>
      <c r="F2617" s="19"/>
      <c r="G2617" s="19"/>
      <c r="H2617" s="19"/>
      <c r="I2617" s="19"/>
      <c r="J2617" s="19"/>
      <c r="K2617" s="19"/>
      <c r="L2617" s="25"/>
      <c r="M2617" s="25"/>
      <c r="N2617" s="25"/>
      <c r="O2617" s="25"/>
      <c r="P2617" s="25"/>
      <c r="Q2617" s="19"/>
      <c r="R2617" s="19"/>
      <c r="S2617" s="19"/>
      <c r="T2617" s="19"/>
      <c r="U2617" s="25"/>
      <c r="V2617" s="19"/>
      <c r="W2617" s="19"/>
      <c r="X2617" s="19"/>
      <c r="Y2617" s="19"/>
      <c r="Z2617" s="19"/>
    </row>
    <row r="2618">
      <c r="A2618" s="24"/>
      <c r="B2618" s="19"/>
      <c r="C2618" s="19"/>
      <c r="D2618" s="19"/>
      <c r="E2618" s="19"/>
      <c r="F2618" s="19"/>
      <c r="G2618" s="19"/>
      <c r="H2618" s="19"/>
      <c r="I2618" s="19"/>
      <c r="J2618" s="19"/>
      <c r="K2618" s="19"/>
      <c r="L2618" s="25"/>
      <c r="M2618" s="25"/>
      <c r="N2618" s="25"/>
      <c r="O2618" s="25"/>
      <c r="P2618" s="25"/>
      <c r="Q2618" s="19"/>
      <c r="R2618" s="19"/>
      <c r="S2618" s="19"/>
      <c r="T2618" s="19"/>
      <c r="U2618" s="25"/>
      <c r="V2618" s="19"/>
      <c r="W2618" s="19"/>
      <c r="X2618" s="19"/>
      <c r="Y2618" s="19"/>
      <c r="Z2618" s="19"/>
    </row>
    <row r="2619">
      <c r="A2619" s="24"/>
      <c r="B2619" s="19"/>
      <c r="C2619" s="19"/>
      <c r="D2619" s="19"/>
      <c r="E2619" s="19"/>
      <c r="F2619" s="19"/>
      <c r="G2619" s="19"/>
      <c r="H2619" s="19"/>
      <c r="I2619" s="19"/>
      <c r="J2619" s="19"/>
      <c r="K2619" s="19"/>
      <c r="L2619" s="25"/>
      <c r="M2619" s="25"/>
      <c r="N2619" s="25"/>
      <c r="O2619" s="25"/>
      <c r="P2619" s="25"/>
      <c r="Q2619" s="19"/>
      <c r="R2619" s="19"/>
      <c r="S2619" s="19"/>
      <c r="T2619" s="19"/>
      <c r="U2619" s="25"/>
      <c r="V2619" s="19"/>
      <c r="W2619" s="19"/>
      <c r="X2619" s="19"/>
      <c r="Y2619" s="19"/>
      <c r="Z2619" s="19"/>
    </row>
    <row r="2620">
      <c r="A2620" s="24"/>
      <c r="B2620" s="19"/>
      <c r="C2620" s="19"/>
      <c r="D2620" s="19"/>
      <c r="E2620" s="19"/>
      <c r="F2620" s="19"/>
      <c r="G2620" s="19"/>
      <c r="H2620" s="19"/>
      <c r="I2620" s="19"/>
      <c r="J2620" s="19"/>
      <c r="K2620" s="19"/>
      <c r="L2620" s="25"/>
      <c r="M2620" s="25"/>
      <c r="N2620" s="25"/>
      <c r="O2620" s="25"/>
      <c r="P2620" s="25"/>
      <c r="Q2620" s="19"/>
      <c r="R2620" s="19"/>
      <c r="S2620" s="19"/>
      <c r="T2620" s="19"/>
      <c r="U2620" s="25"/>
      <c r="V2620" s="19"/>
      <c r="W2620" s="19"/>
      <c r="X2620" s="19"/>
      <c r="Y2620" s="19"/>
      <c r="Z2620" s="19"/>
    </row>
    <row r="2621">
      <c r="A2621" s="24"/>
      <c r="B2621" s="19"/>
      <c r="C2621" s="19"/>
      <c r="D2621" s="19"/>
      <c r="E2621" s="19"/>
      <c r="F2621" s="19"/>
      <c r="G2621" s="19"/>
      <c r="H2621" s="19"/>
      <c r="I2621" s="19"/>
      <c r="J2621" s="19"/>
      <c r="K2621" s="19"/>
      <c r="L2621" s="25"/>
      <c r="M2621" s="25"/>
      <c r="N2621" s="25"/>
      <c r="O2621" s="25"/>
      <c r="P2621" s="25"/>
      <c r="Q2621" s="19"/>
      <c r="R2621" s="19"/>
      <c r="S2621" s="19"/>
      <c r="T2621" s="19"/>
      <c r="U2621" s="25"/>
      <c r="V2621" s="19"/>
      <c r="W2621" s="19"/>
      <c r="X2621" s="19"/>
      <c r="Y2621" s="19"/>
      <c r="Z2621" s="19"/>
    </row>
    <row r="2622">
      <c r="A2622" s="24"/>
      <c r="B2622" s="19"/>
      <c r="C2622" s="19"/>
      <c r="D2622" s="19"/>
      <c r="E2622" s="19"/>
      <c r="F2622" s="19"/>
      <c r="G2622" s="19"/>
      <c r="H2622" s="19"/>
      <c r="I2622" s="19"/>
      <c r="J2622" s="19"/>
      <c r="K2622" s="19"/>
      <c r="L2622" s="25"/>
      <c r="M2622" s="25"/>
      <c r="N2622" s="25"/>
      <c r="O2622" s="25"/>
      <c r="P2622" s="25"/>
      <c r="Q2622" s="19"/>
      <c r="R2622" s="19"/>
      <c r="S2622" s="19"/>
      <c r="T2622" s="19"/>
      <c r="U2622" s="25"/>
      <c r="V2622" s="19"/>
      <c r="W2622" s="19"/>
      <c r="X2622" s="19"/>
      <c r="Y2622" s="19"/>
      <c r="Z2622" s="19"/>
    </row>
    <row r="2623">
      <c r="A2623" s="24"/>
      <c r="B2623" s="19"/>
      <c r="C2623" s="19"/>
      <c r="D2623" s="19"/>
      <c r="E2623" s="19"/>
      <c r="F2623" s="19"/>
      <c r="G2623" s="19"/>
      <c r="H2623" s="19"/>
      <c r="I2623" s="19"/>
      <c r="J2623" s="19"/>
      <c r="K2623" s="19"/>
      <c r="L2623" s="25"/>
      <c r="M2623" s="25"/>
      <c r="N2623" s="25"/>
      <c r="O2623" s="25"/>
      <c r="P2623" s="25"/>
      <c r="Q2623" s="19"/>
      <c r="R2623" s="19"/>
      <c r="S2623" s="19"/>
      <c r="T2623" s="19"/>
      <c r="U2623" s="25"/>
      <c r="V2623" s="19"/>
      <c r="W2623" s="19"/>
      <c r="X2623" s="19"/>
      <c r="Y2623" s="19"/>
      <c r="Z2623" s="19"/>
    </row>
    <row r="2624">
      <c r="A2624" s="24"/>
      <c r="B2624" s="19"/>
      <c r="C2624" s="19"/>
      <c r="D2624" s="19"/>
      <c r="E2624" s="19"/>
      <c r="F2624" s="19"/>
      <c r="G2624" s="19"/>
      <c r="H2624" s="19"/>
      <c r="I2624" s="19"/>
      <c r="J2624" s="19"/>
      <c r="K2624" s="19"/>
      <c r="L2624" s="25"/>
      <c r="M2624" s="25"/>
      <c r="N2624" s="25"/>
      <c r="O2624" s="25"/>
      <c r="P2624" s="25"/>
      <c r="Q2624" s="19"/>
      <c r="R2624" s="19"/>
      <c r="S2624" s="19"/>
      <c r="T2624" s="19"/>
      <c r="U2624" s="25"/>
      <c r="V2624" s="19"/>
      <c r="W2624" s="19"/>
      <c r="X2624" s="19"/>
      <c r="Y2624" s="19"/>
      <c r="Z2624" s="19"/>
    </row>
    <row r="2625">
      <c r="A2625" s="24"/>
      <c r="B2625" s="19"/>
      <c r="C2625" s="19"/>
      <c r="D2625" s="19"/>
      <c r="E2625" s="19"/>
      <c r="F2625" s="19"/>
      <c r="G2625" s="19"/>
      <c r="H2625" s="19"/>
      <c r="I2625" s="19"/>
      <c r="J2625" s="19"/>
      <c r="K2625" s="19"/>
      <c r="L2625" s="25"/>
      <c r="M2625" s="25"/>
      <c r="N2625" s="25"/>
      <c r="O2625" s="25"/>
      <c r="P2625" s="25"/>
      <c r="Q2625" s="19"/>
      <c r="R2625" s="19"/>
      <c r="S2625" s="19"/>
      <c r="T2625" s="19"/>
      <c r="U2625" s="25"/>
      <c r="V2625" s="19"/>
      <c r="W2625" s="19"/>
      <c r="X2625" s="19"/>
      <c r="Y2625" s="19"/>
      <c r="Z2625" s="19"/>
    </row>
    <row r="2626">
      <c r="A2626" s="24"/>
      <c r="B2626" s="19"/>
      <c r="C2626" s="19"/>
      <c r="D2626" s="19"/>
      <c r="E2626" s="19"/>
      <c r="F2626" s="19"/>
      <c r="G2626" s="19"/>
      <c r="H2626" s="19"/>
      <c r="I2626" s="19"/>
      <c r="J2626" s="19"/>
      <c r="K2626" s="19"/>
      <c r="L2626" s="25"/>
      <c r="M2626" s="25"/>
      <c r="N2626" s="25"/>
      <c r="O2626" s="25"/>
      <c r="P2626" s="25"/>
      <c r="Q2626" s="19"/>
      <c r="R2626" s="19"/>
      <c r="S2626" s="19"/>
      <c r="T2626" s="19"/>
      <c r="U2626" s="25"/>
      <c r="V2626" s="19"/>
      <c r="W2626" s="19"/>
      <c r="X2626" s="19"/>
      <c r="Y2626" s="19"/>
      <c r="Z2626" s="19"/>
    </row>
    <row r="2627">
      <c r="A2627" s="24"/>
      <c r="B2627" s="19"/>
      <c r="C2627" s="19"/>
      <c r="D2627" s="19"/>
      <c r="E2627" s="19"/>
      <c r="F2627" s="19"/>
      <c r="G2627" s="19"/>
      <c r="H2627" s="19"/>
      <c r="I2627" s="19"/>
      <c r="J2627" s="19"/>
      <c r="K2627" s="19"/>
      <c r="L2627" s="25"/>
      <c r="M2627" s="25"/>
      <c r="N2627" s="25"/>
      <c r="O2627" s="25"/>
      <c r="P2627" s="25"/>
      <c r="Q2627" s="19"/>
      <c r="R2627" s="19"/>
      <c r="S2627" s="19"/>
      <c r="T2627" s="19"/>
      <c r="U2627" s="25"/>
      <c r="V2627" s="19"/>
      <c r="W2627" s="19"/>
      <c r="X2627" s="19"/>
      <c r="Y2627" s="19"/>
      <c r="Z2627" s="19"/>
    </row>
    <row r="2628">
      <c r="A2628" s="24"/>
      <c r="B2628" s="19"/>
      <c r="C2628" s="19"/>
      <c r="D2628" s="19"/>
      <c r="E2628" s="19"/>
      <c r="F2628" s="19"/>
      <c r="G2628" s="19"/>
      <c r="H2628" s="19"/>
      <c r="I2628" s="19"/>
      <c r="J2628" s="19"/>
      <c r="K2628" s="19"/>
      <c r="L2628" s="25"/>
      <c r="M2628" s="25"/>
      <c r="N2628" s="25"/>
      <c r="O2628" s="25"/>
      <c r="P2628" s="25"/>
      <c r="Q2628" s="19"/>
      <c r="R2628" s="19"/>
      <c r="S2628" s="19"/>
      <c r="T2628" s="19"/>
      <c r="U2628" s="25"/>
      <c r="V2628" s="19"/>
      <c r="W2628" s="19"/>
      <c r="X2628" s="19"/>
      <c r="Y2628" s="19"/>
      <c r="Z2628" s="19"/>
    </row>
    <row r="2629">
      <c r="A2629" s="24"/>
      <c r="B2629" s="19"/>
      <c r="C2629" s="19"/>
      <c r="D2629" s="19"/>
      <c r="E2629" s="19"/>
      <c r="F2629" s="19"/>
      <c r="G2629" s="19"/>
      <c r="H2629" s="19"/>
      <c r="I2629" s="19"/>
      <c r="J2629" s="19"/>
      <c r="K2629" s="19"/>
      <c r="L2629" s="25"/>
      <c r="M2629" s="25"/>
      <c r="N2629" s="25"/>
      <c r="O2629" s="25"/>
      <c r="P2629" s="25"/>
      <c r="Q2629" s="19"/>
      <c r="R2629" s="19"/>
      <c r="S2629" s="19"/>
      <c r="T2629" s="19"/>
      <c r="U2629" s="25"/>
      <c r="V2629" s="19"/>
      <c r="W2629" s="19"/>
      <c r="X2629" s="19"/>
      <c r="Y2629" s="19"/>
      <c r="Z2629" s="19"/>
    </row>
    <row r="2630">
      <c r="A2630" s="24"/>
      <c r="B2630" s="19"/>
      <c r="C2630" s="19"/>
      <c r="D2630" s="19"/>
      <c r="E2630" s="19"/>
      <c r="F2630" s="19"/>
      <c r="G2630" s="19"/>
      <c r="H2630" s="19"/>
      <c r="I2630" s="19"/>
      <c r="J2630" s="19"/>
      <c r="K2630" s="19"/>
      <c r="L2630" s="25"/>
      <c r="M2630" s="25"/>
      <c r="N2630" s="25"/>
      <c r="O2630" s="25"/>
      <c r="P2630" s="25"/>
      <c r="Q2630" s="19"/>
      <c r="R2630" s="19"/>
      <c r="S2630" s="19"/>
      <c r="T2630" s="19"/>
      <c r="U2630" s="25"/>
      <c r="V2630" s="19"/>
      <c r="W2630" s="19"/>
      <c r="X2630" s="19"/>
      <c r="Y2630" s="19"/>
      <c r="Z2630" s="19"/>
    </row>
    <row r="2631">
      <c r="A2631" s="24"/>
      <c r="B2631" s="19"/>
      <c r="C2631" s="19"/>
      <c r="D2631" s="19"/>
      <c r="E2631" s="19"/>
      <c r="F2631" s="19"/>
      <c r="G2631" s="19"/>
      <c r="H2631" s="19"/>
      <c r="I2631" s="19"/>
      <c r="J2631" s="19"/>
      <c r="K2631" s="19"/>
      <c r="L2631" s="25"/>
      <c r="M2631" s="25"/>
      <c r="N2631" s="25"/>
      <c r="O2631" s="25"/>
      <c r="P2631" s="25"/>
      <c r="Q2631" s="19"/>
      <c r="R2631" s="19"/>
      <c r="S2631" s="19"/>
      <c r="T2631" s="19"/>
      <c r="U2631" s="25"/>
      <c r="V2631" s="19"/>
      <c r="W2631" s="19"/>
      <c r="X2631" s="19"/>
      <c r="Y2631" s="19"/>
      <c r="Z2631" s="19"/>
    </row>
    <row r="2632">
      <c r="A2632" s="24"/>
      <c r="B2632" s="19"/>
      <c r="C2632" s="19"/>
      <c r="D2632" s="19"/>
      <c r="E2632" s="19"/>
      <c r="F2632" s="19"/>
      <c r="G2632" s="19"/>
      <c r="H2632" s="19"/>
      <c r="I2632" s="19"/>
      <c r="J2632" s="19"/>
      <c r="K2632" s="19"/>
      <c r="L2632" s="25"/>
      <c r="M2632" s="25"/>
      <c r="N2632" s="25"/>
      <c r="O2632" s="25"/>
      <c r="P2632" s="25"/>
      <c r="Q2632" s="19"/>
      <c r="R2632" s="19"/>
      <c r="S2632" s="19"/>
      <c r="T2632" s="19"/>
      <c r="U2632" s="25"/>
      <c r="V2632" s="19"/>
      <c r="W2632" s="19"/>
      <c r="X2632" s="19"/>
      <c r="Y2632" s="19"/>
      <c r="Z2632" s="19"/>
    </row>
    <row r="2633">
      <c r="A2633" s="24"/>
      <c r="B2633" s="19"/>
      <c r="C2633" s="19"/>
      <c r="D2633" s="19"/>
      <c r="E2633" s="19"/>
      <c r="F2633" s="19"/>
      <c r="G2633" s="19"/>
      <c r="H2633" s="19"/>
      <c r="I2633" s="19"/>
      <c r="J2633" s="19"/>
      <c r="K2633" s="19"/>
      <c r="L2633" s="25"/>
      <c r="M2633" s="25"/>
      <c r="N2633" s="25"/>
      <c r="O2633" s="25"/>
      <c r="P2633" s="25"/>
      <c r="Q2633" s="19"/>
      <c r="R2633" s="19"/>
      <c r="S2633" s="19"/>
      <c r="T2633" s="19"/>
      <c r="U2633" s="25"/>
      <c r="V2633" s="19"/>
      <c r="W2633" s="19"/>
      <c r="X2633" s="19"/>
      <c r="Y2633" s="19"/>
      <c r="Z2633" s="19"/>
    </row>
    <row r="2634">
      <c r="A2634" s="24"/>
      <c r="B2634" s="19"/>
      <c r="C2634" s="19"/>
      <c r="D2634" s="19"/>
      <c r="E2634" s="19"/>
      <c r="F2634" s="19"/>
      <c r="G2634" s="19"/>
      <c r="H2634" s="19"/>
      <c r="I2634" s="19"/>
      <c r="J2634" s="19"/>
      <c r="K2634" s="19"/>
      <c r="L2634" s="25"/>
      <c r="M2634" s="25"/>
      <c r="N2634" s="25"/>
      <c r="O2634" s="25"/>
      <c r="P2634" s="25"/>
      <c r="Q2634" s="19"/>
      <c r="R2634" s="19"/>
      <c r="S2634" s="19"/>
      <c r="T2634" s="19"/>
      <c r="U2634" s="25"/>
      <c r="V2634" s="19"/>
      <c r="W2634" s="19"/>
      <c r="X2634" s="19"/>
      <c r="Y2634" s="19"/>
      <c r="Z2634" s="19"/>
    </row>
    <row r="2635">
      <c r="A2635" s="24"/>
      <c r="B2635" s="19"/>
      <c r="C2635" s="19"/>
      <c r="D2635" s="19"/>
      <c r="E2635" s="19"/>
      <c r="F2635" s="19"/>
      <c r="G2635" s="19"/>
      <c r="H2635" s="19"/>
      <c r="I2635" s="19"/>
      <c r="J2635" s="19"/>
      <c r="K2635" s="19"/>
      <c r="L2635" s="25"/>
      <c r="M2635" s="25"/>
      <c r="N2635" s="25"/>
      <c r="O2635" s="25"/>
      <c r="P2635" s="25"/>
      <c r="Q2635" s="19"/>
      <c r="R2635" s="19"/>
      <c r="S2635" s="19"/>
      <c r="T2635" s="19"/>
      <c r="U2635" s="25"/>
      <c r="V2635" s="19"/>
      <c r="W2635" s="19"/>
      <c r="X2635" s="19"/>
      <c r="Y2635" s="19"/>
      <c r="Z2635" s="19"/>
    </row>
    <row r="2636">
      <c r="A2636" s="24"/>
      <c r="B2636" s="19"/>
      <c r="C2636" s="19"/>
      <c r="D2636" s="19"/>
      <c r="E2636" s="19"/>
      <c r="F2636" s="19"/>
      <c r="G2636" s="19"/>
      <c r="H2636" s="19"/>
      <c r="I2636" s="19"/>
      <c r="J2636" s="19"/>
      <c r="K2636" s="19"/>
      <c r="L2636" s="25"/>
      <c r="M2636" s="25"/>
      <c r="N2636" s="25"/>
      <c r="O2636" s="25"/>
      <c r="P2636" s="25"/>
      <c r="Q2636" s="19"/>
      <c r="R2636" s="19"/>
      <c r="S2636" s="19"/>
      <c r="T2636" s="19"/>
      <c r="U2636" s="25"/>
      <c r="V2636" s="19"/>
      <c r="W2636" s="19"/>
      <c r="X2636" s="19"/>
      <c r="Y2636" s="19"/>
      <c r="Z2636" s="19"/>
    </row>
    <row r="2637">
      <c r="A2637" s="24"/>
      <c r="B2637" s="19"/>
      <c r="C2637" s="19"/>
      <c r="D2637" s="19"/>
      <c r="E2637" s="19"/>
      <c r="F2637" s="19"/>
      <c r="G2637" s="19"/>
      <c r="H2637" s="19"/>
      <c r="I2637" s="19"/>
      <c r="J2637" s="19"/>
      <c r="K2637" s="19"/>
      <c r="L2637" s="25"/>
      <c r="M2637" s="25"/>
      <c r="N2637" s="25"/>
      <c r="O2637" s="25"/>
      <c r="P2637" s="25"/>
      <c r="Q2637" s="19"/>
      <c r="R2637" s="19"/>
      <c r="S2637" s="19"/>
      <c r="T2637" s="19"/>
      <c r="U2637" s="25"/>
      <c r="V2637" s="19"/>
      <c r="W2637" s="19"/>
      <c r="X2637" s="19"/>
      <c r="Y2637" s="19"/>
      <c r="Z2637" s="19"/>
    </row>
    <row r="2638">
      <c r="A2638" s="24"/>
      <c r="B2638" s="19"/>
      <c r="C2638" s="19"/>
      <c r="D2638" s="19"/>
      <c r="E2638" s="19"/>
      <c r="F2638" s="19"/>
      <c r="G2638" s="19"/>
      <c r="H2638" s="19"/>
      <c r="I2638" s="19"/>
      <c r="J2638" s="19"/>
      <c r="K2638" s="19"/>
      <c r="L2638" s="25"/>
      <c r="M2638" s="25"/>
      <c r="N2638" s="25"/>
      <c r="O2638" s="25"/>
      <c r="P2638" s="25"/>
      <c r="Q2638" s="19"/>
      <c r="R2638" s="19"/>
      <c r="S2638" s="19"/>
      <c r="T2638" s="19"/>
      <c r="U2638" s="25"/>
      <c r="V2638" s="19"/>
      <c r="W2638" s="19"/>
      <c r="X2638" s="19"/>
      <c r="Y2638" s="19"/>
      <c r="Z2638" s="19"/>
    </row>
    <row r="2639">
      <c r="A2639" s="24"/>
      <c r="B2639" s="19"/>
      <c r="C2639" s="19"/>
      <c r="D2639" s="19"/>
      <c r="E2639" s="19"/>
      <c r="F2639" s="19"/>
      <c r="G2639" s="19"/>
      <c r="H2639" s="19"/>
      <c r="I2639" s="19"/>
      <c r="J2639" s="19"/>
      <c r="K2639" s="19"/>
      <c r="L2639" s="25"/>
      <c r="M2639" s="25"/>
      <c r="N2639" s="25"/>
      <c r="O2639" s="25"/>
      <c r="P2639" s="25"/>
      <c r="Q2639" s="19"/>
      <c r="R2639" s="19"/>
      <c r="S2639" s="19"/>
      <c r="T2639" s="19"/>
      <c r="U2639" s="25"/>
      <c r="V2639" s="19"/>
      <c r="W2639" s="19"/>
      <c r="X2639" s="19"/>
      <c r="Y2639" s="19"/>
      <c r="Z2639" s="19"/>
    </row>
    <row r="2640">
      <c r="A2640" s="24"/>
      <c r="B2640" s="19"/>
      <c r="C2640" s="19"/>
      <c r="D2640" s="19"/>
      <c r="E2640" s="19"/>
      <c r="F2640" s="19"/>
      <c r="G2640" s="19"/>
      <c r="H2640" s="19"/>
      <c r="I2640" s="19"/>
      <c r="J2640" s="19"/>
      <c r="K2640" s="19"/>
      <c r="L2640" s="25"/>
      <c r="M2640" s="25"/>
      <c r="N2640" s="25"/>
      <c r="O2640" s="25"/>
      <c r="P2640" s="25"/>
      <c r="Q2640" s="19"/>
      <c r="R2640" s="19"/>
      <c r="S2640" s="19"/>
      <c r="T2640" s="19"/>
      <c r="U2640" s="25"/>
      <c r="V2640" s="19"/>
      <c r="W2640" s="19"/>
      <c r="X2640" s="19"/>
      <c r="Y2640" s="19"/>
      <c r="Z2640" s="19"/>
    </row>
    <row r="2641">
      <c r="A2641" s="24"/>
      <c r="B2641" s="19"/>
      <c r="C2641" s="19"/>
      <c r="D2641" s="19"/>
      <c r="E2641" s="19"/>
      <c r="F2641" s="19"/>
      <c r="G2641" s="19"/>
      <c r="H2641" s="19"/>
      <c r="I2641" s="19"/>
      <c r="J2641" s="19"/>
      <c r="K2641" s="19"/>
      <c r="L2641" s="25"/>
      <c r="M2641" s="25"/>
      <c r="N2641" s="25"/>
      <c r="O2641" s="25"/>
      <c r="P2641" s="25"/>
      <c r="Q2641" s="19"/>
      <c r="R2641" s="19"/>
      <c r="S2641" s="19"/>
      <c r="T2641" s="19"/>
      <c r="U2641" s="25"/>
      <c r="V2641" s="19"/>
      <c r="W2641" s="19"/>
      <c r="X2641" s="19"/>
      <c r="Y2641" s="19"/>
      <c r="Z2641" s="19"/>
    </row>
    <row r="2642">
      <c r="A2642" s="24"/>
      <c r="B2642" s="19"/>
      <c r="C2642" s="19"/>
      <c r="D2642" s="19"/>
      <c r="E2642" s="19"/>
      <c r="F2642" s="19"/>
      <c r="G2642" s="19"/>
      <c r="H2642" s="19"/>
      <c r="I2642" s="19"/>
      <c r="J2642" s="19"/>
      <c r="K2642" s="19"/>
      <c r="L2642" s="25"/>
      <c r="M2642" s="25"/>
      <c r="N2642" s="25"/>
      <c r="O2642" s="25"/>
      <c r="P2642" s="25"/>
      <c r="Q2642" s="19"/>
      <c r="R2642" s="19"/>
      <c r="S2642" s="19"/>
      <c r="T2642" s="19"/>
      <c r="U2642" s="25"/>
      <c r="V2642" s="19"/>
      <c r="W2642" s="19"/>
      <c r="X2642" s="19"/>
      <c r="Y2642" s="19"/>
      <c r="Z2642" s="19"/>
    </row>
    <row r="2643">
      <c r="A2643" s="24"/>
      <c r="B2643" s="19"/>
      <c r="C2643" s="19"/>
      <c r="D2643" s="19"/>
      <c r="E2643" s="19"/>
      <c r="F2643" s="19"/>
      <c r="G2643" s="19"/>
      <c r="H2643" s="19"/>
      <c r="I2643" s="19"/>
      <c r="J2643" s="19"/>
      <c r="K2643" s="19"/>
      <c r="L2643" s="25"/>
      <c r="M2643" s="25"/>
      <c r="N2643" s="25"/>
      <c r="O2643" s="25"/>
      <c r="P2643" s="25"/>
      <c r="Q2643" s="19"/>
      <c r="R2643" s="19"/>
      <c r="S2643" s="19"/>
      <c r="T2643" s="19"/>
      <c r="U2643" s="25"/>
      <c r="V2643" s="19"/>
      <c r="W2643" s="19"/>
      <c r="X2643" s="19"/>
      <c r="Y2643" s="19"/>
      <c r="Z2643" s="19"/>
    </row>
    <row r="2644">
      <c r="A2644" s="24"/>
      <c r="B2644" s="19"/>
      <c r="C2644" s="19"/>
      <c r="D2644" s="19"/>
      <c r="E2644" s="19"/>
      <c r="F2644" s="19"/>
      <c r="G2644" s="19"/>
      <c r="H2644" s="19"/>
      <c r="I2644" s="19"/>
      <c r="J2644" s="19"/>
      <c r="K2644" s="19"/>
      <c r="L2644" s="25"/>
      <c r="M2644" s="25"/>
      <c r="N2644" s="25"/>
      <c r="O2644" s="25"/>
      <c r="P2644" s="25"/>
      <c r="Q2644" s="19"/>
      <c r="R2644" s="19"/>
      <c r="S2644" s="19"/>
      <c r="T2644" s="19"/>
      <c r="U2644" s="25"/>
      <c r="V2644" s="19"/>
      <c r="W2644" s="19"/>
      <c r="X2644" s="19"/>
      <c r="Y2644" s="19"/>
      <c r="Z2644" s="19"/>
    </row>
    <row r="2645">
      <c r="A2645" s="24"/>
      <c r="B2645" s="19"/>
      <c r="C2645" s="19"/>
      <c r="D2645" s="19"/>
      <c r="E2645" s="19"/>
      <c r="F2645" s="19"/>
      <c r="G2645" s="19"/>
      <c r="H2645" s="19"/>
      <c r="I2645" s="19"/>
      <c r="J2645" s="19"/>
      <c r="K2645" s="19"/>
      <c r="L2645" s="25"/>
      <c r="M2645" s="25"/>
      <c r="N2645" s="25"/>
      <c r="O2645" s="25"/>
      <c r="P2645" s="25"/>
      <c r="Q2645" s="19"/>
      <c r="R2645" s="19"/>
      <c r="S2645" s="19"/>
      <c r="T2645" s="19"/>
      <c r="U2645" s="25"/>
      <c r="V2645" s="19"/>
      <c r="W2645" s="19"/>
      <c r="X2645" s="19"/>
      <c r="Y2645" s="19"/>
      <c r="Z2645" s="19"/>
    </row>
    <row r="2646">
      <c r="A2646" s="24"/>
      <c r="B2646" s="19"/>
      <c r="C2646" s="19"/>
      <c r="D2646" s="19"/>
      <c r="E2646" s="19"/>
      <c r="F2646" s="19"/>
      <c r="G2646" s="19"/>
      <c r="H2646" s="19"/>
      <c r="I2646" s="19"/>
      <c r="J2646" s="19"/>
      <c r="K2646" s="19"/>
      <c r="L2646" s="25"/>
      <c r="M2646" s="25"/>
      <c r="N2646" s="25"/>
      <c r="O2646" s="25"/>
      <c r="P2646" s="25"/>
      <c r="Q2646" s="19"/>
      <c r="R2646" s="19"/>
      <c r="S2646" s="19"/>
      <c r="T2646" s="19"/>
      <c r="U2646" s="25"/>
      <c r="V2646" s="19"/>
      <c r="W2646" s="19"/>
      <c r="X2646" s="19"/>
      <c r="Y2646" s="19"/>
      <c r="Z2646" s="19"/>
    </row>
    <row r="2647">
      <c r="A2647" s="24"/>
      <c r="B2647" s="19"/>
      <c r="C2647" s="19"/>
      <c r="D2647" s="19"/>
      <c r="E2647" s="19"/>
      <c r="F2647" s="19"/>
      <c r="G2647" s="19"/>
      <c r="H2647" s="19"/>
      <c r="I2647" s="19"/>
      <c r="J2647" s="19"/>
      <c r="K2647" s="19"/>
      <c r="L2647" s="25"/>
      <c r="M2647" s="25"/>
      <c r="N2647" s="25"/>
      <c r="O2647" s="25"/>
      <c r="P2647" s="25"/>
      <c r="Q2647" s="19"/>
      <c r="R2647" s="19"/>
      <c r="S2647" s="19"/>
      <c r="T2647" s="19"/>
      <c r="U2647" s="25"/>
      <c r="V2647" s="19"/>
      <c r="W2647" s="19"/>
      <c r="X2647" s="19"/>
      <c r="Y2647" s="19"/>
      <c r="Z2647" s="19"/>
    </row>
    <row r="2648">
      <c r="A2648" s="24"/>
      <c r="B2648" s="19"/>
      <c r="C2648" s="19"/>
      <c r="D2648" s="19"/>
      <c r="E2648" s="19"/>
      <c r="F2648" s="19"/>
      <c r="G2648" s="19"/>
      <c r="H2648" s="19"/>
      <c r="I2648" s="19"/>
      <c r="J2648" s="19"/>
      <c r="K2648" s="19"/>
      <c r="L2648" s="25"/>
      <c r="M2648" s="25"/>
      <c r="N2648" s="25"/>
      <c r="O2648" s="25"/>
      <c r="P2648" s="25"/>
      <c r="Q2648" s="19"/>
      <c r="R2648" s="19"/>
      <c r="S2648" s="19"/>
      <c r="T2648" s="19"/>
      <c r="U2648" s="25"/>
      <c r="V2648" s="19"/>
      <c r="W2648" s="19"/>
      <c r="X2648" s="19"/>
      <c r="Y2648" s="19"/>
      <c r="Z2648" s="19"/>
    </row>
    <row r="2649">
      <c r="A2649" s="24"/>
      <c r="B2649" s="19"/>
      <c r="C2649" s="19"/>
      <c r="D2649" s="19"/>
      <c r="E2649" s="19"/>
      <c r="F2649" s="19"/>
      <c r="G2649" s="19"/>
      <c r="H2649" s="19"/>
      <c r="I2649" s="19"/>
      <c r="J2649" s="19"/>
      <c r="K2649" s="19"/>
      <c r="L2649" s="25"/>
      <c r="M2649" s="25"/>
      <c r="N2649" s="25"/>
      <c r="O2649" s="25"/>
      <c r="P2649" s="25"/>
      <c r="Q2649" s="19"/>
      <c r="R2649" s="19"/>
      <c r="S2649" s="19"/>
      <c r="T2649" s="19"/>
      <c r="U2649" s="25"/>
      <c r="V2649" s="19"/>
      <c r="W2649" s="19"/>
      <c r="X2649" s="19"/>
      <c r="Y2649" s="19"/>
      <c r="Z2649" s="19"/>
    </row>
    <row r="2650">
      <c r="A2650" s="24"/>
      <c r="B2650" s="19"/>
      <c r="C2650" s="19"/>
      <c r="D2650" s="19"/>
      <c r="E2650" s="19"/>
      <c r="F2650" s="19"/>
      <c r="G2650" s="19"/>
      <c r="H2650" s="19"/>
      <c r="I2650" s="19"/>
      <c r="J2650" s="19"/>
      <c r="K2650" s="19"/>
      <c r="L2650" s="25"/>
      <c r="M2650" s="25"/>
      <c r="N2650" s="25"/>
      <c r="O2650" s="25"/>
      <c r="P2650" s="25"/>
      <c r="Q2650" s="19"/>
      <c r="R2650" s="19"/>
      <c r="S2650" s="19"/>
      <c r="T2650" s="19"/>
      <c r="U2650" s="25"/>
      <c r="V2650" s="19"/>
      <c r="W2650" s="19"/>
      <c r="X2650" s="19"/>
      <c r="Y2650" s="19"/>
      <c r="Z2650" s="19"/>
    </row>
    <row r="2651">
      <c r="A2651" s="24"/>
      <c r="B2651" s="19"/>
      <c r="C2651" s="19"/>
      <c r="D2651" s="19"/>
      <c r="E2651" s="19"/>
      <c r="F2651" s="19"/>
      <c r="G2651" s="19"/>
      <c r="H2651" s="19"/>
      <c r="I2651" s="19"/>
      <c r="J2651" s="19"/>
      <c r="K2651" s="19"/>
      <c r="L2651" s="25"/>
      <c r="M2651" s="25"/>
      <c r="N2651" s="25"/>
      <c r="O2651" s="25"/>
      <c r="P2651" s="25"/>
      <c r="Q2651" s="19"/>
      <c r="R2651" s="19"/>
      <c r="S2651" s="19"/>
      <c r="T2651" s="19"/>
      <c r="U2651" s="25"/>
      <c r="V2651" s="19"/>
      <c r="W2651" s="19"/>
      <c r="X2651" s="19"/>
      <c r="Y2651" s="19"/>
      <c r="Z2651" s="19"/>
    </row>
    <row r="2652">
      <c r="A2652" s="24"/>
      <c r="B2652" s="19"/>
      <c r="C2652" s="19"/>
      <c r="D2652" s="19"/>
      <c r="E2652" s="19"/>
      <c r="F2652" s="19"/>
      <c r="G2652" s="19"/>
      <c r="H2652" s="19"/>
      <c r="I2652" s="19"/>
      <c r="J2652" s="19"/>
      <c r="K2652" s="19"/>
      <c r="L2652" s="25"/>
      <c r="M2652" s="25"/>
      <c r="N2652" s="25"/>
      <c r="O2652" s="25"/>
      <c r="P2652" s="25"/>
      <c r="Q2652" s="19"/>
      <c r="R2652" s="19"/>
      <c r="S2652" s="19"/>
      <c r="T2652" s="19"/>
      <c r="U2652" s="25"/>
      <c r="V2652" s="19"/>
      <c r="W2652" s="19"/>
      <c r="X2652" s="19"/>
      <c r="Y2652" s="19"/>
      <c r="Z2652" s="19"/>
    </row>
    <row r="2653">
      <c r="A2653" s="24"/>
      <c r="B2653" s="19"/>
      <c r="C2653" s="19"/>
      <c r="D2653" s="19"/>
      <c r="E2653" s="19"/>
      <c r="F2653" s="19"/>
      <c r="G2653" s="19"/>
      <c r="H2653" s="19"/>
      <c r="I2653" s="19"/>
      <c r="J2653" s="19"/>
      <c r="K2653" s="19"/>
      <c r="L2653" s="25"/>
      <c r="M2653" s="25"/>
      <c r="N2653" s="25"/>
      <c r="O2653" s="25"/>
      <c r="P2653" s="25"/>
      <c r="Q2653" s="19"/>
      <c r="R2653" s="19"/>
      <c r="S2653" s="19"/>
      <c r="T2653" s="19"/>
      <c r="U2653" s="25"/>
      <c r="V2653" s="19"/>
      <c r="W2653" s="19"/>
      <c r="X2653" s="19"/>
      <c r="Y2653" s="19"/>
      <c r="Z2653" s="19"/>
    </row>
    <row r="2654">
      <c r="A2654" s="24"/>
      <c r="B2654" s="19"/>
      <c r="C2654" s="19"/>
      <c r="D2654" s="19"/>
      <c r="E2654" s="19"/>
      <c r="F2654" s="19"/>
      <c r="G2654" s="19"/>
      <c r="H2654" s="19"/>
      <c r="I2654" s="19"/>
      <c r="J2654" s="19"/>
      <c r="K2654" s="19"/>
      <c r="L2654" s="25"/>
      <c r="M2654" s="25"/>
      <c r="N2654" s="25"/>
      <c r="O2654" s="25"/>
      <c r="P2654" s="25"/>
      <c r="Q2654" s="19"/>
      <c r="R2654" s="19"/>
      <c r="S2654" s="19"/>
      <c r="T2654" s="19"/>
      <c r="U2654" s="25"/>
      <c r="V2654" s="19"/>
      <c r="W2654" s="19"/>
      <c r="X2654" s="19"/>
      <c r="Y2654" s="19"/>
      <c r="Z2654" s="19"/>
    </row>
    <row r="2655">
      <c r="A2655" s="24"/>
      <c r="B2655" s="19"/>
      <c r="C2655" s="19"/>
      <c r="D2655" s="19"/>
      <c r="E2655" s="19"/>
      <c r="F2655" s="19"/>
      <c r="G2655" s="19"/>
      <c r="H2655" s="19"/>
      <c r="I2655" s="19"/>
      <c r="J2655" s="19"/>
      <c r="K2655" s="19"/>
      <c r="L2655" s="25"/>
      <c r="M2655" s="25"/>
      <c r="N2655" s="25"/>
      <c r="O2655" s="25"/>
      <c r="P2655" s="25"/>
      <c r="Q2655" s="19"/>
      <c r="R2655" s="19"/>
      <c r="S2655" s="19"/>
      <c r="T2655" s="19"/>
      <c r="U2655" s="25"/>
      <c r="V2655" s="19"/>
      <c r="W2655" s="19"/>
      <c r="X2655" s="19"/>
      <c r="Y2655" s="19"/>
      <c r="Z2655" s="19"/>
    </row>
    <row r="2656">
      <c r="A2656" s="24"/>
      <c r="B2656" s="19"/>
      <c r="C2656" s="19"/>
      <c r="D2656" s="19"/>
      <c r="E2656" s="19"/>
      <c r="F2656" s="19"/>
      <c r="G2656" s="19"/>
      <c r="H2656" s="19"/>
      <c r="I2656" s="19"/>
      <c r="J2656" s="19"/>
      <c r="K2656" s="19"/>
      <c r="L2656" s="25"/>
      <c r="M2656" s="25"/>
      <c r="N2656" s="25"/>
      <c r="O2656" s="25"/>
      <c r="P2656" s="25"/>
      <c r="Q2656" s="19"/>
      <c r="R2656" s="19"/>
      <c r="S2656" s="19"/>
      <c r="T2656" s="19"/>
      <c r="U2656" s="25"/>
      <c r="V2656" s="19"/>
      <c r="W2656" s="19"/>
      <c r="X2656" s="19"/>
      <c r="Y2656" s="19"/>
      <c r="Z2656" s="19"/>
    </row>
    <row r="2657">
      <c r="A2657" s="24"/>
      <c r="B2657" s="19"/>
      <c r="C2657" s="19"/>
      <c r="D2657" s="19"/>
      <c r="E2657" s="19"/>
      <c r="F2657" s="19"/>
      <c r="G2657" s="19"/>
      <c r="H2657" s="19"/>
      <c r="I2657" s="19"/>
      <c r="J2657" s="19"/>
      <c r="K2657" s="19"/>
      <c r="L2657" s="25"/>
      <c r="M2657" s="25"/>
      <c r="N2657" s="25"/>
      <c r="O2657" s="25"/>
      <c r="P2657" s="25"/>
      <c r="Q2657" s="19"/>
      <c r="R2657" s="19"/>
      <c r="S2657" s="19"/>
      <c r="T2657" s="19"/>
      <c r="U2657" s="25"/>
      <c r="V2657" s="19"/>
      <c r="W2657" s="19"/>
      <c r="X2657" s="19"/>
      <c r="Y2657" s="19"/>
      <c r="Z2657" s="19"/>
    </row>
    <row r="2658">
      <c r="A2658" s="24"/>
      <c r="B2658" s="19"/>
      <c r="C2658" s="19"/>
      <c r="D2658" s="19"/>
      <c r="E2658" s="19"/>
      <c r="F2658" s="19"/>
      <c r="G2658" s="19"/>
      <c r="H2658" s="19"/>
      <c r="I2658" s="19"/>
      <c r="J2658" s="19"/>
      <c r="K2658" s="19"/>
      <c r="L2658" s="25"/>
      <c r="M2658" s="25"/>
      <c r="N2658" s="25"/>
      <c r="O2658" s="25"/>
      <c r="P2658" s="25"/>
      <c r="Q2658" s="19"/>
      <c r="R2658" s="19"/>
      <c r="S2658" s="19"/>
      <c r="T2658" s="19"/>
      <c r="U2658" s="25"/>
      <c r="V2658" s="19"/>
      <c r="W2658" s="19"/>
      <c r="X2658" s="19"/>
      <c r="Y2658" s="19"/>
      <c r="Z2658" s="19"/>
    </row>
    <row r="2659">
      <c r="A2659" s="24"/>
      <c r="B2659" s="19"/>
      <c r="C2659" s="19"/>
      <c r="D2659" s="19"/>
      <c r="E2659" s="19"/>
      <c r="F2659" s="19"/>
      <c r="G2659" s="19"/>
      <c r="H2659" s="19"/>
      <c r="I2659" s="19"/>
      <c r="J2659" s="19"/>
      <c r="K2659" s="19"/>
      <c r="L2659" s="25"/>
      <c r="M2659" s="25"/>
      <c r="N2659" s="25"/>
      <c r="O2659" s="25"/>
      <c r="P2659" s="25"/>
      <c r="Q2659" s="19"/>
      <c r="R2659" s="19"/>
      <c r="S2659" s="19"/>
      <c r="T2659" s="19"/>
      <c r="U2659" s="25"/>
      <c r="V2659" s="19"/>
      <c r="W2659" s="19"/>
      <c r="X2659" s="19"/>
      <c r="Y2659" s="19"/>
      <c r="Z2659" s="19"/>
    </row>
    <row r="2660">
      <c r="A2660" s="24"/>
      <c r="B2660" s="19"/>
      <c r="C2660" s="19"/>
      <c r="D2660" s="19"/>
      <c r="E2660" s="19"/>
      <c r="F2660" s="19"/>
      <c r="G2660" s="19"/>
      <c r="H2660" s="19"/>
      <c r="I2660" s="19"/>
      <c r="J2660" s="19"/>
      <c r="K2660" s="19"/>
      <c r="L2660" s="25"/>
      <c r="M2660" s="25"/>
      <c r="N2660" s="25"/>
      <c r="O2660" s="25"/>
      <c r="P2660" s="25"/>
      <c r="Q2660" s="19"/>
      <c r="R2660" s="19"/>
      <c r="S2660" s="19"/>
      <c r="T2660" s="19"/>
      <c r="U2660" s="25"/>
      <c r="V2660" s="19"/>
      <c r="W2660" s="19"/>
      <c r="X2660" s="19"/>
      <c r="Y2660" s="19"/>
      <c r="Z2660" s="19"/>
    </row>
    <row r="2661">
      <c r="A2661" s="24"/>
      <c r="B2661" s="19"/>
      <c r="C2661" s="19"/>
      <c r="D2661" s="19"/>
      <c r="E2661" s="19"/>
      <c r="F2661" s="19"/>
      <c r="G2661" s="19"/>
      <c r="H2661" s="19"/>
      <c r="I2661" s="19"/>
      <c r="J2661" s="19"/>
      <c r="K2661" s="19"/>
      <c r="L2661" s="25"/>
      <c r="M2661" s="25"/>
      <c r="N2661" s="25"/>
      <c r="O2661" s="25"/>
      <c r="P2661" s="25"/>
      <c r="Q2661" s="19"/>
      <c r="R2661" s="19"/>
      <c r="S2661" s="19"/>
      <c r="T2661" s="19"/>
      <c r="U2661" s="25"/>
      <c r="V2661" s="19"/>
      <c r="W2661" s="19"/>
      <c r="X2661" s="19"/>
      <c r="Y2661" s="19"/>
      <c r="Z2661" s="19"/>
    </row>
    <row r="2662">
      <c r="A2662" s="24"/>
      <c r="B2662" s="19"/>
      <c r="C2662" s="19"/>
      <c r="D2662" s="19"/>
      <c r="E2662" s="19"/>
      <c r="F2662" s="19"/>
      <c r="G2662" s="19"/>
      <c r="H2662" s="19"/>
      <c r="I2662" s="19"/>
      <c r="J2662" s="19"/>
      <c r="K2662" s="19"/>
      <c r="L2662" s="25"/>
      <c r="M2662" s="25"/>
      <c r="N2662" s="25"/>
      <c r="O2662" s="25"/>
      <c r="P2662" s="25"/>
      <c r="Q2662" s="19"/>
      <c r="R2662" s="19"/>
      <c r="S2662" s="19"/>
      <c r="T2662" s="19"/>
      <c r="U2662" s="25"/>
      <c r="V2662" s="19"/>
      <c r="W2662" s="19"/>
      <c r="X2662" s="19"/>
      <c r="Y2662" s="19"/>
      <c r="Z2662" s="19"/>
    </row>
    <row r="2663">
      <c r="A2663" s="24"/>
      <c r="B2663" s="19"/>
      <c r="C2663" s="19"/>
      <c r="D2663" s="19"/>
      <c r="E2663" s="19"/>
      <c r="F2663" s="19"/>
      <c r="G2663" s="19"/>
      <c r="H2663" s="19"/>
      <c r="I2663" s="19"/>
      <c r="J2663" s="19"/>
      <c r="K2663" s="19"/>
      <c r="L2663" s="25"/>
      <c r="M2663" s="25"/>
      <c r="N2663" s="25"/>
      <c r="O2663" s="25"/>
      <c r="P2663" s="25"/>
      <c r="Q2663" s="19"/>
      <c r="R2663" s="19"/>
      <c r="S2663" s="19"/>
      <c r="T2663" s="19"/>
      <c r="U2663" s="25"/>
      <c r="V2663" s="19"/>
      <c r="W2663" s="19"/>
      <c r="X2663" s="19"/>
      <c r="Y2663" s="19"/>
      <c r="Z2663" s="19"/>
    </row>
    <row r="2664">
      <c r="A2664" s="24"/>
      <c r="B2664" s="19"/>
      <c r="C2664" s="19"/>
      <c r="D2664" s="19"/>
      <c r="E2664" s="19"/>
      <c r="F2664" s="19"/>
      <c r="G2664" s="19"/>
      <c r="H2664" s="19"/>
      <c r="I2664" s="19"/>
      <c r="J2664" s="19"/>
      <c r="K2664" s="19"/>
      <c r="L2664" s="25"/>
      <c r="M2664" s="25"/>
      <c r="N2664" s="25"/>
      <c r="O2664" s="25"/>
      <c r="P2664" s="25"/>
      <c r="Q2664" s="19"/>
      <c r="R2664" s="19"/>
      <c r="S2664" s="19"/>
      <c r="T2664" s="19"/>
      <c r="U2664" s="25"/>
      <c r="V2664" s="19"/>
      <c r="W2664" s="19"/>
      <c r="X2664" s="19"/>
      <c r="Y2664" s="19"/>
      <c r="Z2664" s="19"/>
    </row>
    <row r="2665">
      <c r="A2665" s="24"/>
      <c r="B2665" s="19"/>
      <c r="C2665" s="19"/>
      <c r="D2665" s="19"/>
      <c r="E2665" s="19"/>
      <c r="F2665" s="19"/>
      <c r="G2665" s="19"/>
      <c r="H2665" s="19"/>
      <c r="I2665" s="19"/>
      <c r="J2665" s="19"/>
      <c r="K2665" s="19"/>
      <c r="L2665" s="25"/>
      <c r="M2665" s="25"/>
      <c r="N2665" s="25"/>
      <c r="O2665" s="25"/>
      <c r="P2665" s="25"/>
      <c r="Q2665" s="19"/>
      <c r="R2665" s="19"/>
      <c r="S2665" s="19"/>
      <c r="T2665" s="19"/>
      <c r="U2665" s="25"/>
      <c r="V2665" s="19"/>
      <c r="W2665" s="19"/>
      <c r="X2665" s="19"/>
      <c r="Y2665" s="19"/>
      <c r="Z2665" s="19"/>
    </row>
    <row r="2666">
      <c r="A2666" s="24"/>
      <c r="B2666" s="19"/>
      <c r="C2666" s="19"/>
      <c r="D2666" s="19"/>
      <c r="E2666" s="19"/>
      <c r="F2666" s="19"/>
      <c r="G2666" s="19"/>
      <c r="H2666" s="19"/>
      <c r="I2666" s="19"/>
      <c r="J2666" s="19"/>
      <c r="K2666" s="19"/>
      <c r="L2666" s="25"/>
      <c r="M2666" s="25"/>
      <c r="N2666" s="25"/>
      <c r="O2666" s="25"/>
      <c r="P2666" s="25"/>
      <c r="Q2666" s="19"/>
      <c r="R2666" s="19"/>
      <c r="S2666" s="19"/>
      <c r="T2666" s="19"/>
      <c r="U2666" s="25"/>
      <c r="V2666" s="19"/>
      <c r="W2666" s="19"/>
      <c r="X2666" s="19"/>
      <c r="Y2666" s="19"/>
      <c r="Z2666" s="19"/>
    </row>
    <row r="2667">
      <c r="A2667" s="24"/>
      <c r="B2667" s="19"/>
      <c r="C2667" s="19"/>
      <c r="D2667" s="19"/>
      <c r="E2667" s="19"/>
      <c r="F2667" s="19"/>
      <c r="G2667" s="19"/>
      <c r="H2667" s="19"/>
      <c r="I2667" s="19"/>
      <c r="J2667" s="19"/>
      <c r="K2667" s="19"/>
      <c r="L2667" s="25"/>
      <c r="M2667" s="25"/>
      <c r="N2667" s="25"/>
      <c r="O2667" s="25"/>
      <c r="P2667" s="25"/>
      <c r="Q2667" s="19"/>
      <c r="R2667" s="19"/>
      <c r="S2667" s="19"/>
      <c r="T2667" s="19"/>
      <c r="U2667" s="25"/>
      <c r="V2667" s="19"/>
      <c r="W2667" s="19"/>
      <c r="X2667" s="19"/>
      <c r="Y2667" s="19"/>
      <c r="Z2667" s="19"/>
    </row>
    <row r="2668">
      <c r="A2668" s="24"/>
      <c r="B2668" s="19"/>
      <c r="C2668" s="19"/>
      <c r="D2668" s="19"/>
      <c r="E2668" s="19"/>
      <c r="F2668" s="19"/>
      <c r="G2668" s="19"/>
      <c r="H2668" s="19"/>
      <c r="I2668" s="19"/>
      <c r="J2668" s="19"/>
      <c r="K2668" s="19"/>
      <c r="L2668" s="25"/>
      <c r="M2668" s="25"/>
      <c r="N2668" s="25"/>
      <c r="O2668" s="25"/>
      <c r="P2668" s="25"/>
      <c r="Q2668" s="19"/>
      <c r="R2668" s="19"/>
      <c r="S2668" s="19"/>
      <c r="T2668" s="19"/>
      <c r="U2668" s="25"/>
      <c r="V2668" s="19"/>
      <c r="W2668" s="19"/>
      <c r="X2668" s="19"/>
      <c r="Y2668" s="19"/>
      <c r="Z2668" s="19"/>
    </row>
    <row r="2669">
      <c r="A2669" s="24"/>
      <c r="B2669" s="19"/>
      <c r="C2669" s="19"/>
      <c r="D2669" s="19"/>
      <c r="E2669" s="19"/>
      <c r="F2669" s="19"/>
      <c r="G2669" s="19"/>
      <c r="H2669" s="19"/>
      <c r="I2669" s="19"/>
      <c r="J2669" s="19"/>
      <c r="K2669" s="19"/>
      <c r="L2669" s="25"/>
      <c r="M2669" s="25"/>
      <c r="N2669" s="25"/>
      <c r="O2669" s="25"/>
      <c r="P2669" s="25"/>
      <c r="Q2669" s="19"/>
      <c r="R2669" s="19"/>
      <c r="S2669" s="19"/>
      <c r="T2669" s="19"/>
      <c r="U2669" s="25"/>
      <c r="V2669" s="19"/>
      <c r="W2669" s="19"/>
      <c r="X2669" s="19"/>
      <c r="Y2669" s="19"/>
      <c r="Z2669" s="19"/>
    </row>
    <row r="2670">
      <c r="A2670" s="24"/>
      <c r="B2670" s="19"/>
      <c r="C2670" s="19"/>
      <c r="D2670" s="19"/>
      <c r="E2670" s="19"/>
      <c r="F2670" s="19"/>
      <c r="G2670" s="19"/>
      <c r="H2670" s="19"/>
      <c r="I2670" s="19"/>
      <c r="J2670" s="19"/>
      <c r="K2670" s="19"/>
      <c r="L2670" s="25"/>
      <c r="M2670" s="25"/>
      <c r="N2670" s="25"/>
      <c r="O2670" s="25"/>
      <c r="P2670" s="25"/>
      <c r="Q2670" s="19"/>
      <c r="R2670" s="19"/>
      <c r="S2670" s="19"/>
      <c r="T2670" s="19"/>
      <c r="U2670" s="25"/>
      <c r="V2670" s="19"/>
      <c r="W2670" s="19"/>
      <c r="X2670" s="19"/>
      <c r="Y2670" s="19"/>
      <c r="Z2670" s="19"/>
    </row>
    <row r="2671">
      <c r="A2671" s="24"/>
      <c r="B2671" s="19"/>
      <c r="C2671" s="19"/>
      <c r="D2671" s="19"/>
      <c r="E2671" s="19"/>
      <c r="F2671" s="19"/>
      <c r="G2671" s="19"/>
      <c r="H2671" s="19"/>
      <c r="I2671" s="19"/>
      <c r="J2671" s="19"/>
      <c r="K2671" s="19"/>
      <c r="L2671" s="25"/>
      <c r="M2671" s="25"/>
      <c r="N2671" s="25"/>
      <c r="O2671" s="25"/>
      <c r="P2671" s="25"/>
      <c r="Q2671" s="19"/>
      <c r="R2671" s="19"/>
      <c r="S2671" s="19"/>
      <c r="T2671" s="19"/>
      <c r="U2671" s="25"/>
      <c r="V2671" s="19"/>
      <c r="W2671" s="19"/>
      <c r="X2671" s="19"/>
      <c r="Y2671" s="19"/>
      <c r="Z2671" s="19"/>
    </row>
    <row r="2672">
      <c r="A2672" s="24"/>
      <c r="B2672" s="19"/>
      <c r="C2672" s="19"/>
      <c r="D2672" s="19"/>
      <c r="E2672" s="19"/>
      <c r="F2672" s="19"/>
      <c r="G2672" s="19"/>
      <c r="H2672" s="19"/>
      <c r="I2672" s="19"/>
      <c r="J2672" s="19"/>
      <c r="K2672" s="19"/>
      <c r="L2672" s="25"/>
      <c r="M2672" s="25"/>
      <c r="N2672" s="25"/>
      <c r="O2672" s="25"/>
      <c r="P2672" s="25"/>
      <c r="Q2672" s="19"/>
      <c r="R2672" s="19"/>
      <c r="S2672" s="19"/>
      <c r="T2672" s="19"/>
      <c r="U2672" s="25"/>
      <c r="V2672" s="19"/>
      <c r="W2672" s="19"/>
      <c r="X2672" s="19"/>
      <c r="Y2672" s="19"/>
      <c r="Z2672" s="19"/>
    </row>
    <row r="2673">
      <c r="A2673" s="24"/>
      <c r="B2673" s="19"/>
      <c r="C2673" s="19"/>
      <c r="D2673" s="19"/>
      <c r="E2673" s="19"/>
      <c r="F2673" s="19"/>
      <c r="G2673" s="19"/>
      <c r="H2673" s="19"/>
      <c r="I2673" s="19"/>
      <c r="J2673" s="19"/>
      <c r="K2673" s="19"/>
      <c r="L2673" s="25"/>
      <c r="M2673" s="25"/>
      <c r="N2673" s="25"/>
      <c r="O2673" s="25"/>
      <c r="P2673" s="25"/>
      <c r="Q2673" s="19"/>
      <c r="R2673" s="19"/>
      <c r="S2673" s="19"/>
      <c r="T2673" s="19"/>
      <c r="U2673" s="25"/>
      <c r="V2673" s="19"/>
      <c r="W2673" s="19"/>
      <c r="X2673" s="19"/>
      <c r="Y2673" s="19"/>
      <c r="Z2673" s="19"/>
    </row>
    <row r="2674">
      <c r="A2674" s="24"/>
      <c r="B2674" s="19"/>
      <c r="C2674" s="19"/>
      <c r="D2674" s="19"/>
      <c r="E2674" s="19"/>
      <c r="F2674" s="19"/>
      <c r="G2674" s="19"/>
      <c r="H2674" s="19"/>
      <c r="I2674" s="19"/>
      <c r="J2674" s="19"/>
      <c r="K2674" s="19"/>
      <c r="L2674" s="25"/>
      <c r="M2674" s="25"/>
      <c r="N2674" s="25"/>
      <c r="O2674" s="25"/>
      <c r="P2674" s="25"/>
      <c r="Q2674" s="19"/>
      <c r="R2674" s="19"/>
      <c r="S2674" s="19"/>
      <c r="T2674" s="19"/>
      <c r="U2674" s="25"/>
      <c r="V2674" s="19"/>
      <c r="W2674" s="19"/>
      <c r="X2674" s="19"/>
      <c r="Y2674" s="19"/>
      <c r="Z2674" s="19"/>
    </row>
    <row r="2675">
      <c r="A2675" s="24"/>
      <c r="B2675" s="19"/>
      <c r="C2675" s="19"/>
      <c r="D2675" s="19"/>
      <c r="E2675" s="19"/>
      <c r="F2675" s="19"/>
      <c r="G2675" s="19"/>
      <c r="H2675" s="19"/>
      <c r="I2675" s="19"/>
      <c r="J2675" s="19"/>
      <c r="K2675" s="19"/>
      <c r="L2675" s="25"/>
      <c r="M2675" s="25"/>
      <c r="N2675" s="25"/>
      <c r="O2675" s="25"/>
      <c r="P2675" s="25"/>
      <c r="Q2675" s="19"/>
      <c r="R2675" s="19"/>
      <c r="S2675" s="19"/>
      <c r="T2675" s="19"/>
      <c r="U2675" s="25"/>
      <c r="V2675" s="19"/>
      <c r="W2675" s="19"/>
      <c r="X2675" s="19"/>
      <c r="Y2675" s="19"/>
      <c r="Z2675" s="19"/>
    </row>
    <row r="2676">
      <c r="A2676" s="24"/>
      <c r="B2676" s="19"/>
      <c r="C2676" s="19"/>
      <c r="D2676" s="19"/>
      <c r="E2676" s="19"/>
      <c r="F2676" s="19"/>
      <c r="G2676" s="19"/>
      <c r="H2676" s="19"/>
      <c r="I2676" s="19"/>
      <c r="J2676" s="19"/>
      <c r="K2676" s="19"/>
      <c r="L2676" s="25"/>
      <c r="M2676" s="25"/>
      <c r="N2676" s="25"/>
      <c r="O2676" s="25"/>
      <c r="P2676" s="25"/>
      <c r="Q2676" s="19"/>
      <c r="R2676" s="19"/>
      <c r="S2676" s="19"/>
      <c r="T2676" s="19"/>
      <c r="U2676" s="25"/>
      <c r="V2676" s="19"/>
      <c r="W2676" s="19"/>
      <c r="X2676" s="19"/>
      <c r="Y2676" s="19"/>
      <c r="Z2676" s="19"/>
    </row>
    <row r="2677">
      <c r="A2677" s="24"/>
      <c r="B2677" s="19"/>
      <c r="C2677" s="19"/>
      <c r="D2677" s="19"/>
      <c r="E2677" s="19"/>
      <c r="F2677" s="19"/>
      <c r="G2677" s="19"/>
      <c r="H2677" s="19"/>
      <c r="I2677" s="19"/>
      <c r="J2677" s="19"/>
      <c r="K2677" s="19"/>
      <c r="L2677" s="25"/>
      <c r="M2677" s="25"/>
      <c r="N2677" s="25"/>
      <c r="O2677" s="25"/>
      <c r="P2677" s="25"/>
      <c r="Q2677" s="19"/>
      <c r="R2677" s="19"/>
      <c r="S2677" s="19"/>
      <c r="T2677" s="19"/>
      <c r="U2677" s="25"/>
      <c r="V2677" s="19"/>
      <c r="W2677" s="19"/>
      <c r="X2677" s="19"/>
      <c r="Y2677" s="19"/>
      <c r="Z2677" s="19"/>
    </row>
    <row r="2678">
      <c r="A2678" s="24"/>
      <c r="B2678" s="19"/>
      <c r="C2678" s="19"/>
      <c r="D2678" s="19"/>
      <c r="E2678" s="19"/>
      <c r="F2678" s="19"/>
      <c r="G2678" s="19"/>
      <c r="H2678" s="19"/>
      <c r="I2678" s="19"/>
      <c r="J2678" s="19"/>
      <c r="K2678" s="19"/>
      <c r="L2678" s="25"/>
      <c r="M2678" s="25"/>
      <c r="N2678" s="25"/>
      <c r="O2678" s="25"/>
      <c r="P2678" s="25"/>
      <c r="Q2678" s="19"/>
      <c r="R2678" s="19"/>
      <c r="S2678" s="19"/>
      <c r="T2678" s="19"/>
      <c r="U2678" s="25"/>
      <c r="V2678" s="19"/>
      <c r="W2678" s="19"/>
      <c r="X2678" s="19"/>
      <c r="Y2678" s="19"/>
      <c r="Z2678" s="19"/>
    </row>
    <row r="2679">
      <c r="A2679" s="24"/>
      <c r="B2679" s="19"/>
      <c r="C2679" s="19"/>
      <c r="D2679" s="19"/>
      <c r="E2679" s="19"/>
      <c r="F2679" s="19"/>
      <c r="G2679" s="19"/>
      <c r="H2679" s="19"/>
      <c r="I2679" s="19"/>
      <c r="J2679" s="19"/>
      <c r="K2679" s="19"/>
      <c r="L2679" s="25"/>
      <c r="M2679" s="25"/>
      <c r="N2679" s="25"/>
      <c r="O2679" s="25"/>
      <c r="P2679" s="25"/>
      <c r="Q2679" s="19"/>
      <c r="R2679" s="19"/>
      <c r="S2679" s="19"/>
      <c r="T2679" s="19"/>
      <c r="U2679" s="25"/>
      <c r="V2679" s="19"/>
      <c r="W2679" s="19"/>
      <c r="X2679" s="19"/>
      <c r="Y2679" s="19"/>
      <c r="Z2679" s="19"/>
    </row>
    <row r="2680">
      <c r="A2680" s="24"/>
      <c r="B2680" s="19"/>
      <c r="C2680" s="19"/>
      <c r="D2680" s="19"/>
      <c r="E2680" s="19"/>
      <c r="F2680" s="19"/>
      <c r="G2680" s="19"/>
      <c r="H2680" s="19"/>
      <c r="I2680" s="19"/>
      <c r="J2680" s="19"/>
      <c r="K2680" s="19"/>
      <c r="L2680" s="25"/>
      <c r="M2680" s="25"/>
      <c r="N2680" s="25"/>
      <c r="O2680" s="25"/>
      <c r="P2680" s="25"/>
      <c r="Q2680" s="19"/>
      <c r="R2680" s="19"/>
      <c r="S2680" s="19"/>
      <c r="T2680" s="19"/>
      <c r="U2680" s="25"/>
      <c r="V2680" s="19"/>
      <c r="W2680" s="19"/>
      <c r="X2680" s="19"/>
      <c r="Y2680" s="19"/>
      <c r="Z2680" s="19"/>
    </row>
    <row r="2681">
      <c r="A2681" s="24"/>
      <c r="B2681" s="19"/>
      <c r="C2681" s="19"/>
      <c r="D2681" s="19"/>
      <c r="E2681" s="19"/>
      <c r="F2681" s="19"/>
      <c r="G2681" s="19"/>
      <c r="H2681" s="19"/>
      <c r="I2681" s="19"/>
      <c r="J2681" s="19"/>
      <c r="K2681" s="19"/>
      <c r="L2681" s="25"/>
      <c r="M2681" s="25"/>
      <c r="N2681" s="25"/>
      <c r="O2681" s="25"/>
      <c r="P2681" s="25"/>
      <c r="Q2681" s="19"/>
      <c r="R2681" s="19"/>
      <c r="S2681" s="19"/>
      <c r="T2681" s="19"/>
      <c r="U2681" s="25"/>
      <c r="V2681" s="19"/>
      <c r="W2681" s="19"/>
      <c r="X2681" s="19"/>
      <c r="Y2681" s="19"/>
      <c r="Z2681" s="19"/>
    </row>
    <row r="2682">
      <c r="A2682" s="24"/>
      <c r="B2682" s="19"/>
      <c r="C2682" s="19"/>
      <c r="D2682" s="19"/>
      <c r="E2682" s="19"/>
      <c r="F2682" s="19"/>
      <c r="G2682" s="19"/>
      <c r="H2682" s="19"/>
      <c r="I2682" s="19"/>
      <c r="J2682" s="19"/>
      <c r="K2682" s="19"/>
      <c r="L2682" s="25"/>
      <c r="M2682" s="25"/>
      <c r="N2682" s="25"/>
      <c r="O2682" s="25"/>
      <c r="P2682" s="25"/>
      <c r="Q2682" s="19"/>
      <c r="R2682" s="19"/>
      <c r="S2682" s="19"/>
      <c r="T2682" s="19"/>
      <c r="U2682" s="25"/>
      <c r="V2682" s="19"/>
      <c r="W2682" s="19"/>
      <c r="X2682" s="19"/>
      <c r="Y2682" s="19"/>
      <c r="Z2682" s="19"/>
    </row>
    <row r="2683">
      <c r="A2683" s="24"/>
      <c r="B2683" s="19"/>
      <c r="C2683" s="19"/>
      <c r="D2683" s="19"/>
      <c r="E2683" s="19"/>
      <c r="F2683" s="19"/>
      <c r="G2683" s="19"/>
      <c r="H2683" s="19"/>
      <c r="I2683" s="19"/>
      <c r="J2683" s="19"/>
      <c r="K2683" s="19"/>
      <c r="L2683" s="25"/>
      <c r="M2683" s="25"/>
      <c r="N2683" s="25"/>
      <c r="O2683" s="25"/>
      <c r="P2683" s="25"/>
      <c r="Q2683" s="19"/>
      <c r="R2683" s="19"/>
      <c r="S2683" s="19"/>
      <c r="T2683" s="19"/>
      <c r="U2683" s="25"/>
      <c r="V2683" s="19"/>
      <c r="W2683" s="19"/>
      <c r="X2683" s="19"/>
      <c r="Y2683" s="19"/>
      <c r="Z2683" s="19"/>
    </row>
    <row r="2684">
      <c r="A2684" s="24"/>
      <c r="B2684" s="19"/>
      <c r="C2684" s="19"/>
      <c r="D2684" s="19"/>
      <c r="E2684" s="19"/>
      <c r="F2684" s="19"/>
      <c r="G2684" s="19"/>
      <c r="H2684" s="19"/>
      <c r="I2684" s="19"/>
      <c r="J2684" s="19"/>
      <c r="K2684" s="19"/>
      <c r="L2684" s="25"/>
      <c r="M2684" s="25"/>
      <c r="N2684" s="25"/>
      <c r="O2684" s="25"/>
      <c r="P2684" s="25"/>
      <c r="Q2684" s="19"/>
      <c r="R2684" s="19"/>
      <c r="S2684" s="19"/>
      <c r="T2684" s="19"/>
      <c r="U2684" s="25"/>
      <c r="V2684" s="19"/>
      <c r="W2684" s="19"/>
      <c r="X2684" s="19"/>
      <c r="Y2684" s="19"/>
      <c r="Z2684" s="19"/>
    </row>
    <row r="2685">
      <c r="A2685" s="24"/>
      <c r="B2685" s="19"/>
      <c r="C2685" s="19"/>
      <c r="D2685" s="19"/>
      <c r="E2685" s="19"/>
      <c r="F2685" s="19"/>
      <c r="G2685" s="19"/>
      <c r="H2685" s="19"/>
      <c r="I2685" s="19"/>
      <c r="J2685" s="19"/>
      <c r="K2685" s="19"/>
      <c r="L2685" s="25"/>
      <c r="M2685" s="25"/>
      <c r="N2685" s="25"/>
      <c r="O2685" s="25"/>
      <c r="P2685" s="25"/>
      <c r="Q2685" s="19"/>
      <c r="R2685" s="19"/>
      <c r="S2685" s="19"/>
      <c r="T2685" s="19"/>
      <c r="U2685" s="25"/>
      <c r="V2685" s="19"/>
      <c r="W2685" s="19"/>
      <c r="X2685" s="19"/>
      <c r="Y2685" s="19"/>
      <c r="Z2685" s="19"/>
    </row>
    <row r="2686">
      <c r="A2686" s="24"/>
      <c r="B2686" s="19"/>
      <c r="C2686" s="19"/>
      <c r="D2686" s="19"/>
      <c r="E2686" s="19"/>
      <c r="F2686" s="19"/>
      <c r="G2686" s="19"/>
      <c r="H2686" s="19"/>
      <c r="I2686" s="19"/>
      <c r="J2686" s="19"/>
      <c r="K2686" s="19"/>
      <c r="L2686" s="25"/>
      <c r="M2686" s="25"/>
      <c r="N2686" s="25"/>
      <c r="O2686" s="25"/>
      <c r="P2686" s="25"/>
      <c r="Q2686" s="19"/>
      <c r="R2686" s="19"/>
      <c r="S2686" s="19"/>
      <c r="T2686" s="19"/>
      <c r="U2686" s="25"/>
      <c r="V2686" s="19"/>
      <c r="W2686" s="19"/>
      <c r="X2686" s="19"/>
      <c r="Y2686" s="19"/>
      <c r="Z2686" s="19"/>
    </row>
    <row r="2687">
      <c r="A2687" s="24"/>
      <c r="B2687" s="19"/>
      <c r="C2687" s="19"/>
      <c r="D2687" s="19"/>
      <c r="E2687" s="19"/>
      <c r="F2687" s="19"/>
      <c r="G2687" s="19"/>
      <c r="H2687" s="19"/>
      <c r="I2687" s="19"/>
      <c r="J2687" s="19"/>
      <c r="K2687" s="19"/>
      <c r="L2687" s="25"/>
      <c r="M2687" s="25"/>
      <c r="N2687" s="25"/>
      <c r="O2687" s="25"/>
      <c r="P2687" s="25"/>
      <c r="Q2687" s="19"/>
      <c r="R2687" s="19"/>
      <c r="S2687" s="19"/>
      <c r="T2687" s="19"/>
      <c r="U2687" s="25"/>
      <c r="V2687" s="19"/>
      <c r="W2687" s="19"/>
      <c r="X2687" s="19"/>
      <c r="Y2687" s="19"/>
      <c r="Z2687" s="19"/>
    </row>
    <row r="2688">
      <c r="A2688" s="24"/>
      <c r="B2688" s="19"/>
      <c r="C2688" s="19"/>
      <c r="D2688" s="19"/>
      <c r="E2688" s="19"/>
      <c r="F2688" s="19"/>
      <c r="G2688" s="19"/>
      <c r="H2688" s="19"/>
      <c r="I2688" s="19"/>
      <c r="J2688" s="19"/>
      <c r="K2688" s="19"/>
      <c r="L2688" s="25"/>
      <c r="M2688" s="25"/>
      <c r="N2688" s="25"/>
      <c r="O2688" s="25"/>
      <c r="P2688" s="25"/>
      <c r="Q2688" s="19"/>
      <c r="R2688" s="19"/>
      <c r="S2688" s="19"/>
      <c r="T2688" s="19"/>
      <c r="U2688" s="25"/>
      <c r="V2688" s="19"/>
      <c r="W2688" s="19"/>
      <c r="X2688" s="19"/>
      <c r="Y2688" s="19"/>
      <c r="Z2688" s="19"/>
    </row>
    <row r="2689">
      <c r="A2689" s="24"/>
      <c r="B2689" s="19"/>
      <c r="C2689" s="19"/>
      <c r="D2689" s="19"/>
      <c r="E2689" s="19"/>
      <c r="F2689" s="19"/>
      <c r="G2689" s="19"/>
      <c r="H2689" s="19"/>
      <c r="I2689" s="19"/>
      <c r="J2689" s="19"/>
      <c r="K2689" s="19"/>
      <c r="L2689" s="25"/>
      <c r="M2689" s="25"/>
      <c r="N2689" s="25"/>
      <c r="O2689" s="25"/>
      <c r="P2689" s="25"/>
      <c r="Q2689" s="19"/>
      <c r="R2689" s="19"/>
      <c r="S2689" s="19"/>
      <c r="T2689" s="19"/>
      <c r="U2689" s="25"/>
      <c r="V2689" s="19"/>
      <c r="W2689" s="19"/>
      <c r="X2689" s="19"/>
      <c r="Y2689" s="19"/>
      <c r="Z2689" s="19"/>
    </row>
    <row r="2690">
      <c r="A2690" s="24"/>
      <c r="B2690" s="19"/>
      <c r="C2690" s="19"/>
      <c r="D2690" s="19"/>
      <c r="E2690" s="19"/>
      <c r="F2690" s="19"/>
      <c r="G2690" s="19"/>
      <c r="H2690" s="19"/>
      <c r="I2690" s="19"/>
      <c r="J2690" s="19"/>
      <c r="K2690" s="19"/>
      <c r="L2690" s="25"/>
      <c r="M2690" s="25"/>
      <c r="N2690" s="25"/>
      <c r="O2690" s="25"/>
      <c r="P2690" s="25"/>
      <c r="Q2690" s="19"/>
      <c r="R2690" s="19"/>
      <c r="S2690" s="19"/>
      <c r="T2690" s="19"/>
      <c r="U2690" s="25"/>
      <c r="V2690" s="19"/>
      <c r="W2690" s="19"/>
      <c r="X2690" s="19"/>
      <c r="Y2690" s="19"/>
      <c r="Z2690" s="19"/>
    </row>
    <row r="2691">
      <c r="A2691" s="24"/>
      <c r="B2691" s="19"/>
      <c r="C2691" s="19"/>
      <c r="D2691" s="19"/>
      <c r="E2691" s="19"/>
      <c r="F2691" s="19"/>
      <c r="G2691" s="19"/>
      <c r="H2691" s="19"/>
      <c r="I2691" s="19"/>
      <c r="J2691" s="19"/>
      <c r="K2691" s="19"/>
      <c r="L2691" s="25"/>
      <c r="M2691" s="25"/>
      <c r="N2691" s="25"/>
      <c r="O2691" s="25"/>
      <c r="P2691" s="25"/>
      <c r="Q2691" s="19"/>
      <c r="R2691" s="19"/>
      <c r="S2691" s="19"/>
      <c r="T2691" s="19"/>
      <c r="U2691" s="25"/>
      <c r="V2691" s="19"/>
      <c r="W2691" s="19"/>
      <c r="X2691" s="19"/>
      <c r="Y2691" s="19"/>
      <c r="Z2691" s="19"/>
    </row>
    <row r="2692">
      <c r="A2692" s="24"/>
      <c r="B2692" s="19"/>
      <c r="C2692" s="19"/>
      <c r="D2692" s="19"/>
      <c r="E2692" s="19"/>
      <c r="F2692" s="19"/>
      <c r="G2692" s="19"/>
      <c r="H2692" s="19"/>
      <c r="I2692" s="19"/>
      <c r="J2692" s="19"/>
      <c r="K2692" s="19"/>
      <c r="L2692" s="25"/>
      <c r="M2692" s="25"/>
      <c r="N2692" s="25"/>
      <c r="O2692" s="25"/>
      <c r="P2692" s="25"/>
      <c r="Q2692" s="19"/>
      <c r="R2692" s="19"/>
      <c r="S2692" s="19"/>
      <c r="T2692" s="19"/>
      <c r="U2692" s="25"/>
      <c r="V2692" s="19"/>
      <c r="W2692" s="19"/>
      <c r="X2692" s="19"/>
      <c r="Y2692" s="19"/>
      <c r="Z2692" s="19"/>
    </row>
    <row r="2693">
      <c r="A2693" s="24"/>
      <c r="B2693" s="19"/>
      <c r="C2693" s="19"/>
      <c r="D2693" s="19"/>
      <c r="E2693" s="19"/>
      <c r="F2693" s="19"/>
      <c r="G2693" s="19"/>
      <c r="H2693" s="19"/>
      <c r="I2693" s="19"/>
      <c r="J2693" s="19"/>
      <c r="K2693" s="19"/>
      <c r="L2693" s="25"/>
      <c r="M2693" s="25"/>
      <c r="N2693" s="25"/>
      <c r="O2693" s="25"/>
      <c r="P2693" s="25"/>
      <c r="Q2693" s="19"/>
      <c r="R2693" s="19"/>
      <c r="S2693" s="19"/>
      <c r="T2693" s="19"/>
      <c r="U2693" s="25"/>
      <c r="V2693" s="19"/>
      <c r="W2693" s="19"/>
      <c r="X2693" s="19"/>
      <c r="Y2693" s="19"/>
      <c r="Z2693" s="19"/>
    </row>
    <row r="2694">
      <c r="A2694" s="24"/>
      <c r="B2694" s="19"/>
      <c r="C2694" s="19"/>
      <c r="D2694" s="19"/>
      <c r="E2694" s="19"/>
      <c r="F2694" s="19"/>
      <c r="G2694" s="19"/>
      <c r="H2694" s="19"/>
      <c r="I2694" s="19"/>
      <c r="J2694" s="19"/>
      <c r="K2694" s="19"/>
      <c r="L2694" s="25"/>
      <c r="M2694" s="25"/>
      <c r="N2694" s="25"/>
      <c r="O2694" s="25"/>
      <c r="P2694" s="25"/>
      <c r="Q2694" s="19"/>
      <c r="R2694" s="19"/>
      <c r="S2694" s="19"/>
      <c r="T2694" s="19"/>
      <c r="U2694" s="25"/>
      <c r="V2694" s="19"/>
      <c r="W2694" s="19"/>
      <c r="X2694" s="19"/>
      <c r="Y2694" s="19"/>
      <c r="Z2694" s="19"/>
    </row>
    <row r="2695">
      <c r="A2695" s="24"/>
      <c r="B2695" s="19"/>
      <c r="C2695" s="19"/>
      <c r="D2695" s="19"/>
      <c r="E2695" s="19"/>
      <c r="F2695" s="19"/>
      <c r="G2695" s="19"/>
      <c r="H2695" s="19"/>
      <c r="I2695" s="19"/>
      <c r="J2695" s="19"/>
      <c r="K2695" s="19"/>
      <c r="L2695" s="25"/>
      <c r="M2695" s="25"/>
      <c r="N2695" s="25"/>
      <c r="O2695" s="25"/>
      <c r="P2695" s="25"/>
      <c r="Q2695" s="19"/>
      <c r="R2695" s="19"/>
      <c r="S2695" s="19"/>
      <c r="T2695" s="19"/>
      <c r="U2695" s="25"/>
      <c r="V2695" s="19"/>
      <c r="W2695" s="19"/>
      <c r="X2695" s="19"/>
      <c r="Y2695" s="19"/>
      <c r="Z2695" s="19"/>
    </row>
    <row r="2696">
      <c r="A2696" s="24"/>
      <c r="B2696" s="19"/>
      <c r="C2696" s="19"/>
      <c r="D2696" s="19"/>
      <c r="E2696" s="19"/>
      <c r="F2696" s="19"/>
      <c r="G2696" s="19"/>
      <c r="H2696" s="19"/>
      <c r="I2696" s="19"/>
      <c r="J2696" s="19"/>
      <c r="K2696" s="19"/>
      <c r="L2696" s="25"/>
      <c r="M2696" s="25"/>
      <c r="N2696" s="25"/>
      <c r="O2696" s="25"/>
      <c r="P2696" s="25"/>
      <c r="Q2696" s="19"/>
      <c r="R2696" s="19"/>
      <c r="S2696" s="19"/>
      <c r="T2696" s="19"/>
      <c r="U2696" s="25"/>
      <c r="V2696" s="19"/>
      <c r="W2696" s="19"/>
      <c r="X2696" s="19"/>
      <c r="Y2696" s="19"/>
      <c r="Z2696" s="19"/>
    </row>
    <row r="2697">
      <c r="A2697" s="24"/>
      <c r="B2697" s="19"/>
      <c r="C2697" s="19"/>
      <c r="D2697" s="19"/>
      <c r="E2697" s="19"/>
      <c r="F2697" s="19"/>
      <c r="G2697" s="19"/>
      <c r="H2697" s="19"/>
      <c r="I2697" s="19"/>
      <c r="J2697" s="19"/>
      <c r="K2697" s="19"/>
      <c r="L2697" s="25"/>
      <c r="M2697" s="25"/>
      <c r="N2697" s="25"/>
      <c r="O2697" s="25"/>
      <c r="P2697" s="25"/>
      <c r="Q2697" s="19"/>
      <c r="R2697" s="19"/>
      <c r="S2697" s="19"/>
      <c r="T2697" s="19"/>
      <c r="U2697" s="25"/>
      <c r="V2697" s="19"/>
      <c r="W2697" s="19"/>
      <c r="X2697" s="19"/>
      <c r="Y2697" s="19"/>
      <c r="Z2697" s="19"/>
    </row>
    <row r="2698">
      <c r="A2698" s="24"/>
      <c r="B2698" s="19"/>
      <c r="C2698" s="19"/>
      <c r="D2698" s="19"/>
      <c r="E2698" s="19"/>
      <c r="F2698" s="19"/>
      <c r="G2698" s="19"/>
      <c r="H2698" s="19"/>
      <c r="I2698" s="19"/>
      <c r="J2698" s="19"/>
      <c r="K2698" s="19"/>
      <c r="L2698" s="25"/>
      <c r="M2698" s="25"/>
      <c r="N2698" s="25"/>
      <c r="O2698" s="25"/>
      <c r="P2698" s="25"/>
      <c r="Q2698" s="19"/>
      <c r="R2698" s="19"/>
      <c r="S2698" s="19"/>
      <c r="T2698" s="19"/>
      <c r="U2698" s="25"/>
      <c r="V2698" s="19"/>
      <c r="W2698" s="19"/>
      <c r="X2698" s="19"/>
      <c r="Y2698" s="19"/>
      <c r="Z2698" s="19"/>
    </row>
    <row r="2699">
      <c r="A2699" s="24"/>
      <c r="B2699" s="19"/>
      <c r="C2699" s="19"/>
      <c r="D2699" s="19"/>
      <c r="E2699" s="19"/>
      <c r="F2699" s="19"/>
      <c r="G2699" s="19"/>
      <c r="H2699" s="19"/>
      <c r="I2699" s="19"/>
      <c r="J2699" s="19"/>
      <c r="K2699" s="19"/>
      <c r="L2699" s="25"/>
      <c r="M2699" s="25"/>
      <c r="N2699" s="25"/>
      <c r="O2699" s="25"/>
      <c r="P2699" s="25"/>
      <c r="Q2699" s="19"/>
      <c r="R2699" s="19"/>
      <c r="S2699" s="19"/>
      <c r="T2699" s="19"/>
      <c r="U2699" s="25"/>
      <c r="V2699" s="19"/>
      <c r="W2699" s="19"/>
      <c r="X2699" s="19"/>
      <c r="Y2699" s="19"/>
      <c r="Z2699" s="19"/>
    </row>
    <row r="2700">
      <c r="A2700" s="24"/>
      <c r="B2700" s="19"/>
      <c r="C2700" s="19"/>
      <c r="D2700" s="19"/>
      <c r="E2700" s="19"/>
      <c r="F2700" s="19"/>
      <c r="G2700" s="19"/>
      <c r="H2700" s="19"/>
      <c r="I2700" s="19"/>
      <c r="J2700" s="19"/>
      <c r="K2700" s="19"/>
      <c r="L2700" s="25"/>
      <c r="M2700" s="25"/>
      <c r="N2700" s="25"/>
      <c r="O2700" s="25"/>
      <c r="P2700" s="25"/>
      <c r="Q2700" s="19"/>
      <c r="R2700" s="19"/>
      <c r="S2700" s="19"/>
      <c r="T2700" s="19"/>
      <c r="U2700" s="25"/>
      <c r="V2700" s="19"/>
      <c r="W2700" s="19"/>
      <c r="X2700" s="19"/>
      <c r="Y2700" s="19"/>
      <c r="Z2700" s="19"/>
    </row>
    <row r="2701">
      <c r="A2701" s="24"/>
      <c r="B2701" s="19"/>
      <c r="C2701" s="19"/>
      <c r="D2701" s="19"/>
      <c r="E2701" s="19"/>
      <c r="F2701" s="19"/>
      <c r="G2701" s="19"/>
      <c r="H2701" s="19"/>
      <c r="I2701" s="19"/>
      <c r="J2701" s="19"/>
      <c r="K2701" s="19"/>
      <c r="L2701" s="25"/>
      <c r="M2701" s="25"/>
      <c r="N2701" s="25"/>
      <c r="O2701" s="25"/>
      <c r="P2701" s="25"/>
      <c r="Q2701" s="19"/>
      <c r="R2701" s="19"/>
      <c r="S2701" s="19"/>
      <c r="T2701" s="19"/>
      <c r="U2701" s="25"/>
      <c r="V2701" s="19"/>
      <c r="W2701" s="19"/>
      <c r="X2701" s="19"/>
      <c r="Y2701" s="19"/>
      <c r="Z2701" s="19"/>
    </row>
    <row r="2702">
      <c r="A2702" s="24"/>
      <c r="B2702" s="19"/>
      <c r="C2702" s="19"/>
      <c r="D2702" s="19"/>
      <c r="E2702" s="19"/>
      <c r="F2702" s="19"/>
      <c r="G2702" s="19"/>
      <c r="H2702" s="19"/>
      <c r="I2702" s="19"/>
      <c r="J2702" s="19"/>
      <c r="K2702" s="19"/>
      <c r="L2702" s="25"/>
      <c r="M2702" s="25"/>
      <c r="N2702" s="25"/>
      <c r="O2702" s="25"/>
      <c r="P2702" s="25"/>
      <c r="Q2702" s="19"/>
      <c r="R2702" s="19"/>
      <c r="S2702" s="19"/>
      <c r="T2702" s="19"/>
      <c r="U2702" s="25"/>
      <c r="V2702" s="19"/>
      <c r="W2702" s="19"/>
      <c r="X2702" s="19"/>
      <c r="Y2702" s="19"/>
      <c r="Z2702" s="19"/>
    </row>
    <row r="2703">
      <c r="A2703" s="24"/>
      <c r="B2703" s="19"/>
      <c r="C2703" s="19"/>
      <c r="D2703" s="19"/>
      <c r="E2703" s="19"/>
      <c r="F2703" s="19"/>
      <c r="G2703" s="19"/>
      <c r="H2703" s="19"/>
      <c r="I2703" s="19"/>
      <c r="J2703" s="19"/>
      <c r="K2703" s="19"/>
      <c r="L2703" s="25"/>
      <c r="M2703" s="25"/>
      <c r="N2703" s="25"/>
      <c r="O2703" s="25"/>
      <c r="P2703" s="25"/>
      <c r="Q2703" s="19"/>
      <c r="R2703" s="19"/>
      <c r="S2703" s="19"/>
      <c r="T2703" s="19"/>
      <c r="U2703" s="25"/>
      <c r="V2703" s="19"/>
      <c r="W2703" s="19"/>
      <c r="X2703" s="19"/>
      <c r="Y2703" s="19"/>
      <c r="Z2703" s="19"/>
    </row>
    <row r="2704">
      <c r="A2704" s="24"/>
      <c r="B2704" s="19"/>
      <c r="C2704" s="19"/>
      <c r="D2704" s="19"/>
      <c r="E2704" s="19"/>
      <c r="F2704" s="19"/>
      <c r="G2704" s="19"/>
      <c r="H2704" s="19"/>
      <c r="I2704" s="19"/>
      <c r="J2704" s="19"/>
      <c r="K2704" s="19"/>
      <c r="L2704" s="25"/>
      <c r="M2704" s="25"/>
      <c r="N2704" s="25"/>
      <c r="O2704" s="25"/>
      <c r="P2704" s="25"/>
      <c r="Q2704" s="19"/>
      <c r="R2704" s="19"/>
      <c r="S2704" s="19"/>
      <c r="T2704" s="19"/>
      <c r="U2704" s="25"/>
      <c r="V2704" s="19"/>
      <c r="W2704" s="19"/>
      <c r="X2704" s="19"/>
      <c r="Y2704" s="19"/>
      <c r="Z2704" s="19"/>
    </row>
    <row r="2705">
      <c r="A2705" s="24"/>
      <c r="B2705" s="19"/>
      <c r="C2705" s="19"/>
      <c r="D2705" s="19"/>
      <c r="E2705" s="19"/>
      <c r="F2705" s="19"/>
      <c r="G2705" s="19"/>
      <c r="H2705" s="19"/>
      <c r="I2705" s="19"/>
      <c r="J2705" s="19"/>
      <c r="K2705" s="19"/>
      <c r="L2705" s="25"/>
      <c r="M2705" s="25"/>
      <c r="N2705" s="25"/>
      <c r="O2705" s="25"/>
      <c r="P2705" s="25"/>
      <c r="Q2705" s="19"/>
      <c r="R2705" s="19"/>
      <c r="S2705" s="19"/>
      <c r="T2705" s="19"/>
      <c r="U2705" s="25"/>
      <c r="V2705" s="19"/>
      <c r="W2705" s="19"/>
      <c r="X2705" s="19"/>
      <c r="Y2705" s="19"/>
      <c r="Z2705" s="19"/>
    </row>
    <row r="2706">
      <c r="A2706" s="24"/>
      <c r="B2706" s="19"/>
      <c r="C2706" s="19"/>
      <c r="D2706" s="19"/>
      <c r="E2706" s="19"/>
      <c r="F2706" s="19"/>
      <c r="G2706" s="19"/>
      <c r="H2706" s="19"/>
      <c r="I2706" s="19"/>
      <c r="J2706" s="19"/>
      <c r="K2706" s="19"/>
      <c r="L2706" s="25"/>
      <c r="M2706" s="25"/>
      <c r="N2706" s="25"/>
      <c r="O2706" s="25"/>
      <c r="P2706" s="25"/>
      <c r="Q2706" s="19"/>
      <c r="R2706" s="19"/>
      <c r="S2706" s="19"/>
      <c r="T2706" s="19"/>
      <c r="U2706" s="25"/>
      <c r="V2706" s="19"/>
      <c r="W2706" s="19"/>
      <c r="X2706" s="19"/>
      <c r="Y2706" s="19"/>
      <c r="Z2706" s="19"/>
    </row>
    <row r="2707">
      <c r="A2707" s="24"/>
      <c r="B2707" s="19"/>
      <c r="C2707" s="19"/>
      <c r="D2707" s="19"/>
      <c r="E2707" s="19"/>
      <c r="F2707" s="19"/>
      <c r="G2707" s="19"/>
      <c r="H2707" s="19"/>
      <c r="I2707" s="19"/>
      <c r="J2707" s="19"/>
      <c r="K2707" s="19"/>
      <c r="L2707" s="25"/>
      <c r="M2707" s="25"/>
      <c r="N2707" s="25"/>
      <c r="O2707" s="25"/>
      <c r="P2707" s="25"/>
      <c r="Q2707" s="19"/>
      <c r="R2707" s="19"/>
      <c r="S2707" s="19"/>
      <c r="T2707" s="19"/>
      <c r="U2707" s="25"/>
      <c r="V2707" s="19"/>
      <c r="W2707" s="19"/>
      <c r="X2707" s="19"/>
      <c r="Y2707" s="19"/>
      <c r="Z2707" s="19"/>
    </row>
    <row r="2708">
      <c r="A2708" s="24"/>
      <c r="B2708" s="19"/>
      <c r="C2708" s="19"/>
      <c r="D2708" s="19"/>
      <c r="E2708" s="19"/>
      <c r="F2708" s="19"/>
      <c r="G2708" s="19"/>
      <c r="H2708" s="19"/>
      <c r="I2708" s="19"/>
      <c r="J2708" s="19"/>
      <c r="K2708" s="19"/>
      <c r="L2708" s="25"/>
      <c r="M2708" s="25"/>
      <c r="N2708" s="25"/>
      <c r="O2708" s="25"/>
      <c r="P2708" s="25"/>
      <c r="Q2708" s="19"/>
      <c r="R2708" s="19"/>
      <c r="S2708" s="19"/>
      <c r="T2708" s="19"/>
      <c r="U2708" s="25"/>
      <c r="V2708" s="19"/>
      <c r="W2708" s="19"/>
      <c r="X2708" s="19"/>
      <c r="Y2708" s="19"/>
      <c r="Z2708" s="19"/>
    </row>
    <row r="2709">
      <c r="A2709" s="24"/>
      <c r="B2709" s="19"/>
      <c r="C2709" s="19"/>
      <c r="D2709" s="19"/>
      <c r="E2709" s="19"/>
      <c r="F2709" s="19"/>
      <c r="G2709" s="19"/>
      <c r="H2709" s="19"/>
      <c r="I2709" s="19"/>
      <c r="J2709" s="19"/>
      <c r="K2709" s="19"/>
      <c r="L2709" s="25"/>
      <c r="M2709" s="25"/>
      <c r="N2709" s="25"/>
      <c r="O2709" s="25"/>
      <c r="P2709" s="25"/>
      <c r="Q2709" s="19"/>
      <c r="R2709" s="19"/>
      <c r="S2709" s="19"/>
      <c r="T2709" s="19"/>
      <c r="U2709" s="25"/>
      <c r="V2709" s="19"/>
      <c r="W2709" s="19"/>
      <c r="X2709" s="19"/>
      <c r="Y2709" s="19"/>
      <c r="Z2709" s="19"/>
    </row>
    <row r="2710">
      <c r="A2710" s="24"/>
      <c r="B2710" s="19"/>
      <c r="C2710" s="19"/>
      <c r="D2710" s="19"/>
      <c r="E2710" s="19"/>
      <c r="F2710" s="19"/>
      <c r="G2710" s="19"/>
      <c r="H2710" s="19"/>
      <c r="I2710" s="19"/>
      <c r="J2710" s="19"/>
      <c r="K2710" s="19"/>
      <c r="L2710" s="25"/>
      <c r="M2710" s="25"/>
      <c r="N2710" s="25"/>
      <c r="O2710" s="25"/>
      <c r="P2710" s="25"/>
      <c r="Q2710" s="19"/>
      <c r="R2710" s="19"/>
      <c r="S2710" s="19"/>
      <c r="T2710" s="19"/>
      <c r="U2710" s="25"/>
      <c r="V2710" s="19"/>
      <c r="W2710" s="19"/>
      <c r="X2710" s="19"/>
      <c r="Y2710" s="19"/>
      <c r="Z2710" s="19"/>
    </row>
    <row r="2711">
      <c r="A2711" s="24"/>
      <c r="B2711" s="19"/>
      <c r="C2711" s="19"/>
      <c r="D2711" s="19"/>
      <c r="E2711" s="19"/>
      <c r="F2711" s="19"/>
      <c r="G2711" s="19"/>
      <c r="H2711" s="19"/>
      <c r="I2711" s="19"/>
      <c r="J2711" s="19"/>
      <c r="K2711" s="19"/>
      <c r="L2711" s="25"/>
      <c r="M2711" s="25"/>
      <c r="N2711" s="25"/>
      <c r="O2711" s="25"/>
      <c r="P2711" s="25"/>
      <c r="Q2711" s="19"/>
      <c r="R2711" s="19"/>
      <c r="S2711" s="19"/>
      <c r="T2711" s="19"/>
      <c r="U2711" s="25"/>
      <c r="V2711" s="19"/>
      <c r="W2711" s="19"/>
      <c r="X2711" s="19"/>
      <c r="Y2711" s="19"/>
      <c r="Z2711" s="19"/>
    </row>
    <row r="2712">
      <c r="A2712" s="24"/>
      <c r="B2712" s="19"/>
      <c r="C2712" s="19"/>
      <c r="D2712" s="19"/>
      <c r="E2712" s="19"/>
      <c r="F2712" s="19"/>
      <c r="G2712" s="19"/>
      <c r="H2712" s="19"/>
      <c r="I2712" s="19"/>
      <c r="J2712" s="19"/>
      <c r="K2712" s="19"/>
      <c r="L2712" s="25"/>
      <c r="M2712" s="25"/>
      <c r="N2712" s="25"/>
      <c r="O2712" s="25"/>
      <c r="P2712" s="25"/>
      <c r="Q2712" s="19"/>
      <c r="R2712" s="19"/>
      <c r="S2712" s="19"/>
      <c r="T2712" s="19"/>
      <c r="U2712" s="25"/>
      <c r="V2712" s="19"/>
      <c r="W2712" s="19"/>
      <c r="X2712" s="19"/>
      <c r="Y2712" s="19"/>
      <c r="Z2712" s="19"/>
    </row>
    <row r="2713">
      <c r="A2713" s="24"/>
      <c r="B2713" s="19"/>
      <c r="C2713" s="19"/>
      <c r="D2713" s="19"/>
      <c r="E2713" s="19"/>
      <c r="F2713" s="19"/>
      <c r="G2713" s="19"/>
      <c r="H2713" s="19"/>
      <c r="I2713" s="19"/>
      <c r="J2713" s="19"/>
      <c r="K2713" s="19"/>
      <c r="L2713" s="25"/>
      <c r="M2713" s="25"/>
      <c r="N2713" s="25"/>
      <c r="O2713" s="25"/>
      <c r="P2713" s="25"/>
      <c r="Q2713" s="19"/>
      <c r="R2713" s="19"/>
      <c r="S2713" s="19"/>
      <c r="T2713" s="19"/>
      <c r="U2713" s="25"/>
      <c r="V2713" s="19"/>
      <c r="W2713" s="19"/>
      <c r="X2713" s="19"/>
      <c r="Y2713" s="19"/>
      <c r="Z2713" s="19"/>
    </row>
    <row r="2714">
      <c r="A2714" s="24"/>
      <c r="B2714" s="19"/>
      <c r="C2714" s="19"/>
      <c r="D2714" s="19"/>
      <c r="E2714" s="19"/>
      <c r="F2714" s="19"/>
      <c r="G2714" s="19"/>
      <c r="H2714" s="19"/>
      <c r="I2714" s="19"/>
      <c r="J2714" s="19"/>
      <c r="K2714" s="19"/>
      <c r="L2714" s="25"/>
      <c r="M2714" s="25"/>
      <c r="N2714" s="25"/>
      <c r="O2714" s="25"/>
      <c r="P2714" s="25"/>
      <c r="Q2714" s="19"/>
      <c r="R2714" s="19"/>
      <c r="S2714" s="19"/>
      <c r="T2714" s="19"/>
      <c r="U2714" s="25"/>
      <c r="V2714" s="19"/>
      <c r="W2714" s="19"/>
      <c r="X2714" s="19"/>
      <c r="Y2714" s="19"/>
      <c r="Z2714" s="19"/>
    </row>
    <row r="2715">
      <c r="A2715" s="24"/>
      <c r="B2715" s="19"/>
      <c r="C2715" s="19"/>
      <c r="D2715" s="19"/>
      <c r="E2715" s="19"/>
      <c r="F2715" s="19"/>
      <c r="G2715" s="19"/>
      <c r="H2715" s="19"/>
      <c r="I2715" s="19"/>
      <c r="J2715" s="19"/>
      <c r="K2715" s="19"/>
      <c r="L2715" s="25"/>
      <c r="M2715" s="25"/>
      <c r="N2715" s="25"/>
      <c r="O2715" s="25"/>
      <c r="P2715" s="25"/>
      <c r="Q2715" s="19"/>
      <c r="R2715" s="19"/>
      <c r="S2715" s="19"/>
      <c r="T2715" s="19"/>
      <c r="U2715" s="25"/>
      <c r="V2715" s="19"/>
      <c r="W2715" s="19"/>
      <c r="X2715" s="19"/>
      <c r="Y2715" s="19"/>
      <c r="Z2715" s="19"/>
    </row>
    <row r="2716">
      <c r="A2716" s="24"/>
      <c r="B2716" s="19"/>
      <c r="C2716" s="19"/>
      <c r="D2716" s="19"/>
      <c r="E2716" s="19"/>
      <c r="F2716" s="19"/>
      <c r="G2716" s="19"/>
      <c r="H2716" s="19"/>
      <c r="I2716" s="19"/>
      <c r="J2716" s="19"/>
      <c r="K2716" s="19"/>
      <c r="L2716" s="25"/>
      <c r="M2716" s="25"/>
      <c r="N2716" s="25"/>
      <c r="O2716" s="25"/>
      <c r="P2716" s="25"/>
      <c r="Q2716" s="19"/>
      <c r="R2716" s="19"/>
      <c r="S2716" s="19"/>
      <c r="T2716" s="19"/>
      <c r="U2716" s="25"/>
      <c r="V2716" s="19"/>
      <c r="W2716" s="19"/>
      <c r="X2716" s="19"/>
      <c r="Y2716" s="19"/>
      <c r="Z2716" s="19"/>
    </row>
    <row r="2717">
      <c r="A2717" s="24"/>
      <c r="B2717" s="19"/>
      <c r="C2717" s="19"/>
      <c r="D2717" s="19"/>
      <c r="E2717" s="19"/>
      <c r="F2717" s="19"/>
      <c r="G2717" s="19"/>
      <c r="H2717" s="19"/>
      <c r="I2717" s="19"/>
      <c r="J2717" s="19"/>
      <c r="K2717" s="19"/>
      <c r="L2717" s="25"/>
      <c r="M2717" s="25"/>
      <c r="N2717" s="25"/>
      <c r="O2717" s="25"/>
      <c r="P2717" s="25"/>
      <c r="Q2717" s="19"/>
      <c r="R2717" s="19"/>
      <c r="S2717" s="19"/>
      <c r="T2717" s="19"/>
      <c r="U2717" s="25"/>
      <c r="V2717" s="19"/>
      <c r="W2717" s="19"/>
      <c r="X2717" s="19"/>
      <c r="Y2717" s="19"/>
      <c r="Z2717" s="19"/>
    </row>
    <row r="2718">
      <c r="A2718" s="24"/>
      <c r="B2718" s="19"/>
      <c r="C2718" s="19"/>
      <c r="D2718" s="19"/>
      <c r="E2718" s="19"/>
      <c r="F2718" s="19"/>
      <c r="G2718" s="19"/>
      <c r="H2718" s="19"/>
      <c r="I2718" s="19"/>
      <c r="J2718" s="19"/>
      <c r="K2718" s="19"/>
      <c r="L2718" s="25"/>
      <c r="M2718" s="25"/>
      <c r="N2718" s="25"/>
      <c r="O2718" s="25"/>
      <c r="P2718" s="25"/>
      <c r="Q2718" s="19"/>
      <c r="R2718" s="19"/>
      <c r="S2718" s="19"/>
      <c r="T2718" s="19"/>
      <c r="U2718" s="25"/>
      <c r="V2718" s="19"/>
      <c r="W2718" s="19"/>
      <c r="X2718" s="19"/>
      <c r="Y2718" s="19"/>
      <c r="Z2718" s="19"/>
    </row>
    <row r="2719">
      <c r="A2719" s="24"/>
      <c r="B2719" s="19"/>
      <c r="C2719" s="19"/>
      <c r="D2719" s="19"/>
      <c r="E2719" s="19"/>
      <c r="F2719" s="19"/>
      <c r="G2719" s="19"/>
      <c r="H2719" s="19"/>
      <c r="I2719" s="19"/>
      <c r="J2719" s="19"/>
      <c r="K2719" s="19"/>
      <c r="L2719" s="25"/>
      <c r="M2719" s="25"/>
      <c r="N2719" s="25"/>
      <c r="O2719" s="25"/>
      <c r="P2719" s="25"/>
      <c r="Q2719" s="19"/>
      <c r="R2719" s="19"/>
      <c r="S2719" s="19"/>
      <c r="T2719" s="19"/>
      <c r="U2719" s="25"/>
      <c r="V2719" s="19"/>
      <c r="W2719" s="19"/>
      <c r="X2719" s="19"/>
      <c r="Y2719" s="19"/>
      <c r="Z2719" s="19"/>
    </row>
    <row r="2720">
      <c r="A2720" s="24"/>
      <c r="B2720" s="19"/>
      <c r="C2720" s="19"/>
      <c r="D2720" s="19"/>
      <c r="E2720" s="19"/>
      <c r="F2720" s="19"/>
      <c r="G2720" s="19"/>
      <c r="H2720" s="19"/>
      <c r="I2720" s="19"/>
      <c r="J2720" s="19"/>
      <c r="K2720" s="19"/>
      <c r="L2720" s="25"/>
      <c r="M2720" s="25"/>
      <c r="N2720" s="25"/>
      <c r="O2720" s="25"/>
      <c r="P2720" s="25"/>
      <c r="Q2720" s="19"/>
      <c r="R2720" s="19"/>
      <c r="S2720" s="19"/>
      <c r="T2720" s="19"/>
      <c r="U2720" s="25"/>
      <c r="V2720" s="19"/>
      <c r="W2720" s="19"/>
      <c r="X2720" s="19"/>
      <c r="Y2720" s="19"/>
      <c r="Z2720" s="19"/>
    </row>
    <row r="2721">
      <c r="A2721" s="24"/>
      <c r="B2721" s="19"/>
      <c r="C2721" s="19"/>
      <c r="D2721" s="19"/>
      <c r="E2721" s="19"/>
      <c r="F2721" s="19"/>
      <c r="G2721" s="19"/>
      <c r="H2721" s="19"/>
      <c r="I2721" s="19"/>
      <c r="J2721" s="19"/>
      <c r="K2721" s="19"/>
      <c r="L2721" s="25"/>
      <c r="M2721" s="25"/>
      <c r="N2721" s="25"/>
      <c r="O2721" s="25"/>
      <c r="P2721" s="25"/>
      <c r="Q2721" s="19"/>
      <c r="R2721" s="19"/>
      <c r="S2721" s="19"/>
      <c r="T2721" s="19"/>
      <c r="U2721" s="25"/>
      <c r="V2721" s="19"/>
      <c r="W2721" s="19"/>
      <c r="X2721" s="19"/>
      <c r="Y2721" s="19"/>
      <c r="Z2721" s="19"/>
    </row>
    <row r="2722">
      <c r="A2722" s="24"/>
      <c r="B2722" s="19"/>
      <c r="C2722" s="19"/>
      <c r="D2722" s="19"/>
      <c r="E2722" s="19"/>
      <c r="F2722" s="19"/>
      <c r="G2722" s="19"/>
      <c r="H2722" s="19"/>
      <c r="I2722" s="19"/>
      <c r="J2722" s="19"/>
      <c r="K2722" s="19"/>
      <c r="L2722" s="25"/>
      <c r="M2722" s="25"/>
      <c r="N2722" s="25"/>
      <c r="O2722" s="25"/>
      <c r="P2722" s="25"/>
      <c r="Q2722" s="19"/>
      <c r="R2722" s="19"/>
      <c r="S2722" s="19"/>
      <c r="T2722" s="19"/>
      <c r="U2722" s="25"/>
      <c r="V2722" s="19"/>
      <c r="W2722" s="19"/>
      <c r="X2722" s="19"/>
      <c r="Y2722" s="19"/>
      <c r="Z2722" s="19"/>
    </row>
    <row r="2723">
      <c r="A2723" s="24"/>
      <c r="B2723" s="19"/>
      <c r="C2723" s="19"/>
      <c r="D2723" s="19"/>
      <c r="E2723" s="19"/>
      <c r="F2723" s="19"/>
      <c r="G2723" s="19"/>
      <c r="H2723" s="19"/>
      <c r="I2723" s="19"/>
      <c r="J2723" s="19"/>
      <c r="K2723" s="19"/>
      <c r="L2723" s="25"/>
      <c r="M2723" s="25"/>
      <c r="N2723" s="25"/>
      <c r="O2723" s="25"/>
      <c r="P2723" s="25"/>
      <c r="Q2723" s="19"/>
      <c r="R2723" s="19"/>
      <c r="S2723" s="19"/>
      <c r="T2723" s="19"/>
      <c r="U2723" s="25"/>
      <c r="V2723" s="19"/>
      <c r="W2723" s="19"/>
      <c r="X2723" s="19"/>
      <c r="Y2723" s="19"/>
      <c r="Z2723" s="19"/>
    </row>
    <row r="2724">
      <c r="A2724" s="24"/>
      <c r="B2724" s="19"/>
      <c r="C2724" s="19"/>
      <c r="D2724" s="19"/>
      <c r="E2724" s="19"/>
      <c r="F2724" s="19"/>
      <c r="G2724" s="19"/>
      <c r="H2724" s="19"/>
      <c r="I2724" s="19"/>
      <c r="J2724" s="19"/>
      <c r="K2724" s="19"/>
      <c r="L2724" s="25"/>
      <c r="M2724" s="25"/>
      <c r="N2724" s="25"/>
      <c r="O2724" s="25"/>
      <c r="P2724" s="25"/>
      <c r="Q2724" s="19"/>
      <c r="R2724" s="19"/>
      <c r="S2724" s="19"/>
      <c r="T2724" s="19"/>
      <c r="U2724" s="25"/>
      <c r="V2724" s="19"/>
      <c r="W2724" s="19"/>
      <c r="X2724" s="19"/>
      <c r="Y2724" s="19"/>
      <c r="Z2724" s="19"/>
    </row>
    <row r="2725">
      <c r="A2725" s="24"/>
      <c r="B2725" s="19"/>
      <c r="C2725" s="19"/>
      <c r="D2725" s="19"/>
      <c r="E2725" s="19"/>
      <c r="F2725" s="19"/>
      <c r="G2725" s="19"/>
      <c r="H2725" s="19"/>
      <c r="I2725" s="19"/>
      <c r="J2725" s="19"/>
      <c r="K2725" s="19"/>
      <c r="L2725" s="25"/>
      <c r="M2725" s="25"/>
      <c r="N2725" s="25"/>
      <c r="O2725" s="25"/>
      <c r="P2725" s="25"/>
      <c r="Q2725" s="19"/>
      <c r="R2725" s="19"/>
      <c r="S2725" s="19"/>
      <c r="T2725" s="19"/>
      <c r="U2725" s="25"/>
      <c r="V2725" s="19"/>
      <c r="W2725" s="19"/>
      <c r="X2725" s="19"/>
      <c r="Y2725" s="19"/>
      <c r="Z2725" s="19"/>
    </row>
    <row r="2726">
      <c r="A2726" s="24"/>
      <c r="B2726" s="19"/>
      <c r="C2726" s="19"/>
      <c r="D2726" s="19"/>
      <c r="E2726" s="19"/>
      <c r="F2726" s="19"/>
      <c r="G2726" s="19"/>
      <c r="H2726" s="19"/>
      <c r="I2726" s="19"/>
      <c r="J2726" s="19"/>
      <c r="K2726" s="19"/>
      <c r="L2726" s="25"/>
      <c r="M2726" s="25"/>
      <c r="N2726" s="25"/>
      <c r="O2726" s="25"/>
      <c r="P2726" s="25"/>
      <c r="Q2726" s="19"/>
      <c r="R2726" s="19"/>
      <c r="S2726" s="19"/>
      <c r="T2726" s="19"/>
      <c r="U2726" s="25"/>
      <c r="V2726" s="19"/>
      <c r="W2726" s="19"/>
      <c r="X2726" s="19"/>
      <c r="Y2726" s="19"/>
      <c r="Z2726" s="19"/>
    </row>
    <row r="2727">
      <c r="A2727" s="24"/>
      <c r="B2727" s="19"/>
      <c r="C2727" s="19"/>
      <c r="D2727" s="19"/>
      <c r="E2727" s="19"/>
      <c r="F2727" s="19"/>
      <c r="G2727" s="19"/>
      <c r="H2727" s="19"/>
      <c r="I2727" s="19"/>
      <c r="J2727" s="19"/>
      <c r="K2727" s="19"/>
      <c r="L2727" s="25"/>
      <c r="M2727" s="25"/>
      <c r="N2727" s="25"/>
      <c r="O2727" s="25"/>
      <c r="P2727" s="25"/>
      <c r="Q2727" s="19"/>
      <c r="R2727" s="19"/>
      <c r="S2727" s="19"/>
      <c r="T2727" s="19"/>
      <c r="U2727" s="25"/>
      <c r="V2727" s="19"/>
      <c r="W2727" s="19"/>
      <c r="X2727" s="19"/>
      <c r="Y2727" s="19"/>
      <c r="Z2727" s="19"/>
    </row>
    <row r="2728">
      <c r="A2728" s="24"/>
      <c r="B2728" s="19"/>
      <c r="C2728" s="19"/>
      <c r="D2728" s="19"/>
      <c r="E2728" s="19"/>
      <c r="F2728" s="19"/>
      <c r="G2728" s="19"/>
      <c r="H2728" s="19"/>
      <c r="I2728" s="19"/>
      <c r="J2728" s="19"/>
      <c r="K2728" s="19"/>
      <c r="L2728" s="25"/>
      <c r="M2728" s="25"/>
      <c r="N2728" s="25"/>
      <c r="O2728" s="25"/>
      <c r="P2728" s="25"/>
      <c r="Q2728" s="19"/>
      <c r="R2728" s="19"/>
      <c r="S2728" s="19"/>
      <c r="T2728" s="19"/>
      <c r="U2728" s="25"/>
      <c r="V2728" s="19"/>
      <c r="W2728" s="19"/>
      <c r="X2728" s="19"/>
      <c r="Y2728" s="19"/>
      <c r="Z2728" s="19"/>
    </row>
    <row r="2729">
      <c r="A2729" s="24"/>
      <c r="B2729" s="19"/>
      <c r="C2729" s="19"/>
      <c r="D2729" s="19"/>
      <c r="E2729" s="19"/>
      <c r="F2729" s="19"/>
      <c r="G2729" s="19"/>
      <c r="H2729" s="19"/>
      <c r="I2729" s="19"/>
      <c r="J2729" s="19"/>
      <c r="K2729" s="19"/>
      <c r="L2729" s="25"/>
      <c r="M2729" s="25"/>
      <c r="N2729" s="25"/>
      <c r="O2729" s="25"/>
      <c r="P2729" s="25"/>
      <c r="Q2729" s="19"/>
      <c r="R2729" s="19"/>
      <c r="S2729" s="19"/>
      <c r="T2729" s="19"/>
      <c r="U2729" s="25"/>
      <c r="V2729" s="19"/>
      <c r="W2729" s="19"/>
      <c r="X2729" s="19"/>
      <c r="Y2729" s="19"/>
      <c r="Z2729" s="19"/>
    </row>
    <row r="2730">
      <c r="A2730" s="24"/>
      <c r="B2730" s="19"/>
      <c r="C2730" s="19"/>
      <c r="D2730" s="19"/>
      <c r="E2730" s="19"/>
      <c r="F2730" s="19"/>
      <c r="G2730" s="19"/>
      <c r="H2730" s="19"/>
      <c r="I2730" s="19"/>
      <c r="J2730" s="19"/>
      <c r="K2730" s="19"/>
      <c r="L2730" s="25"/>
      <c r="M2730" s="25"/>
      <c r="N2730" s="25"/>
      <c r="O2730" s="25"/>
      <c r="P2730" s="25"/>
      <c r="Q2730" s="19"/>
      <c r="R2730" s="19"/>
      <c r="S2730" s="19"/>
      <c r="T2730" s="19"/>
      <c r="U2730" s="25"/>
      <c r="V2730" s="19"/>
      <c r="W2730" s="19"/>
      <c r="X2730" s="19"/>
      <c r="Y2730" s="19"/>
      <c r="Z2730" s="19"/>
    </row>
    <row r="2731">
      <c r="A2731" s="24"/>
      <c r="B2731" s="19"/>
      <c r="C2731" s="19"/>
      <c r="D2731" s="19"/>
      <c r="E2731" s="19"/>
      <c r="F2731" s="19"/>
      <c r="G2731" s="19"/>
      <c r="H2731" s="19"/>
      <c r="I2731" s="19"/>
      <c r="J2731" s="19"/>
      <c r="K2731" s="19"/>
      <c r="L2731" s="25"/>
      <c r="M2731" s="25"/>
      <c r="N2731" s="25"/>
      <c r="O2731" s="25"/>
      <c r="P2731" s="25"/>
      <c r="Q2731" s="19"/>
      <c r="R2731" s="19"/>
      <c r="S2731" s="19"/>
      <c r="T2731" s="19"/>
      <c r="U2731" s="25"/>
      <c r="V2731" s="19"/>
      <c r="W2731" s="19"/>
      <c r="X2731" s="19"/>
      <c r="Y2731" s="19"/>
      <c r="Z2731" s="19"/>
    </row>
    <row r="2732">
      <c r="A2732" s="24"/>
      <c r="B2732" s="19"/>
      <c r="C2732" s="19"/>
      <c r="D2732" s="19"/>
      <c r="E2732" s="19"/>
      <c r="F2732" s="19"/>
      <c r="G2732" s="19"/>
      <c r="H2732" s="19"/>
      <c r="I2732" s="19"/>
      <c r="J2732" s="19"/>
      <c r="K2732" s="19"/>
      <c r="L2732" s="25"/>
      <c r="M2732" s="25"/>
      <c r="N2732" s="25"/>
      <c r="O2732" s="25"/>
      <c r="P2732" s="25"/>
      <c r="Q2732" s="19"/>
      <c r="R2732" s="19"/>
      <c r="S2732" s="19"/>
      <c r="T2732" s="19"/>
      <c r="U2732" s="25"/>
      <c r="V2732" s="19"/>
      <c r="W2732" s="19"/>
      <c r="X2732" s="19"/>
      <c r="Y2732" s="19"/>
      <c r="Z2732" s="19"/>
    </row>
    <row r="2733">
      <c r="A2733" s="24"/>
      <c r="B2733" s="19"/>
      <c r="C2733" s="19"/>
      <c r="D2733" s="19"/>
      <c r="E2733" s="19"/>
      <c r="F2733" s="19"/>
      <c r="G2733" s="19"/>
      <c r="H2733" s="19"/>
      <c r="I2733" s="19"/>
      <c r="J2733" s="19"/>
      <c r="K2733" s="19"/>
      <c r="L2733" s="25"/>
      <c r="M2733" s="25"/>
      <c r="N2733" s="25"/>
      <c r="O2733" s="25"/>
      <c r="P2733" s="25"/>
      <c r="Q2733" s="19"/>
      <c r="R2733" s="19"/>
      <c r="S2733" s="19"/>
      <c r="T2733" s="19"/>
      <c r="U2733" s="25"/>
      <c r="V2733" s="19"/>
      <c r="W2733" s="19"/>
      <c r="X2733" s="19"/>
      <c r="Y2733" s="19"/>
      <c r="Z2733" s="19"/>
    </row>
    <row r="2734">
      <c r="A2734" s="24"/>
      <c r="B2734" s="19"/>
      <c r="C2734" s="19"/>
      <c r="D2734" s="19"/>
      <c r="E2734" s="19"/>
      <c r="F2734" s="19"/>
      <c r="G2734" s="19"/>
      <c r="H2734" s="19"/>
      <c r="I2734" s="19"/>
      <c r="J2734" s="19"/>
      <c r="K2734" s="19"/>
      <c r="L2734" s="25"/>
      <c r="M2734" s="25"/>
      <c r="N2734" s="25"/>
      <c r="O2734" s="25"/>
      <c r="P2734" s="25"/>
      <c r="Q2734" s="19"/>
      <c r="R2734" s="19"/>
      <c r="S2734" s="19"/>
      <c r="T2734" s="19"/>
      <c r="U2734" s="25"/>
      <c r="V2734" s="19"/>
      <c r="W2734" s="19"/>
      <c r="X2734" s="19"/>
      <c r="Y2734" s="19"/>
      <c r="Z2734" s="19"/>
    </row>
    <row r="2735">
      <c r="A2735" s="24"/>
      <c r="B2735" s="19"/>
      <c r="C2735" s="19"/>
      <c r="D2735" s="19"/>
      <c r="E2735" s="19"/>
      <c r="F2735" s="19"/>
      <c r="G2735" s="19"/>
      <c r="H2735" s="19"/>
      <c r="I2735" s="19"/>
      <c r="J2735" s="19"/>
      <c r="K2735" s="19"/>
      <c r="L2735" s="25"/>
      <c r="M2735" s="25"/>
      <c r="N2735" s="25"/>
      <c r="O2735" s="25"/>
      <c r="P2735" s="25"/>
      <c r="Q2735" s="19"/>
      <c r="R2735" s="19"/>
      <c r="S2735" s="19"/>
      <c r="T2735" s="19"/>
      <c r="U2735" s="25"/>
      <c r="V2735" s="19"/>
      <c r="W2735" s="19"/>
      <c r="X2735" s="19"/>
      <c r="Y2735" s="19"/>
      <c r="Z2735" s="19"/>
    </row>
    <row r="2736">
      <c r="A2736" s="24"/>
      <c r="B2736" s="19"/>
      <c r="C2736" s="19"/>
      <c r="D2736" s="19"/>
      <c r="E2736" s="19"/>
      <c r="F2736" s="19"/>
      <c r="G2736" s="19"/>
      <c r="H2736" s="19"/>
      <c r="I2736" s="19"/>
      <c r="J2736" s="19"/>
      <c r="K2736" s="19"/>
      <c r="L2736" s="25"/>
      <c r="M2736" s="25"/>
      <c r="N2736" s="25"/>
      <c r="O2736" s="25"/>
      <c r="P2736" s="25"/>
      <c r="Q2736" s="19"/>
      <c r="R2736" s="19"/>
      <c r="S2736" s="19"/>
      <c r="T2736" s="19"/>
      <c r="U2736" s="25"/>
      <c r="V2736" s="19"/>
      <c r="W2736" s="19"/>
      <c r="X2736" s="19"/>
      <c r="Y2736" s="19"/>
      <c r="Z2736" s="19"/>
    </row>
    <row r="2737">
      <c r="A2737" s="24"/>
      <c r="B2737" s="19"/>
      <c r="C2737" s="19"/>
      <c r="D2737" s="19"/>
      <c r="E2737" s="19"/>
      <c r="F2737" s="19"/>
      <c r="G2737" s="19"/>
      <c r="H2737" s="19"/>
      <c r="I2737" s="19"/>
      <c r="J2737" s="19"/>
      <c r="K2737" s="19"/>
      <c r="L2737" s="25"/>
      <c r="M2737" s="25"/>
      <c r="N2737" s="25"/>
      <c r="O2737" s="25"/>
      <c r="P2737" s="25"/>
      <c r="Q2737" s="19"/>
      <c r="R2737" s="19"/>
      <c r="S2737" s="19"/>
      <c r="T2737" s="19"/>
      <c r="U2737" s="25"/>
      <c r="V2737" s="19"/>
      <c r="W2737" s="19"/>
      <c r="X2737" s="19"/>
      <c r="Y2737" s="19"/>
      <c r="Z2737" s="19"/>
    </row>
    <row r="2738">
      <c r="A2738" s="24"/>
      <c r="B2738" s="19"/>
      <c r="C2738" s="19"/>
      <c r="D2738" s="19"/>
      <c r="E2738" s="19"/>
      <c r="F2738" s="19"/>
      <c r="G2738" s="19"/>
      <c r="H2738" s="19"/>
      <c r="I2738" s="19"/>
      <c r="J2738" s="19"/>
      <c r="K2738" s="19"/>
      <c r="L2738" s="25"/>
      <c r="M2738" s="25"/>
      <c r="N2738" s="25"/>
      <c r="O2738" s="25"/>
      <c r="P2738" s="25"/>
      <c r="Q2738" s="19"/>
      <c r="R2738" s="19"/>
      <c r="S2738" s="19"/>
      <c r="T2738" s="19"/>
      <c r="U2738" s="25"/>
      <c r="V2738" s="19"/>
      <c r="W2738" s="19"/>
      <c r="X2738" s="19"/>
      <c r="Y2738" s="19"/>
      <c r="Z2738" s="19"/>
    </row>
    <row r="2739">
      <c r="A2739" s="24"/>
      <c r="B2739" s="19"/>
      <c r="C2739" s="19"/>
      <c r="D2739" s="19"/>
      <c r="E2739" s="19"/>
      <c r="F2739" s="19"/>
      <c r="G2739" s="19"/>
      <c r="H2739" s="19"/>
      <c r="I2739" s="19"/>
      <c r="J2739" s="19"/>
      <c r="K2739" s="19"/>
      <c r="L2739" s="25"/>
      <c r="M2739" s="25"/>
      <c r="N2739" s="25"/>
      <c r="O2739" s="25"/>
      <c r="P2739" s="25"/>
      <c r="Q2739" s="19"/>
      <c r="R2739" s="19"/>
      <c r="S2739" s="19"/>
      <c r="T2739" s="19"/>
      <c r="U2739" s="25"/>
      <c r="V2739" s="19"/>
      <c r="W2739" s="19"/>
      <c r="X2739" s="19"/>
      <c r="Y2739" s="19"/>
      <c r="Z2739" s="19"/>
    </row>
    <row r="2740">
      <c r="A2740" s="24"/>
      <c r="B2740" s="19"/>
      <c r="C2740" s="19"/>
      <c r="D2740" s="19"/>
      <c r="E2740" s="19"/>
      <c r="F2740" s="19"/>
      <c r="G2740" s="19"/>
      <c r="H2740" s="19"/>
      <c r="I2740" s="19"/>
      <c r="J2740" s="19"/>
      <c r="K2740" s="19"/>
      <c r="L2740" s="25"/>
      <c r="M2740" s="25"/>
      <c r="N2740" s="25"/>
      <c r="O2740" s="25"/>
      <c r="P2740" s="25"/>
      <c r="Q2740" s="19"/>
      <c r="R2740" s="19"/>
      <c r="S2740" s="19"/>
      <c r="T2740" s="19"/>
      <c r="U2740" s="25"/>
      <c r="V2740" s="19"/>
      <c r="W2740" s="19"/>
      <c r="X2740" s="19"/>
      <c r="Y2740" s="19"/>
      <c r="Z2740" s="19"/>
    </row>
    <row r="2741">
      <c r="A2741" s="24"/>
      <c r="B2741" s="19"/>
      <c r="C2741" s="19"/>
      <c r="D2741" s="19"/>
      <c r="E2741" s="19"/>
      <c r="F2741" s="19"/>
      <c r="G2741" s="19"/>
      <c r="H2741" s="19"/>
      <c r="I2741" s="19"/>
      <c r="J2741" s="19"/>
      <c r="K2741" s="19"/>
      <c r="L2741" s="25"/>
      <c r="M2741" s="25"/>
      <c r="N2741" s="25"/>
      <c r="O2741" s="25"/>
      <c r="P2741" s="25"/>
      <c r="Q2741" s="19"/>
      <c r="R2741" s="19"/>
      <c r="S2741" s="19"/>
      <c r="T2741" s="19"/>
      <c r="U2741" s="25"/>
      <c r="V2741" s="19"/>
      <c r="W2741" s="19"/>
      <c r="X2741" s="19"/>
      <c r="Y2741" s="19"/>
      <c r="Z2741" s="19"/>
    </row>
    <row r="2742">
      <c r="A2742" s="24"/>
      <c r="B2742" s="19"/>
      <c r="C2742" s="19"/>
      <c r="D2742" s="19"/>
      <c r="E2742" s="19"/>
      <c r="F2742" s="19"/>
      <c r="G2742" s="19"/>
      <c r="H2742" s="19"/>
      <c r="I2742" s="19"/>
      <c r="J2742" s="19"/>
      <c r="K2742" s="19"/>
      <c r="L2742" s="25"/>
      <c r="M2742" s="25"/>
      <c r="N2742" s="25"/>
      <c r="O2742" s="25"/>
      <c r="P2742" s="25"/>
      <c r="Q2742" s="19"/>
      <c r="R2742" s="19"/>
      <c r="S2742" s="19"/>
      <c r="T2742" s="19"/>
      <c r="U2742" s="25"/>
      <c r="V2742" s="19"/>
      <c r="W2742" s="19"/>
      <c r="X2742" s="19"/>
      <c r="Y2742" s="19"/>
      <c r="Z2742" s="19"/>
    </row>
    <row r="2743">
      <c r="A2743" s="24"/>
      <c r="B2743" s="19"/>
      <c r="C2743" s="19"/>
      <c r="D2743" s="19"/>
      <c r="E2743" s="19"/>
      <c r="F2743" s="19"/>
      <c r="G2743" s="19"/>
      <c r="H2743" s="19"/>
      <c r="I2743" s="19"/>
      <c r="J2743" s="19"/>
      <c r="K2743" s="19"/>
      <c r="L2743" s="25"/>
      <c r="M2743" s="25"/>
      <c r="N2743" s="25"/>
      <c r="O2743" s="25"/>
      <c r="P2743" s="25"/>
      <c r="Q2743" s="19"/>
      <c r="R2743" s="19"/>
      <c r="S2743" s="19"/>
      <c r="T2743" s="19"/>
      <c r="U2743" s="25"/>
      <c r="V2743" s="19"/>
      <c r="W2743" s="19"/>
      <c r="X2743" s="19"/>
      <c r="Y2743" s="19"/>
      <c r="Z2743" s="19"/>
    </row>
    <row r="2744">
      <c r="A2744" s="24"/>
      <c r="B2744" s="19"/>
      <c r="C2744" s="19"/>
      <c r="D2744" s="19"/>
      <c r="E2744" s="19"/>
      <c r="F2744" s="19"/>
      <c r="G2744" s="19"/>
      <c r="H2744" s="19"/>
      <c r="I2744" s="19"/>
      <c r="J2744" s="19"/>
      <c r="K2744" s="19"/>
      <c r="L2744" s="25"/>
      <c r="M2744" s="25"/>
      <c r="N2744" s="25"/>
      <c r="O2744" s="25"/>
      <c r="P2744" s="25"/>
      <c r="Q2744" s="19"/>
      <c r="R2744" s="19"/>
      <c r="S2744" s="19"/>
      <c r="T2744" s="19"/>
      <c r="U2744" s="25"/>
      <c r="V2744" s="19"/>
      <c r="W2744" s="19"/>
      <c r="X2744" s="19"/>
      <c r="Y2744" s="19"/>
      <c r="Z2744" s="19"/>
    </row>
    <row r="2745">
      <c r="A2745" s="24"/>
      <c r="B2745" s="19"/>
      <c r="C2745" s="19"/>
      <c r="D2745" s="19"/>
      <c r="E2745" s="19"/>
      <c r="F2745" s="19"/>
      <c r="G2745" s="19"/>
      <c r="H2745" s="19"/>
      <c r="I2745" s="19"/>
      <c r="J2745" s="19"/>
      <c r="K2745" s="19"/>
      <c r="L2745" s="25"/>
      <c r="M2745" s="25"/>
      <c r="N2745" s="25"/>
      <c r="O2745" s="25"/>
      <c r="P2745" s="25"/>
      <c r="Q2745" s="19"/>
      <c r="R2745" s="19"/>
      <c r="S2745" s="19"/>
      <c r="T2745" s="19"/>
      <c r="U2745" s="25"/>
      <c r="V2745" s="19"/>
      <c r="W2745" s="19"/>
      <c r="X2745" s="19"/>
      <c r="Y2745" s="19"/>
      <c r="Z2745" s="19"/>
    </row>
    <row r="2746">
      <c r="A2746" s="24"/>
      <c r="B2746" s="19"/>
      <c r="C2746" s="19"/>
      <c r="D2746" s="19"/>
      <c r="E2746" s="19"/>
      <c r="F2746" s="19"/>
      <c r="G2746" s="19"/>
      <c r="H2746" s="19"/>
      <c r="I2746" s="19"/>
      <c r="J2746" s="19"/>
      <c r="K2746" s="19"/>
      <c r="L2746" s="25"/>
      <c r="M2746" s="25"/>
      <c r="N2746" s="25"/>
      <c r="O2746" s="25"/>
      <c r="P2746" s="25"/>
      <c r="Q2746" s="19"/>
      <c r="R2746" s="19"/>
      <c r="S2746" s="19"/>
      <c r="T2746" s="19"/>
      <c r="U2746" s="25"/>
      <c r="V2746" s="19"/>
      <c r="W2746" s="19"/>
      <c r="X2746" s="19"/>
      <c r="Y2746" s="19"/>
      <c r="Z2746" s="19"/>
    </row>
    <row r="2747">
      <c r="A2747" s="24"/>
      <c r="B2747" s="19"/>
      <c r="C2747" s="19"/>
      <c r="D2747" s="19"/>
      <c r="E2747" s="19"/>
      <c r="F2747" s="19"/>
      <c r="G2747" s="19"/>
      <c r="H2747" s="19"/>
      <c r="I2747" s="19"/>
      <c r="J2747" s="19"/>
      <c r="K2747" s="19"/>
      <c r="L2747" s="25"/>
      <c r="M2747" s="25"/>
      <c r="N2747" s="25"/>
      <c r="O2747" s="25"/>
      <c r="P2747" s="25"/>
      <c r="Q2747" s="19"/>
      <c r="R2747" s="19"/>
      <c r="S2747" s="19"/>
      <c r="T2747" s="19"/>
      <c r="U2747" s="25"/>
      <c r="V2747" s="19"/>
      <c r="W2747" s="19"/>
      <c r="X2747" s="19"/>
      <c r="Y2747" s="19"/>
      <c r="Z2747" s="19"/>
    </row>
    <row r="2748">
      <c r="A2748" s="24"/>
      <c r="B2748" s="19"/>
      <c r="C2748" s="19"/>
      <c r="D2748" s="19"/>
      <c r="E2748" s="19"/>
      <c r="F2748" s="19"/>
      <c r="G2748" s="19"/>
      <c r="H2748" s="19"/>
      <c r="I2748" s="19"/>
      <c r="J2748" s="19"/>
      <c r="K2748" s="19"/>
      <c r="L2748" s="25"/>
      <c r="M2748" s="25"/>
      <c r="N2748" s="25"/>
      <c r="O2748" s="25"/>
      <c r="P2748" s="25"/>
      <c r="Q2748" s="19"/>
      <c r="R2748" s="19"/>
      <c r="S2748" s="19"/>
      <c r="T2748" s="19"/>
      <c r="U2748" s="25"/>
      <c r="V2748" s="19"/>
      <c r="W2748" s="19"/>
      <c r="X2748" s="19"/>
      <c r="Y2748" s="19"/>
      <c r="Z2748" s="19"/>
    </row>
    <row r="2749">
      <c r="A2749" s="24"/>
      <c r="B2749" s="19"/>
      <c r="C2749" s="19"/>
      <c r="D2749" s="19"/>
      <c r="E2749" s="19"/>
      <c r="F2749" s="19"/>
      <c r="G2749" s="19"/>
      <c r="H2749" s="19"/>
      <c r="I2749" s="19"/>
      <c r="J2749" s="19"/>
      <c r="K2749" s="19"/>
      <c r="L2749" s="25"/>
      <c r="M2749" s="25"/>
      <c r="N2749" s="25"/>
      <c r="O2749" s="25"/>
      <c r="P2749" s="25"/>
      <c r="Q2749" s="19"/>
      <c r="R2749" s="19"/>
      <c r="S2749" s="19"/>
      <c r="T2749" s="19"/>
      <c r="U2749" s="25"/>
      <c r="V2749" s="19"/>
      <c r="W2749" s="19"/>
      <c r="X2749" s="19"/>
      <c r="Y2749" s="19"/>
      <c r="Z2749" s="19"/>
    </row>
    <row r="2750">
      <c r="A2750" s="24"/>
      <c r="B2750" s="19"/>
      <c r="C2750" s="19"/>
      <c r="D2750" s="19"/>
      <c r="E2750" s="19"/>
      <c r="F2750" s="19"/>
      <c r="G2750" s="19"/>
      <c r="H2750" s="19"/>
      <c r="I2750" s="19"/>
      <c r="J2750" s="19"/>
      <c r="K2750" s="19"/>
      <c r="L2750" s="25"/>
      <c r="M2750" s="25"/>
      <c r="N2750" s="25"/>
      <c r="O2750" s="25"/>
      <c r="P2750" s="25"/>
      <c r="Q2750" s="19"/>
      <c r="R2750" s="19"/>
      <c r="S2750" s="19"/>
      <c r="T2750" s="19"/>
      <c r="U2750" s="25"/>
      <c r="V2750" s="19"/>
      <c r="W2750" s="19"/>
      <c r="X2750" s="19"/>
      <c r="Y2750" s="19"/>
      <c r="Z2750" s="19"/>
    </row>
    <row r="2751">
      <c r="A2751" s="24"/>
      <c r="B2751" s="19"/>
      <c r="C2751" s="19"/>
      <c r="D2751" s="19"/>
      <c r="E2751" s="19"/>
      <c r="F2751" s="19"/>
      <c r="G2751" s="19"/>
      <c r="H2751" s="19"/>
      <c r="I2751" s="19"/>
      <c r="J2751" s="19"/>
      <c r="K2751" s="19"/>
      <c r="L2751" s="25"/>
      <c r="M2751" s="25"/>
      <c r="N2751" s="25"/>
      <c r="O2751" s="25"/>
      <c r="P2751" s="25"/>
      <c r="Q2751" s="19"/>
      <c r="R2751" s="19"/>
      <c r="S2751" s="19"/>
      <c r="T2751" s="19"/>
      <c r="U2751" s="25"/>
      <c r="V2751" s="19"/>
      <c r="W2751" s="19"/>
      <c r="X2751" s="19"/>
      <c r="Y2751" s="19"/>
      <c r="Z2751" s="19"/>
    </row>
    <row r="2752">
      <c r="A2752" s="24"/>
      <c r="B2752" s="19"/>
      <c r="C2752" s="19"/>
      <c r="D2752" s="19"/>
      <c r="E2752" s="19"/>
      <c r="F2752" s="19"/>
      <c r="G2752" s="19"/>
      <c r="H2752" s="19"/>
      <c r="I2752" s="19"/>
      <c r="J2752" s="19"/>
      <c r="K2752" s="19"/>
      <c r="L2752" s="25"/>
      <c r="M2752" s="25"/>
      <c r="N2752" s="25"/>
      <c r="O2752" s="25"/>
      <c r="P2752" s="25"/>
      <c r="Q2752" s="19"/>
      <c r="R2752" s="19"/>
      <c r="S2752" s="19"/>
      <c r="T2752" s="19"/>
      <c r="U2752" s="25"/>
      <c r="V2752" s="19"/>
      <c r="W2752" s="19"/>
      <c r="X2752" s="19"/>
      <c r="Y2752" s="19"/>
      <c r="Z2752" s="19"/>
    </row>
    <row r="2753">
      <c r="A2753" s="24"/>
      <c r="B2753" s="19"/>
      <c r="C2753" s="19"/>
      <c r="D2753" s="19"/>
      <c r="E2753" s="19"/>
      <c r="F2753" s="19"/>
      <c r="G2753" s="19"/>
      <c r="H2753" s="19"/>
      <c r="I2753" s="19"/>
      <c r="J2753" s="19"/>
      <c r="K2753" s="19"/>
      <c r="L2753" s="25"/>
      <c r="M2753" s="25"/>
      <c r="N2753" s="25"/>
      <c r="O2753" s="25"/>
      <c r="P2753" s="25"/>
      <c r="Q2753" s="19"/>
      <c r="R2753" s="19"/>
      <c r="S2753" s="19"/>
      <c r="T2753" s="19"/>
      <c r="U2753" s="25"/>
      <c r="V2753" s="19"/>
      <c r="W2753" s="19"/>
      <c r="X2753" s="19"/>
      <c r="Y2753" s="19"/>
      <c r="Z2753" s="19"/>
    </row>
    <row r="2754">
      <c r="A2754" s="24"/>
      <c r="B2754" s="19"/>
      <c r="C2754" s="19"/>
      <c r="D2754" s="19"/>
      <c r="E2754" s="19"/>
      <c r="F2754" s="19"/>
      <c r="G2754" s="19"/>
      <c r="H2754" s="19"/>
      <c r="I2754" s="19"/>
      <c r="J2754" s="19"/>
      <c r="K2754" s="19"/>
      <c r="L2754" s="25"/>
      <c r="M2754" s="25"/>
      <c r="N2754" s="25"/>
      <c r="O2754" s="25"/>
      <c r="P2754" s="25"/>
      <c r="Q2754" s="19"/>
      <c r="R2754" s="19"/>
      <c r="S2754" s="19"/>
      <c r="T2754" s="19"/>
      <c r="U2754" s="25"/>
      <c r="V2754" s="19"/>
      <c r="W2754" s="19"/>
      <c r="X2754" s="19"/>
      <c r="Y2754" s="19"/>
      <c r="Z2754" s="19"/>
    </row>
    <row r="2755">
      <c r="A2755" s="24"/>
      <c r="B2755" s="19"/>
      <c r="C2755" s="19"/>
      <c r="D2755" s="19"/>
      <c r="E2755" s="19"/>
      <c r="F2755" s="19"/>
      <c r="G2755" s="19"/>
      <c r="H2755" s="19"/>
      <c r="I2755" s="19"/>
      <c r="J2755" s="19"/>
      <c r="K2755" s="19"/>
      <c r="L2755" s="25"/>
      <c r="M2755" s="25"/>
      <c r="N2755" s="25"/>
      <c r="O2755" s="25"/>
      <c r="P2755" s="25"/>
      <c r="Q2755" s="19"/>
      <c r="R2755" s="19"/>
      <c r="S2755" s="19"/>
      <c r="T2755" s="19"/>
      <c r="U2755" s="25"/>
      <c r="V2755" s="19"/>
      <c r="W2755" s="19"/>
      <c r="X2755" s="19"/>
      <c r="Y2755" s="19"/>
      <c r="Z2755" s="19"/>
    </row>
    <row r="2756">
      <c r="A2756" s="24"/>
      <c r="B2756" s="19"/>
      <c r="C2756" s="19"/>
      <c r="D2756" s="19"/>
      <c r="E2756" s="19"/>
      <c r="F2756" s="19"/>
      <c r="G2756" s="19"/>
      <c r="H2756" s="19"/>
      <c r="I2756" s="19"/>
      <c r="J2756" s="19"/>
      <c r="K2756" s="19"/>
      <c r="L2756" s="25"/>
      <c r="M2756" s="25"/>
      <c r="N2756" s="25"/>
      <c r="O2756" s="25"/>
      <c r="P2756" s="25"/>
      <c r="Q2756" s="19"/>
      <c r="R2756" s="19"/>
      <c r="S2756" s="19"/>
      <c r="T2756" s="19"/>
      <c r="U2756" s="25"/>
      <c r="V2756" s="19"/>
      <c r="W2756" s="19"/>
      <c r="X2756" s="19"/>
      <c r="Y2756" s="19"/>
      <c r="Z2756" s="19"/>
    </row>
    <row r="2757">
      <c r="A2757" s="24"/>
      <c r="B2757" s="19"/>
      <c r="C2757" s="19"/>
      <c r="D2757" s="19"/>
      <c r="E2757" s="19"/>
      <c r="F2757" s="19"/>
      <c r="G2757" s="19"/>
      <c r="H2757" s="19"/>
      <c r="I2757" s="19"/>
      <c r="J2757" s="19"/>
      <c r="K2757" s="19"/>
      <c r="L2757" s="25"/>
      <c r="M2757" s="25"/>
      <c r="N2757" s="25"/>
      <c r="O2757" s="25"/>
      <c r="P2757" s="25"/>
      <c r="Q2757" s="19"/>
      <c r="R2757" s="19"/>
      <c r="S2757" s="19"/>
      <c r="T2757" s="19"/>
      <c r="U2757" s="25"/>
      <c r="V2757" s="19"/>
      <c r="W2757" s="19"/>
      <c r="X2757" s="19"/>
      <c r="Y2757" s="19"/>
      <c r="Z2757" s="19"/>
    </row>
    <row r="2758">
      <c r="A2758" s="24"/>
      <c r="B2758" s="19"/>
      <c r="C2758" s="19"/>
      <c r="D2758" s="19"/>
      <c r="E2758" s="19"/>
      <c r="F2758" s="19"/>
      <c r="G2758" s="19"/>
      <c r="H2758" s="19"/>
      <c r="I2758" s="19"/>
      <c r="J2758" s="19"/>
      <c r="K2758" s="19"/>
      <c r="L2758" s="25"/>
      <c r="M2758" s="25"/>
      <c r="N2758" s="25"/>
      <c r="O2758" s="25"/>
      <c r="P2758" s="25"/>
      <c r="Q2758" s="19"/>
      <c r="R2758" s="19"/>
      <c r="S2758" s="19"/>
      <c r="T2758" s="19"/>
      <c r="U2758" s="25"/>
      <c r="V2758" s="19"/>
      <c r="W2758" s="19"/>
      <c r="X2758" s="19"/>
      <c r="Y2758" s="19"/>
      <c r="Z2758" s="19"/>
    </row>
    <row r="2759">
      <c r="A2759" s="24"/>
      <c r="B2759" s="19"/>
      <c r="C2759" s="19"/>
      <c r="D2759" s="19"/>
      <c r="E2759" s="19"/>
      <c r="F2759" s="19"/>
      <c r="G2759" s="19"/>
      <c r="H2759" s="19"/>
      <c r="I2759" s="19"/>
      <c r="J2759" s="19"/>
      <c r="K2759" s="19"/>
      <c r="L2759" s="25"/>
      <c r="M2759" s="25"/>
      <c r="N2759" s="25"/>
      <c r="O2759" s="25"/>
      <c r="P2759" s="25"/>
      <c r="Q2759" s="19"/>
      <c r="R2759" s="19"/>
      <c r="S2759" s="19"/>
      <c r="T2759" s="19"/>
      <c r="U2759" s="25"/>
      <c r="V2759" s="19"/>
      <c r="W2759" s="19"/>
      <c r="X2759" s="19"/>
      <c r="Y2759" s="19"/>
      <c r="Z2759" s="19"/>
    </row>
    <row r="2760">
      <c r="A2760" s="24"/>
      <c r="B2760" s="19"/>
      <c r="C2760" s="19"/>
      <c r="D2760" s="19"/>
      <c r="E2760" s="19"/>
      <c r="F2760" s="19"/>
      <c r="G2760" s="19"/>
      <c r="H2760" s="19"/>
      <c r="I2760" s="19"/>
      <c r="J2760" s="19"/>
      <c r="K2760" s="19"/>
      <c r="L2760" s="25"/>
      <c r="M2760" s="25"/>
      <c r="N2760" s="25"/>
      <c r="O2760" s="25"/>
      <c r="P2760" s="25"/>
      <c r="Q2760" s="19"/>
      <c r="R2760" s="19"/>
      <c r="S2760" s="19"/>
      <c r="T2760" s="19"/>
      <c r="U2760" s="25"/>
      <c r="V2760" s="19"/>
      <c r="W2760" s="19"/>
      <c r="X2760" s="19"/>
      <c r="Y2760" s="19"/>
      <c r="Z2760" s="19"/>
    </row>
    <row r="2761">
      <c r="A2761" s="24"/>
      <c r="B2761" s="19"/>
      <c r="C2761" s="19"/>
      <c r="D2761" s="19"/>
      <c r="E2761" s="19"/>
      <c r="F2761" s="19"/>
      <c r="G2761" s="19"/>
      <c r="H2761" s="19"/>
      <c r="I2761" s="19"/>
      <c r="J2761" s="19"/>
      <c r="K2761" s="19"/>
      <c r="L2761" s="25"/>
      <c r="M2761" s="25"/>
      <c r="N2761" s="25"/>
      <c r="O2761" s="25"/>
      <c r="P2761" s="25"/>
      <c r="Q2761" s="19"/>
      <c r="R2761" s="19"/>
      <c r="S2761" s="19"/>
      <c r="T2761" s="19"/>
      <c r="U2761" s="25"/>
      <c r="V2761" s="19"/>
      <c r="W2761" s="19"/>
      <c r="X2761" s="19"/>
      <c r="Y2761" s="19"/>
      <c r="Z2761" s="19"/>
    </row>
    <row r="2762">
      <c r="A2762" s="24"/>
      <c r="B2762" s="19"/>
      <c r="C2762" s="19"/>
      <c r="D2762" s="19"/>
      <c r="E2762" s="19"/>
      <c r="F2762" s="19"/>
      <c r="G2762" s="19"/>
      <c r="H2762" s="19"/>
      <c r="I2762" s="19"/>
      <c r="J2762" s="19"/>
      <c r="K2762" s="19"/>
      <c r="L2762" s="25"/>
      <c r="M2762" s="25"/>
      <c r="N2762" s="25"/>
      <c r="O2762" s="25"/>
      <c r="P2762" s="25"/>
      <c r="Q2762" s="19"/>
      <c r="R2762" s="19"/>
      <c r="S2762" s="19"/>
      <c r="T2762" s="19"/>
      <c r="U2762" s="25"/>
      <c r="V2762" s="19"/>
      <c r="W2762" s="19"/>
      <c r="X2762" s="19"/>
      <c r="Y2762" s="19"/>
      <c r="Z2762" s="19"/>
    </row>
    <row r="2763">
      <c r="A2763" s="24"/>
      <c r="B2763" s="19"/>
      <c r="C2763" s="19"/>
      <c r="D2763" s="19"/>
      <c r="E2763" s="19"/>
      <c r="F2763" s="19"/>
      <c r="G2763" s="19"/>
      <c r="H2763" s="19"/>
      <c r="I2763" s="19"/>
      <c r="J2763" s="19"/>
      <c r="K2763" s="19"/>
      <c r="L2763" s="25"/>
      <c r="M2763" s="25"/>
      <c r="N2763" s="25"/>
      <c r="O2763" s="25"/>
      <c r="P2763" s="25"/>
      <c r="Q2763" s="19"/>
      <c r="R2763" s="19"/>
      <c r="S2763" s="19"/>
      <c r="T2763" s="19"/>
      <c r="U2763" s="25"/>
      <c r="V2763" s="19"/>
      <c r="W2763" s="19"/>
      <c r="X2763" s="19"/>
      <c r="Y2763" s="19"/>
      <c r="Z2763" s="19"/>
    </row>
    <row r="2764">
      <c r="A2764" s="24"/>
      <c r="B2764" s="19"/>
      <c r="C2764" s="19"/>
      <c r="D2764" s="19"/>
      <c r="E2764" s="19"/>
      <c r="F2764" s="19"/>
      <c r="G2764" s="19"/>
      <c r="H2764" s="19"/>
      <c r="I2764" s="19"/>
      <c r="J2764" s="19"/>
      <c r="K2764" s="19"/>
      <c r="L2764" s="25"/>
      <c r="M2764" s="25"/>
      <c r="N2764" s="25"/>
      <c r="O2764" s="25"/>
      <c r="P2764" s="25"/>
      <c r="Q2764" s="19"/>
      <c r="R2764" s="19"/>
      <c r="S2764" s="19"/>
      <c r="T2764" s="19"/>
      <c r="U2764" s="25"/>
      <c r="V2764" s="19"/>
      <c r="W2764" s="19"/>
      <c r="X2764" s="19"/>
      <c r="Y2764" s="19"/>
      <c r="Z2764" s="19"/>
    </row>
    <row r="2765">
      <c r="A2765" s="24"/>
      <c r="B2765" s="19"/>
      <c r="C2765" s="19"/>
      <c r="D2765" s="19"/>
      <c r="E2765" s="19"/>
      <c r="F2765" s="19"/>
      <c r="G2765" s="19"/>
      <c r="H2765" s="19"/>
      <c r="I2765" s="19"/>
      <c r="J2765" s="19"/>
      <c r="K2765" s="19"/>
      <c r="L2765" s="25"/>
      <c r="M2765" s="25"/>
      <c r="N2765" s="25"/>
      <c r="O2765" s="25"/>
      <c r="P2765" s="25"/>
      <c r="Q2765" s="19"/>
      <c r="R2765" s="19"/>
      <c r="S2765" s="19"/>
      <c r="T2765" s="19"/>
      <c r="U2765" s="25"/>
      <c r="V2765" s="19"/>
      <c r="W2765" s="19"/>
      <c r="X2765" s="19"/>
      <c r="Y2765" s="19"/>
      <c r="Z2765" s="19"/>
    </row>
    <row r="2766">
      <c r="A2766" s="24"/>
      <c r="B2766" s="19"/>
      <c r="C2766" s="19"/>
      <c r="D2766" s="19"/>
      <c r="E2766" s="19"/>
      <c r="F2766" s="19"/>
      <c r="G2766" s="19"/>
      <c r="H2766" s="19"/>
      <c r="I2766" s="19"/>
      <c r="J2766" s="19"/>
      <c r="K2766" s="19"/>
      <c r="L2766" s="25"/>
      <c r="M2766" s="25"/>
      <c r="N2766" s="25"/>
      <c r="O2766" s="25"/>
      <c r="P2766" s="25"/>
      <c r="Q2766" s="19"/>
      <c r="R2766" s="19"/>
      <c r="S2766" s="19"/>
      <c r="T2766" s="19"/>
      <c r="U2766" s="25"/>
      <c r="V2766" s="19"/>
      <c r="W2766" s="19"/>
      <c r="X2766" s="19"/>
      <c r="Y2766" s="19"/>
      <c r="Z2766" s="19"/>
    </row>
    <row r="2767">
      <c r="A2767" s="24"/>
      <c r="B2767" s="19"/>
      <c r="C2767" s="19"/>
      <c r="D2767" s="19"/>
      <c r="E2767" s="19"/>
      <c r="F2767" s="19"/>
      <c r="G2767" s="19"/>
      <c r="H2767" s="19"/>
      <c r="I2767" s="19"/>
      <c r="J2767" s="19"/>
      <c r="K2767" s="19"/>
      <c r="L2767" s="25"/>
      <c r="M2767" s="25"/>
      <c r="N2767" s="25"/>
      <c r="O2767" s="25"/>
      <c r="P2767" s="25"/>
      <c r="Q2767" s="19"/>
      <c r="R2767" s="19"/>
      <c r="S2767" s="19"/>
      <c r="T2767" s="19"/>
      <c r="U2767" s="25"/>
      <c r="V2767" s="19"/>
      <c r="W2767" s="19"/>
      <c r="X2767" s="19"/>
      <c r="Y2767" s="19"/>
      <c r="Z2767" s="19"/>
    </row>
    <row r="2768">
      <c r="A2768" s="24"/>
      <c r="B2768" s="19"/>
      <c r="C2768" s="19"/>
      <c r="D2768" s="19"/>
      <c r="E2768" s="19"/>
      <c r="F2768" s="19"/>
      <c r="G2768" s="19"/>
      <c r="H2768" s="19"/>
      <c r="I2768" s="19"/>
      <c r="J2768" s="19"/>
      <c r="K2768" s="19"/>
      <c r="L2768" s="25"/>
      <c r="M2768" s="25"/>
      <c r="N2768" s="25"/>
      <c r="O2768" s="25"/>
      <c r="P2768" s="25"/>
      <c r="Q2768" s="19"/>
      <c r="R2768" s="19"/>
      <c r="S2768" s="19"/>
      <c r="T2768" s="19"/>
      <c r="U2768" s="25"/>
      <c r="V2768" s="19"/>
      <c r="W2768" s="19"/>
      <c r="X2768" s="19"/>
      <c r="Y2768" s="19"/>
      <c r="Z2768" s="19"/>
    </row>
    <row r="2769">
      <c r="A2769" s="24"/>
      <c r="B2769" s="19"/>
      <c r="C2769" s="19"/>
      <c r="D2769" s="19"/>
      <c r="E2769" s="19"/>
      <c r="F2769" s="19"/>
      <c r="G2769" s="19"/>
      <c r="H2769" s="19"/>
      <c r="I2769" s="19"/>
      <c r="J2769" s="19"/>
      <c r="K2769" s="19"/>
      <c r="L2769" s="25"/>
      <c r="M2769" s="25"/>
      <c r="N2769" s="25"/>
      <c r="O2769" s="25"/>
      <c r="P2769" s="25"/>
      <c r="Q2769" s="19"/>
      <c r="R2769" s="19"/>
      <c r="S2769" s="19"/>
      <c r="T2769" s="19"/>
      <c r="U2769" s="25"/>
      <c r="V2769" s="19"/>
      <c r="W2769" s="19"/>
      <c r="X2769" s="19"/>
      <c r="Y2769" s="19"/>
      <c r="Z2769" s="19"/>
    </row>
    <row r="2770">
      <c r="A2770" s="24"/>
      <c r="B2770" s="19"/>
      <c r="C2770" s="19"/>
      <c r="D2770" s="19"/>
      <c r="E2770" s="19"/>
      <c r="F2770" s="19"/>
      <c r="G2770" s="19"/>
      <c r="H2770" s="19"/>
      <c r="I2770" s="19"/>
      <c r="J2770" s="19"/>
      <c r="K2770" s="19"/>
      <c r="L2770" s="25"/>
      <c r="M2770" s="25"/>
      <c r="N2770" s="25"/>
      <c r="O2770" s="25"/>
      <c r="P2770" s="25"/>
      <c r="Q2770" s="19"/>
      <c r="R2770" s="19"/>
      <c r="S2770" s="19"/>
      <c r="T2770" s="19"/>
      <c r="U2770" s="25"/>
      <c r="V2770" s="19"/>
      <c r="W2770" s="19"/>
      <c r="X2770" s="19"/>
      <c r="Y2770" s="19"/>
      <c r="Z2770" s="19"/>
    </row>
    <row r="2771">
      <c r="A2771" s="24"/>
      <c r="B2771" s="19"/>
      <c r="C2771" s="19"/>
      <c r="D2771" s="19"/>
      <c r="E2771" s="19"/>
      <c r="F2771" s="19"/>
      <c r="G2771" s="19"/>
      <c r="H2771" s="19"/>
      <c r="I2771" s="19"/>
      <c r="J2771" s="19"/>
      <c r="K2771" s="19"/>
      <c r="L2771" s="25"/>
      <c r="M2771" s="25"/>
      <c r="N2771" s="25"/>
      <c r="O2771" s="25"/>
      <c r="P2771" s="25"/>
      <c r="Q2771" s="19"/>
      <c r="R2771" s="19"/>
      <c r="S2771" s="19"/>
      <c r="T2771" s="19"/>
      <c r="U2771" s="25"/>
      <c r="V2771" s="19"/>
      <c r="W2771" s="19"/>
      <c r="X2771" s="19"/>
      <c r="Y2771" s="19"/>
      <c r="Z2771" s="19"/>
    </row>
    <row r="2772">
      <c r="A2772" s="24"/>
      <c r="B2772" s="19"/>
      <c r="C2772" s="19"/>
      <c r="D2772" s="19"/>
      <c r="E2772" s="19"/>
      <c r="F2772" s="19"/>
      <c r="G2772" s="19"/>
      <c r="H2772" s="19"/>
      <c r="I2772" s="19"/>
      <c r="J2772" s="19"/>
      <c r="K2772" s="19"/>
      <c r="L2772" s="25"/>
      <c r="M2772" s="25"/>
      <c r="N2772" s="25"/>
      <c r="O2772" s="25"/>
      <c r="P2772" s="25"/>
      <c r="Q2772" s="19"/>
      <c r="R2772" s="19"/>
      <c r="S2772" s="19"/>
      <c r="T2772" s="19"/>
      <c r="U2772" s="25"/>
      <c r="V2772" s="19"/>
      <c r="W2772" s="19"/>
      <c r="X2772" s="19"/>
      <c r="Y2772" s="19"/>
      <c r="Z2772" s="19"/>
    </row>
    <row r="2773">
      <c r="A2773" s="24"/>
      <c r="B2773" s="19"/>
      <c r="C2773" s="19"/>
      <c r="D2773" s="19"/>
      <c r="E2773" s="19"/>
      <c r="F2773" s="19"/>
      <c r="G2773" s="19"/>
      <c r="H2773" s="19"/>
      <c r="I2773" s="19"/>
      <c r="J2773" s="19"/>
      <c r="K2773" s="19"/>
      <c r="L2773" s="25"/>
      <c r="M2773" s="25"/>
      <c r="N2773" s="25"/>
      <c r="O2773" s="25"/>
      <c r="P2773" s="25"/>
      <c r="Q2773" s="19"/>
      <c r="R2773" s="19"/>
      <c r="S2773" s="19"/>
      <c r="T2773" s="19"/>
      <c r="U2773" s="25"/>
      <c r="V2773" s="19"/>
      <c r="W2773" s="19"/>
      <c r="X2773" s="19"/>
      <c r="Y2773" s="19"/>
      <c r="Z2773" s="19"/>
    </row>
    <row r="2774">
      <c r="A2774" s="24"/>
      <c r="B2774" s="19"/>
      <c r="C2774" s="19"/>
      <c r="D2774" s="19"/>
      <c r="E2774" s="19"/>
      <c r="F2774" s="19"/>
      <c r="G2774" s="19"/>
      <c r="H2774" s="19"/>
      <c r="I2774" s="19"/>
      <c r="J2774" s="19"/>
      <c r="K2774" s="19"/>
      <c r="L2774" s="25"/>
      <c r="M2774" s="25"/>
      <c r="N2774" s="25"/>
      <c r="O2774" s="25"/>
      <c r="P2774" s="25"/>
      <c r="Q2774" s="19"/>
      <c r="R2774" s="19"/>
      <c r="S2774" s="19"/>
      <c r="T2774" s="19"/>
      <c r="U2774" s="25"/>
      <c r="V2774" s="19"/>
      <c r="W2774" s="19"/>
      <c r="X2774" s="19"/>
      <c r="Y2774" s="19"/>
      <c r="Z2774" s="19"/>
    </row>
    <row r="2775">
      <c r="A2775" s="24"/>
      <c r="B2775" s="19"/>
      <c r="C2775" s="19"/>
      <c r="D2775" s="19"/>
      <c r="E2775" s="19"/>
      <c r="F2775" s="19"/>
      <c r="G2775" s="19"/>
      <c r="H2775" s="19"/>
      <c r="I2775" s="19"/>
      <c r="J2775" s="19"/>
      <c r="K2775" s="19"/>
      <c r="L2775" s="25"/>
      <c r="M2775" s="25"/>
      <c r="N2775" s="25"/>
      <c r="O2775" s="25"/>
      <c r="P2775" s="25"/>
      <c r="Q2775" s="19"/>
      <c r="R2775" s="19"/>
      <c r="S2775" s="19"/>
      <c r="T2775" s="19"/>
      <c r="U2775" s="25"/>
      <c r="V2775" s="19"/>
      <c r="W2775" s="19"/>
      <c r="X2775" s="19"/>
      <c r="Y2775" s="19"/>
      <c r="Z2775" s="19"/>
    </row>
    <row r="2776">
      <c r="A2776" s="24"/>
      <c r="B2776" s="19"/>
      <c r="C2776" s="19"/>
      <c r="D2776" s="19"/>
      <c r="E2776" s="19"/>
      <c r="F2776" s="19"/>
      <c r="G2776" s="19"/>
      <c r="H2776" s="19"/>
      <c r="I2776" s="19"/>
      <c r="J2776" s="19"/>
      <c r="K2776" s="19"/>
      <c r="L2776" s="25"/>
      <c r="M2776" s="25"/>
      <c r="N2776" s="25"/>
      <c r="O2776" s="25"/>
      <c r="P2776" s="25"/>
      <c r="Q2776" s="19"/>
      <c r="R2776" s="19"/>
      <c r="S2776" s="19"/>
      <c r="T2776" s="19"/>
      <c r="U2776" s="25"/>
      <c r="V2776" s="19"/>
      <c r="W2776" s="19"/>
      <c r="X2776" s="19"/>
      <c r="Y2776" s="19"/>
      <c r="Z2776" s="19"/>
    </row>
    <row r="2777">
      <c r="A2777" s="24"/>
      <c r="B2777" s="19"/>
      <c r="C2777" s="19"/>
      <c r="D2777" s="19"/>
      <c r="E2777" s="19"/>
      <c r="F2777" s="19"/>
      <c r="G2777" s="19"/>
      <c r="H2777" s="19"/>
      <c r="I2777" s="19"/>
      <c r="J2777" s="19"/>
      <c r="K2777" s="19"/>
      <c r="L2777" s="25"/>
      <c r="M2777" s="25"/>
      <c r="N2777" s="25"/>
      <c r="O2777" s="25"/>
      <c r="P2777" s="25"/>
      <c r="Q2777" s="19"/>
      <c r="R2777" s="19"/>
      <c r="S2777" s="19"/>
      <c r="T2777" s="19"/>
      <c r="U2777" s="25"/>
      <c r="V2777" s="19"/>
      <c r="W2777" s="19"/>
      <c r="X2777" s="19"/>
      <c r="Y2777" s="19"/>
      <c r="Z2777" s="19"/>
    </row>
    <row r="2778">
      <c r="A2778" s="24"/>
      <c r="B2778" s="19"/>
      <c r="C2778" s="19"/>
      <c r="D2778" s="19"/>
      <c r="E2778" s="19"/>
      <c r="F2778" s="19"/>
      <c r="G2778" s="19"/>
      <c r="H2778" s="19"/>
      <c r="I2778" s="19"/>
      <c r="J2778" s="19"/>
      <c r="K2778" s="19"/>
      <c r="L2778" s="25"/>
      <c r="M2778" s="25"/>
      <c r="N2778" s="25"/>
      <c r="O2778" s="25"/>
      <c r="P2778" s="25"/>
      <c r="Q2778" s="19"/>
      <c r="R2778" s="19"/>
      <c r="S2778" s="19"/>
      <c r="T2778" s="19"/>
      <c r="U2778" s="25"/>
      <c r="V2778" s="19"/>
      <c r="W2778" s="19"/>
      <c r="X2778" s="19"/>
      <c r="Y2778" s="19"/>
      <c r="Z2778" s="19"/>
    </row>
    <row r="2779">
      <c r="A2779" s="24"/>
      <c r="B2779" s="19"/>
      <c r="C2779" s="19"/>
      <c r="D2779" s="19"/>
      <c r="E2779" s="19"/>
      <c r="F2779" s="19"/>
      <c r="G2779" s="19"/>
      <c r="H2779" s="19"/>
      <c r="I2779" s="19"/>
      <c r="J2779" s="19"/>
      <c r="K2779" s="19"/>
      <c r="L2779" s="25"/>
      <c r="M2779" s="25"/>
      <c r="N2779" s="25"/>
      <c r="O2779" s="25"/>
      <c r="P2779" s="25"/>
      <c r="Q2779" s="19"/>
      <c r="R2779" s="19"/>
      <c r="S2779" s="19"/>
      <c r="T2779" s="19"/>
      <c r="U2779" s="25"/>
      <c r="V2779" s="19"/>
      <c r="W2779" s="19"/>
      <c r="X2779" s="19"/>
      <c r="Y2779" s="19"/>
      <c r="Z2779" s="19"/>
    </row>
    <row r="2780">
      <c r="A2780" s="24"/>
      <c r="B2780" s="19"/>
      <c r="C2780" s="19"/>
      <c r="D2780" s="19"/>
      <c r="E2780" s="19"/>
      <c r="F2780" s="19"/>
      <c r="G2780" s="19"/>
      <c r="H2780" s="19"/>
      <c r="I2780" s="19"/>
      <c r="J2780" s="19"/>
      <c r="K2780" s="19"/>
      <c r="L2780" s="25"/>
      <c r="M2780" s="25"/>
      <c r="N2780" s="25"/>
      <c r="O2780" s="25"/>
      <c r="P2780" s="25"/>
      <c r="Q2780" s="19"/>
      <c r="R2780" s="19"/>
      <c r="S2780" s="19"/>
      <c r="T2780" s="19"/>
      <c r="U2780" s="25"/>
      <c r="V2780" s="19"/>
      <c r="W2780" s="19"/>
      <c r="X2780" s="19"/>
      <c r="Y2780" s="19"/>
      <c r="Z2780" s="19"/>
    </row>
    <row r="2781">
      <c r="A2781" s="24"/>
      <c r="B2781" s="19"/>
      <c r="C2781" s="19"/>
      <c r="D2781" s="19"/>
      <c r="E2781" s="19"/>
      <c r="F2781" s="19"/>
      <c r="G2781" s="19"/>
      <c r="H2781" s="19"/>
      <c r="I2781" s="19"/>
      <c r="J2781" s="19"/>
      <c r="K2781" s="19"/>
      <c r="L2781" s="25"/>
      <c r="M2781" s="25"/>
      <c r="N2781" s="25"/>
      <c r="O2781" s="25"/>
      <c r="P2781" s="25"/>
      <c r="Q2781" s="19"/>
      <c r="R2781" s="19"/>
      <c r="S2781" s="19"/>
      <c r="T2781" s="19"/>
      <c r="U2781" s="25"/>
      <c r="V2781" s="19"/>
      <c r="W2781" s="19"/>
      <c r="X2781" s="19"/>
      <c r="Y2781" s="19"/>
      <c r="Z2781" s="19"/>
    </row>
    <row r="2782">
      <c r="A2782" s="24"/>
      <c r="B2782" s="19"/>
      <c r="C2782" s="19"/>
      <c r="D2782" s="19"/>
      <c r="E2782" s="19"/>
      <c r="F2782" s="19"/>
      <c r="G2782" s="19"/>
      <c r="H2782" s="19"/>
      <c r="I2782" s="19"/>
      <c r="J2782" s="19"/>
      <c r="K2782" s="19"/>
      <c r="L2782" s="25"/>
      <c r="M2782" s="25"/>
      <c r="N2782" s="25"/>
      <c r="O2782" s="25"/>
      <c r="P2782" s="25"/>
      <c r="Q2782" s="19"/>
      <c r="R2782" s="19"/>
      <c r="S2782" s="19"/>
      <c r="T2782" s="19"/>
      <c r="U2782" s="25"/>
      <c r="V2782" s="19"/>
      <c r="W2782" s="19"/>
      <c r="X2782" s="19"/>
      <c r="Y2782" s="19"/>
      <c r="Z2782" s="19"/>
    </row>
    <row r="2783">
      <c r="A2783" s="24"/>
      <c r="B2783" s="19"/>
      <c r="C2783" s="19"/>
      <c r="D2783" s="19"/>
      <c r="E2783" s="19"/>
      <c r="F2783" s="19"/>
      <c r="G2783" s="19"/>
      <c r="H2783" s="19"/>
      <c r="I2783" s="19"/>
      <c r="J2783" s="19"/>
      <c r="K2783" s="19"/>
      <c r="L2783" s="25"/>
      <c r="M2783" s="25"/>
      <c r="N2783" s="25"/>
      <c r="O2783" s="25"/>
      <c r="P2783" s="25"/>
      <c r="Q2783" s="19"/>
      <c r="R2783" s="19"/>
      <c r="S2783" s="19"/>
      <c r="T2783" s="19"/>
      <c r="U2783" s="25"/>
      <c r="V2783" s="19"/>
      <c r="W2783" s="19"/>
      <c r="X2783" s="19"/>
      <c r="Y2783" s="19"/>
      <c r="Z2783" s="19"/>
    </row>
    <row r="2784">
      <c r="A2784" s="24"/>
      <c r="B2784" s="19"/>
      <c r="C2784" s="19"/>
      <c r="D2784" s="19"/>
      <c r="E2784" s="19"/>
      <c r="F2784" s="19"/>
      <c r="G2784" s="19"/>
      <c r="H2784" s="19"/>
      <c r="I2784" s="19"/>
      <c r="J2784" s="19"/>
      <c r="K2784" s="19"/>
      <c r="L2784" s="25"/>
      <c r="M2784" s="25"/>
      <c r="N2784" s="25"/>
      <c r="O2784" s="25"/>
      <c r="P2784" s="25"/>
      <c r="Q2784" s="19"/>
      <c r="R2784" s="19"/>
      <c r="S2784" s="19"/>
      <c r="T2784" s="19"/>
      <c r="U2784" s="25"/>
      <c r="V2784" s="19"/>
      <c r="W2784" s="19"/>
      <c r="X2784" s="19"/>
      <c r="Y2784" s="19"/>
      <c r="Z2784" s="19"/>
    </row>
    <row r="2785">
      <c r="A2785" s="24"/>
      <c r="B2785" s="19"/>
      <c r="C2785" s="19"/>
      <c r="D2785" s="19"/>
      <c r="E2785" s="19"/>
      <c r="F2785" s="19"/>
      <c r="G2785" s="19"/>
      <c r="H2785" s="19"/>
      <c r="I2785" s="19"/>
      <c r="J2785" s="19"/>
      <c r="K2785" s="19"/>
      <c r="L2785" s="25"/>
      <c r="M2785" s="25"/>
      <c r="N2785" s="25"/>
      <c r="O2785" s="25"/>
      <c r="P2785" s="25"/>
      <c r="Q2785" s="19"/>
      <c r="R2785" s="19"/>
      <c r="S2785" s="19"/>
      <c r="T2785" s="19"/>
      <c r="U2785" s="25"/>
      <c r="V2785" s="19"/>
      <c r="W2785" s="19"/>
      <c r="X2785" s="19"/>
      <c r="Y2785" s="19"/>
      <c r="Z2785" s="19"/>
    </row>
    <row r="2786">
      <c r="A2786" s="24"/>
      <c r="B2786" s="19"/>
      <c r="C2786" s="19"/>
      <c r="D2786" s="19"/>
      <c r="E2786" s="19"/>
      <c r="F2786" s="19"/>
      <c r="G2786" s="19"/>
      <c r="H2786" s="19"/>
      <c r="I2786" s="19"/>
      <c r="J2786" s="19"/>
      <c r="K2786" s="19"/>
      <c r="L2786" s="25"/>
      <c r="M2786" s="25"/>
      <c r="N2786" s="25"/>
      <c r="O2786" s="25"/>
      <c r="P2786" s="25"/>
      <c r="Q2786" s="19"/>
      <c r="R2786" s="19"/>
      <c r="S2786" s="19"/>
      <c r="T2786" s="19"/>
      <c r="U2786" s="25"/>
      <c r="V2786" s="19"/>
      <c r="W2786" s="19"/>
      <c r="X2786" s="19"/>
      <c r="Y2786" s="19"/>
      <c r="Z2786" s="19"/>
    </row>
    <row r="2787">
      <c r="A2787" s="24"/>
      <c r="B2787" s="19"/>
      <c r="C2787" s="19"/>
      <c r="D2787" s="19"/>
      <c r="E2787" s="19"/>
      <c r="F2787" s="19"/>
      <c r="G2787" s="19"/>
      <c r="H2787" s="19"/>
      <c r="I2787" s="19"/>
      <c r="J2787" s="19"/>
      <c r="K2787" s="19"/>
      <c r="L2787" s="25"/>
      <c r="M2787" s="25"/>
      <c r="N2787" s="25"/>
      <c r="O2787" s="25"/>
      <c r="P2787" s="25"/>
      <c r="Q2787" s="19"/>
      <c r="R2787" s="19"/>
      <c r="S2787" s="19"/>
      <c r="T2787" s="19"/>
      <c r="U2787" s="25"/>
      <c r="V2787" s="19"/>
      <c r="W2787" s="19"/>
      <c r="X2787" s="19"/>
      <c r="Y2787" s="19"/>
      <c r="Z2787" s="19"/>
    </row>
    <row r="2788">
      <c r="A2788" s="24"/>
      <c r="B2788" s="19"/>
      <c r="C2788" s="19"/>
      <c r="D2788" s="19"/>
      <c r="E2788" s="19"/>
      <c r="F2788" s="19"/>
      <c r="G2788" s="19"/>
      <c r="H2788" s="19"/>
      <c r="I2788" s="19"/>
      <c r="J2788" s="19"/>
      <c r="K2788" s="19"/>
      <c r="L2788" s="25"/>
      <c r="M2788" s="25"/>
      <c r="N2788" s="25"/>
      <c r="O2788" s="25"/>
      <c r="P2788" s="25"/>
      <c r="Q2788" s="19"/>
      <c r="R2788" s="19"/>
      <c r="S2788" s="19"/>
      <c r="T2788" s="19"/>
      <c r="U2788" s="25"/>
      <c r="V2788" s="19"/>
      <c r="W2788" s="19"/>
      <c r="X2788" s="19"/>
      <c r="Y2788" s="19"/>
      <c r="Z2788" s="19"/>
    </row>
    <row r="2789">
      <c r="A2789" s="24"/>
      <c r="B2789" s="19"/>
      <c r="C2789" s="19"/>
      <c r="D2789" s="19"/>
      <c r="E2789" s="19"/>
      <c r="F2789" s="19"/>
      <c r="G2789" s="19"/>
      <c r="H2789" s="19"/>
      <c r="I2789" s="19"/>
      <c r="J2789" s="19"/>
      <c r="K2789" s="19"/>
      <c r="L2789" s="25"/>
      <c r="M2789" s="25"/>
      <c r="N2789" s="25"/>
      <c r="O2789" s="25"/>
      <c r="P2789" s="25"/>
      <c r="Q2789" s="19"/>
      <c r="R2789" s="19"/>
      <c r="S2789" s="19"/>
      <c r="T2789" s="19"/>
      <c r="U2789" s="25"/>
      <c r="V2789" s="19"/>
      <c r="W2789" s="19"/>
      <c r="X2789" s="19"/>
      <c r="Y2789" s="19"/>
      <c r="Z2789" s="19"/>
    </row>
    <row r="2790">
      <c r="A2790" s="24"/>
      <c r="B2790" s="19"/>
      <c r="C2790" s="19"/>
      <c r="D2790" s="19"/>
      <c r="E2790" s="19"/>
      <c r="F2790" s="19"/>
      <c r="G2790" s="19"/>
      <c r="H2790" s="19"/>
      <c r="I2790" s="19"/>
      <c r="J2790" s="19"/>
      <c r="K2790" s="19"/>
      <c r="L2790" s="25"/>
      <c r="M2790" s="25"/>
      <c r="N2790" s="25"/>
      <c r="O2790" s="25"/>
      <c r="P2790" s="25"/>
      <c r="Q2790" s="19"/>
      <c r="R2790" s="19"/>
      <c r="S2790" s="19"/>
      <c r="T2790" s="19"/>
      <c r="U2790" s="25"/>
      <c r="V2790" s="19"/>
      <c r="W2790" s="19"/>
      <c r="X2790" s="19"/>
      <c r="Y2790" s="19"/>
      <c r="Z2790" s="19"/>
    </row>
    <row r="2791">
      <c r="A2791" s="24"/>
      <c r="B2791" s="19"/>
      <c r="C2791" s="19"/>
      <c r="D2791" s="19"/>
      <c r="E2791" s="19"/>
      <c r="F2791" s="19"/>
      <c r="G2791" s="19"/>
      <c r="H2791" s="19"/>
      <c r="I2791" s="19"/>
      <c r="J2791" s="19"/>
      <c r="K2791" s="19"/>
      <c r="L2791" s="25"/>
      <c r="M2791" s="25"/>
      <c r="N2791" s="25"/>
      <c r="O2791" s="25"/>
      <c r="P2791" s="25"/>
      <c r="Q2791" s="19"/>
      <c r="R2791" s="19"/>
      <c r="S2791" s="19"/>
      <c r="T2791" s="19"/>
      <c r="U2791" s="25"/>
      <c r="V2791" s="19"/>
      <c r="W2791" s="19"/>
      <c r="X2791" s="19"/>
      <c r="Y2791" s="19"/>
      <c r="Z2791" s="19"/>
    </row>
    <row r="2792">
      <c r="A2792" s="24"/>
      <c r="B2792" s="19"/>
      <c r="C2792" s="19"/>
      <c r="D2792" s="19"/>
      <c r="E2792" s="19"/>
      <c r="F2792" s="19"/>
      <c r="G2792" s="19"/>
      <c r="H2792" s="19"/>
      <c r="I2792" s="19"/>
      <c r="J2792" s="19"/>
      <c r="K2792" s="19"/>
      <c r="L2792" s="25"/>
      <c r="M2792" s="25"/>
      <c r="N2792" s="25"/>
      <c r="O2792" s="25"/>
      <c r="P2792" s="25"/>
      <c r="Q2792" s="19"/>
      <c r="R2792" s="19"/>
      <c r="S2792" s="19"/>
      <c r="T2792" s="19"/>
      <c r="U2792" s="25"/>
      <c r="V2792" s="19"/>
      <c r="W2792" s="19"/>
      <c r="X2792" s="19"/>
      <c r="Y2792" s="19"/>
      <c r="Z2792" s="19"/>
    </row>
    <row r="2793">
      <c r="A2793" s="24"/>
      <c r="B2793" s="19"/>
      <c r="C2793" s="19"/>
      <c r="D2793" s="19"/>
      <c r="E2793" s="19"/>
      <c r="F2793" s="19"/>
      <c r="G2793" s="19"/>
      <c r="H2793" s="19"/>
      <c r="I2793" s="19"/>
      <c r="J2793" s="19"/>
      <c r="K2793" s="19"/>
      <c r="L2793" s="25"/>
      <c r="M2793" s="25"/>
      <c r="N2793" s="25"/>
      <c r="O2793" s="25"/>
      <c r="P2793" s="25"/>
      <c r="Q2793" s="19"/>
      <c r="R2793" s="19"/>
      <c r="S2793" s="19"/>
      <c r="T2793" s="19"/>
      <c r="U2793" s="25"/>
      <c r="V2793" s="19"/>
      <c r="W2793" s="19"/>
      <c r="X2793" s="19"/>
      <c r="Y2793" s="19"/>
      <c r="Z2793" s="19"/>
    </row>
    <row r="2794">
      <c r="A2794" s="24"/>
      <c r="B2794" s="19"/>
      <c r="C2794" s="19"/>
      <c r="D2794" s="19"/>
      <c r="E2794" s="19"/>
      <c r="F2794" s="19"/>
      <c r="G2794" s="19"/>
      <c r="H2794" s="19"/>
      <c r="I2794" s="19"/>
      <c r="J2794" s="19"/>
      <c r="K2794" s="19"/>
      <c r="L2794" s="25"/>
      <c r="M2794" s="25"/>
      <c r="N2794" s="25"/>
      <c r="O2794" s="25"/>
      <c r="P2794" s="25"/>
      <c r="Q2794" s="19"/>
      <c r="R2794" s="19"/>
      <c r="S2794" s="19"/>
      <c r="T2794" s="19"/>
      <c r="U2794" s="25"/>
      <c r="V2794" s="19"/>
      <c r="W2794" s="19"/>
      <c r="X2794" s="19"/>
      <c r="Y2794" s="19"/>
      <c r="Z2794" s="19"/>
    </row>
    <row r="2795">
      <c r="A2795" s="24"/>
      <c r="B2795" s="19"/>
      <c r="C2795" s="19"/>
      <c r="D2795" s="19"/>
      <c r="E2795" s="19"/>
      <c r="F2795" s="19"/>
      <c r="G2795" s="19"/>
      <c r="H2795" s="19"/>
      <c r="I2795" s="19"/>
      <c r="J2795" s="19"/>
      <c r="K2795" s="19"/>
      <c r="L2795" s="25"/>
      <c r="M2795" s="25"/>
      <c r="N2795" s="25"/>
      <c r="O2795" s="25"/>
      <c r="P2795" s="25"/>
      <c r="Q2795" s="19"/>
      <c r="R2795" s="19"/>
      <c r="S2795" s="19"/>
      <c r="T2795" s="19"/>
      <c r="U2795" s="25"/>
      <c r="V2795" s="19"/>
      <c r="W2795" s="19"/>
      <c r="X2795" s="19"/>
      <c r="Y2795" s="19"/>
      <c r="Z2795" s="19"/>
    </row>
    <row r="2796">
      <c r="A2796" s="24"/>
      <c r="B2796" s="19"/>
      <c r="C2796" s="19"/>
      <c r="D2796" s="19"/>
      <c r="E2796" s="19"/>
      <c r="F2796" s="19"/>
      <c r="G2796" s="19"/>
      <c r="H2796" s="19"/>
      <c r="I2796" s="19"/>
      <c r="J2796" s="19"/>
      <c r="K2796" s="19"/>
      <c r="L2796" s="25"/>
      <c r="M2796" s="25"/>
      <c r="N2796" s="25"/>
      <c r="O2796" s="25"/>
      <c r="P2796" s="25"/>
      <c r="Q2796" s="19"/>
      <c r="R2796" s="19"/>
      <c r="S2796" s="19"/>
      <c r="T2796" s="19"/>
      <c r="U2796" s="25"/>
      <c r="V2796" s="19"/>
      <c r="W2796" s="19"/>
      <c r="X2796" s="19"/>
      <c r="Y2796" s="19"/>
      <c r="Z2796" s="19"/>
    </row>
    <row r="2797">
      <c r="A2797" s="24"/>
      <c r="B2797" s="19"/>
      <c r="C2797" s="19"/>
      <c r="D2797" s="19"/>
      <c r="E2797" s="19"/>
      <c r="F2797" s="19"/>
      <c r="G2797" s="19"/>
      <c r="H2797" s="19"/>
      <c r="I2797" s="19"/>
      <c r="J2797" s="19"/>
      <c r="K2797" s="19"/>
      <c r="L2797" s="25"/>
      <c r="M2797" s="25"/>
      <c r="N2797" s="25"/>
      <c r="O2797" s="25"/>
      <c r="P2797" s="25"/>
      <c r="Q2797" s="19"/>
      <c r="R2797" s="19"/>
      <c r="S2797" s="19"/>
      <c r="T2797" s="19"/>
      <c r="U2797" s="25"/>
      <c r="V2797" s="19"/>
      <c r="W2797" s="19"/>
      <c r="X2797" s="19"/>
      <c r="Y2797" s="19"/>
      <c r="Z2797" s="19"/>
    </row>
    <row r="2798">
      <c r="A2798" s="24"/>
      <c r="B2798" s="19"/>
      <c r="C2798" s="19"/>
      <c r="D2798" s="19"/>
      <c r="E2798" s="19"/>
      <c r="F2798" s="19"/>
      <c r="G2798" s="19"/>
      <c r="H2798" s="19"/>
      <c r="I2798" s="19"/>
      <c r="J2798" s="19"/>
      <c r="K2798" s="19"/>
      <c r="L2798" s="25"/>
      <c r="M2798" s="25"/>
      <c r="N2798" s="25"/>
      <c r="O2798" s="25"/>
      <c r="P2798" s="25"/>
      <c r="Q2798" s="19"/>
      <c r="R2798" s="19"/>
      <c r="S2798" s="19"/>
      <c r="T2798" s="19"/>
      <c r="U2798" s="25"/>
      <c r="V2798" s="19"/>
      <c r="W2798" s="19"/>
      <c r="X2798" s="19"/>
      <c r="Y2798" s="19"/>
      <c r="Z2798" s="19"/>
    </row>
    <row r="2799">
      <c r="A2799" s="24"/>
      <c r="B2799" s="19"/>
      <c r="C2799" s="19"/>
      <c r="D2799" s="19"/>
      <c r="E2799" s="19"/>
      <c r="F2799" s="19"/>
      <c r="G2799" s="19"/>
      <c r="H2799" s="19"/>
      <c r="I2799" s="19"/>
      <c r="J2799" s="19"/>
      <c r="K2799" s="19"/>
      <c r="L2799" s="25"/>
      <c r="M2799" s="25"/>
      <c r="N2799" s="25"/>
      <c r="O2799" s="25"/>
      <c r="P2799" s="25"/>
      <c r="Q2799" s="19"/>
      <c r="R2799" s="19"/>
      <c r="S2799" s="19"/>
      <c r="T2799" s="19"/>
      <c r="U2799" s="25"/>
      <c r="V2799" s="19"/>
      <c r="W2799" s="19"/>
      <c r="X2799" s="19"/>
      <c r="Y2799" s="19"/>
      <c r="Z2799" s="19"/>
    </row>
    <row r="2800">
      <c r="A2800" s="24"/>
      <c r="B2800" s="19"/>
      <c r="C2800" s="19"/>
      <c r="D2800" s="19"/>
      <c r="E2800" s="19"/>
      <c r="F2800" s="19"/>
      <c r="G2800" s="19"/>
      <c r="H2800" s="19"/>
      <c r="I2800" s="19"/>
      <c r="J2800" s="19"/>
      <c r="K2800" s="19"/>
      <c r="L2800" s="25"/>
      <c r="M2800" s="25"/>
      <c r="N2800" s="25"/>
      <c r="O2800" s="25"/>
      <c r="P2800" s="25"/>
      <c r="Q2800" s="19"/>
      <c r="R2800" s="19"/>
      <c r="S2800" s="19"/>
      <c r="T2800" s="19"/>
      <c r="U2800" s="25"/>
      <c r="V2800" s="19"/>
      <c r="W2800" s="19"/>
      <c r="X2800" s="19"/>
      <c r="Y2800" s="19"/>
      <c r="Z2800" s="19"/>
    </row>
    <row r="2801">
      <c r="A2801" s="24"/>
      <c r="B2801" s="19"/>
      <c r="C2801" s="19"/>
      <c r="D2801" s="19"/>
      <c r="E2801" s="19"/>
      <c r="F2801" s="19"/>
      <c r="G2801" s="19"/>
      <c r="H2801" s="19"/>
      <c r="I2801" s="19"/>
      <c r="J2801" s="19"/>
      <c r="K2801" s="19"/>
      <c r="L2801" s="25"/>
      <c r="M2801" s="25"/>
      <c r="N2801" s="25"/>
      <c r="O2801" s="25"/>
      <c r="P2801" s="25"/>
      <c r="Q2801" s="19"/>
      <c r="R2801" s="19"/>
      <c r="S2801" s="19"/>
      <c r="T2801" s="19"/>
      <c r="U2801" s="25"/>
      <c r="V2801" s="19"/>
      <c r="W2801" s="19"/>
      <c r="X2801" s="19"/>
      <c r="Y2801" s="19"/>
      <c r="Z2801" s="19"/>
    </row>
    <row r="2802">
      <c r="A2802" s="24"/>
      <c r="B2802" s="19"/>
      <c r="C2802" s="19"/>
      <c r="D2802" s="19"/>
      <c r="E2802" s="19"/>
      <c r="F2802" s="19"/>
      <c r="G2802" s="19"/>
      <c r="H2802" s="19"/>
      <c r="I2802" s="19"/>
      <c r="J2802" s="19"/>
      <c r="K2802" s="19"/>
      <c r="L2802" s="25"/>
      <c r="M2802" s="25"/>
      <c r="N2802" s="25"/>
      <c r="O2802" s="25"/>
      <c r="P2802" s="25"/>
      <c r="Q2802" s="19"/>
      <c r="R2802" s="19"/>
      <c r="S2802" s="19"/>
      <c r="T2802" s="19"/>
      <c r="U2802" s="25"/>
      <c r="V2802" s="19"/>
      <c r="W2802" s="19"/>
      <c r="X2802" s="19"/>
      <c r="Y2802" s="19"/>
      <c r="Z2802" s="19"/>
    </row>
    <row r="2803">
      <c r="A2803" s="24"/>
      <c r="B2803" s="19"/>
      <c r="C2803" s="19"/>
      <c r="D2803" s="19"/>
      <c r="E2803" s="19"/>
      <c r="F2803" s="19"/>
      <c r="G2803" s="19"/>
      <c r="H2803" s="19"/>
      <c r="I2803" s="19"/>
      <c r="J2803" s="19"/>
      <c r="K2803" s="19"/>
      <c r="L2803" s="25"/>
      <c r="M2803" s="25"/>
      <c r="N2803" s="25"/>
      <c r="O2803" s="25"/>
      <c r="P2803" s="25"/>
      <c r="Q2803" s="19"/>
      <c r="R2803" s="19"/>
      <c r="S2803" s="19"/>
      <c r="T2803" s="19"/>
      <c r="U2803" s="25"/>
      <c r="V2803" s="19"/>
      <c r="W2803" s="19"/>
      <c r="X2803" s="19"/>
      <c r="Y2803" s="19"/>
      <c r="Z2803" s="19"/>
    </row>
    <row r="2804">
      <c r="A2804" s="24"/>
      <c r="B2804" s="19"/>
      <c r="C2804" s="19"/>
      <c r="D2804" s="19"/>
      <c r="E2804" s="19"/>
      <c r="F2804" s="19"/>
      <c r="G2804" s="19"/>
      <c r="H2804" s="19"/>
      <c r="I2804" s="19"/>
      <c r="J2804" s="19"/>
      <c r="K2804" s="19"/>
      <c r="L2804" s="25"/>
      <c r="M2804" s="25"/>
      <c r="N2804" s="25"/>
      <c r="O2804" s="25"/>
      <c r="P2804" s="25"/>
      <c r="Q2804" s="19"/>
      <c r="R2804" s="19"/>
      <c r="S2804" s="19"/>
      <c r="T2804" s="19"/>
      <c r="U2804" s="25"/>
      <c r="V2804" s="19"/>
      <c r="W2804" s="19"/>
      <c r="X2804" s="19"/>
      <c r="Y2804" s="19"/>
      <c r="Z2804" s="19"/>
    </row>
    <row r="2805">
      <c r="A2805" s="24"/>
      <c r="B2805" s="19"/>
      <c r="C2805" s="19"/>
      <c r="D2805" s="19"/>
      <c r="E2805" s="19"/>
      <c r="F2805" s="19"/>
      <c r="G2805" s="19"/>
      <c r="H2805" s="19"/>
      <c r="I2805" s="19"/>
      <c r="J2805" s="19"/>
      <c r="K2805" s="19"/>
      <c r="L2805" s="25"/>
      <c r="M2805" s="25"/>
      <c r="N2805" s="25"/>
      <c r="O2805" s="25"/>
      <c r="P2805" s="25"/>
      <c r="Q2805" s="19"/>
      <c r="R2805" s="19"/>
      <c r="S2805" s="19"/>
      <c r="T2805" s="19"/>
      <c r="U2805" s="25"/>
      <c r="V2805" s="19"/>
      <c r="W2805" s="19"/>
      <c r="X2805" s="19"/>
      <c r="Y2805" s="19"/>
      <c r="Z2805" s="19"/>
    </row>
    <row r="2806">
      <c r="A2806" s="24"/>
      <c r="B2806" s="19"/>
      <c r="C2806" s="19"/>
      <c r="D2806" s="19"/>
      <c r="E2806" s="19"/>
      <c r="F2806" s="19"/>
      <c r="G2806" s="19"/>
      <c r="H2806" s="19"/>
      <c r="I2806" s="19"/>
      <c r="J2806" s="19"/>
      <c r="K2806" s="19"/>
      <c r="L2806" s="25"/>
      <c r="M2806" s="25"/>
      <c r="N2806" s="25"/>
      <c r="O2806" s="25"/>
      <c r="P2806" s="25"/>
      <c r="Q2806" s="19"/>
      <c r="R2806" s="19"/>
      <c r="S2806" s="19"/>
      <c r="T2806" s="19"/>
      <c r="U2806" s="25"/>
      <c r="V2806" s="19"/>
      <c r="W2806" s="19"/>
      <c r="X2806" s="19"/>
      <c r="Y2806" s="19"/>
      <c r="Z2806" s="19"/>
    </row>
    <row r="2807">
      <c r="A2807" s="24"/>
      <c r="B2807" s="19"/>
      <c r="C2807" s="19"/>
      <c r="D2807" s="19"/>
      <c r="E2807" s="19"/>
      <c r="F2807" s="19"/>
      <c r="G2807" s="19"/>
      <c r="H2807" s="19"/>
      <c r="I2807" s="19"/>
      <c r="J2807" s="19"/>
      <c r="K2807" s="19"/>
      <c r="L2807" s="25"/>
      <c r="M2807" s="25"/>
      <c r="N2807" s="25"/>
      <c r="O2807" s="25"/>
      <c r="P2807" s="25"/>
      <c r="Q2807" s="19"/>
      <c r="R2807" s="19"/>
      <c r="S2807" s="19"/>
      <c r="T2807" s="19"/>
      <c r="U2807" s="25"/>
      <c r="V2807" s="19"/>
      <c r="W2807" s="19"/>
      <c r="X2807" s="19"/>
      <c r="Y2807" s="19"/>
      <c r="Z2807" s="19"/>
    </row>
    <row r="2808">
      <c r="A2808" s="24"/>
      <c r="B2808" s="19"/>
      <c r="C2808" s="19"/>
      <c r="D2808" s="19"/>
      <c r="E2808" s="19"/>
      <c r="F2808" s="19"/>
      <c r="G2808" s="19"/>
      <c r="H2808" s="19"/>
      <c r="I2808" s="19"/>
      <c r="J2808" s="19"/>
      <c r="K2808" s="19"/>
      <c r="L2808" s="25"/>
      <c r="M2808" s="25"/>
      <c r="N2808" s="25"/>
      <c r="O2808" s="25"/>
      <c r="P2808" s="25"/>
      <c r="Q2808" s="19"/>
      <c r="R2808" s="19"/>
      <c r="S2808" s="19"/>
      <c r="T2808" s="19"/>
      <c r="U2808" s="25"/>
      <c r="V2808" s="19"/>
      <c r="W2808" s="19"/>
      <c r="X2808" s="19"/>
      <c r="Y2808" s="19"/>
      <c r="Z2808" s="19"/>
    </row>
    <row r="2809">
      <c r="A2809" s="24"/>
      <c r="B2809" s="19"/>
      <c r="C2809" s="19"/>
      <c r="D2809" s="19"/>
      <c r="E2809" s="19"/>
      <c r="F2809" s="19"/>
      <c r="G2809" s="19"/>
      <c r="H2809" s="19"/>
      <c r="I2809" s="19"/>
      <c r="J2809" s="19"/>
      <c r="K2809" s="19"/>
      <c r="L2809" s="25"/>
      <c r="M2809" s="25"/>
      <c r="N2809" s="25"/>
      <c r="O2809" s="25"/>
      <c r="P2809" s="25"/>
      <c r="Q2809" s="19"/>
      <c r="R2809" s="19"/>
      <c r="S2809" s="19"/>
      <c r="T2809" s="19"/>
      <c r="U2809" s="25"/>
      <c r="V2809" s="19"/>
      <c r="W2809" s="19"/>
      <c r="X2809" s="19"/>
      <c r="Y2809" s="19"/>
      <c r="Z2809" s="19"/>
    </row>
    <row r="2810">
      <c r="A2810" s="24"/>
      <c r="B2810" s="19"/>
      <c r="C2810" s="19"/>
      <c r="D2810" s="19"/>
      <c r="E2810" s="19"/>
      <c r="F2810" s="19"/>
      <c r="G2810" s="19"/>
      <c r="H2810" s="19"/>
      <c r="I2810" s="19"/>
      <c r="J2810" s="19"/>
      <c r="K2810" s="19"/>
      <c r="L2810" s="25"/>
      <c r="M2810" s="25"/>
      <c r="N2810" s="25"/>
      <c r="O2810" s="25"/>
      <c r="P2810" s="25"/>
      <c r="Q2810" s="19"/>
      <c r="R2810" s="19"/>
      <c r="S2810" s="19"/>
      <c r="T2810" s="19"/>
      <c r="U2810" s="25"/>
      <c r="V2810" s="19"/>
      <c r="W2810" s="19"/>
      <c r="X2810" s="19"/>
      <c r="Y2810" s="19"/>
      <c r="Z2810" s="19"/>
    </row>
    <row r="2811">
      <c r="A2811" s="24"/>
      <c r="B2811" s="19"/>
      <c r="C2811" s="19"/>
      <c r="D2811" s="19"/>
      <c r="E2811" s="19"/>
      <c r="F2811" s="19"/>
      <c r="G2811" s="19"/>
      <c r="H2811" s="19"/>
      <c r="I2811" s="19"/>
      <c r="J2811" s="19"/>
      <c r="K2811" s="19"/>
      <c r="L2811" s="25"/>
      <c r="M2811" s="25"/>
      <c r="N2811" s="25"/>
      <c r="O2811" s="25"/>
      <c r="P2811" s="25"/>
      <c r="Q2811" s="19"/>
      <c r="R2811" s="19"/>
      <c r="S2811" s="19"/>
      <c r="T2811" s="19"/>
      <c r="U2811" s="25"/>
      <c r="V2811" s="19"/>
      <c r="W2811" s="19"/>
      <c r="X2811" s="19"/>
      <c r="Y2811" s="19"/>
      <c r="Z2811" s="19"/>
    </row>
    <row r="2812">
      <c r="A2812" s="24"/>
      <c r="B2812" s="19"/>
      <c r="C2812" s="19"/>
      <c r="D2812" s="19"/>
      <c r="E2812" s="19"/>
      <c r="F2812" s="19"/>
      <c r="G2812" s="19"/>
      <c r="H2812" s="19"/>
      <c r="I2812" s="19"/>
      <c r="J2812" s="19"/>
      <c r="K2812" s="19"/>
      <c r="L2812" s="25"/>
      <c r="M2812" s="25"/>
      <c r="N2812" s="25"/>
      <c r="O2812" s="25"/>
      <c r="P2812" s="25"/>
      <c r="Q2812" s="19"/>
      <c r="R2812" s="19"/>
      <c r="S2812" s="19"/>
      <c r="T2812" s="19"/>
      <c r="U2812" s="25"/>
      <c r="V2812" s="19"/>
      <c r="W2812" s="19"/>
      <c r="X2812" s="19"/>
      <c r="Y2812" s="19"/>
      <c r="Z2812" s="19"/>
    </row>
    <row r="2813">
      <c r="A2813" s="24"/>
      <c r="B2813" s="19"/>
      <c r="C2813" s="19"/>
      <c r="D2813" s="19"/>
      <c r="E2813" s="19"/>
      <c r="F2813" s="19"/>
      <c r="G2813" s="19"/>
      <c r="H2813" s="19"/>
      <c r="I2813" s="19"/>
      <c r="J2813" s="19"/>
      <c r="K2813" s="19"/>
      <c r="L2813" s="25"/>
      <c r="M2813" s="25"/>
      <c r="N2813" s="25"/>
      <c r="O2813" s="25"/>
      <c r="P2813" s="25"/>
      <c r="Q2813" s="19"/>
      <c r="R2813" s="19"/>
      <c r="S2813" s="19"/>
      <c r="T2813" s="19"/>
      <c r="U2813" s="25"/>
      <c r="V2813" s="19"/>
      <c r="W2813" s="19"/>
      <c r="X2813" s="19"/>
      <c r="Y2813" s="19"/>
      <c r="Z2813" s="19"/>
    </row>
    <row r="2814">
      <c r="A2814" s="24"/>
      <c r="B2814" s="19"/>
      <c r="C2814" s="19"/>
      <c r="D2814" s="19"/>
      <c r="E2814" s="19"/>
      <c r="F2814" s="19"/>
      <c r="G2814" s="19"/>
      <c r="H2814" s="19"/>
      <c r="I2814" s="19"/>
      <c r="J2814" s="19"/>
      <c r="K2814" s="19"/>
      <c r="L2814" s="25"/>
      <c r="M2814" s="25"/>
      <c r="N2814" s="25"/>
      <c r="O2814" s="25"/>
      <c r="P2814" s="25"/>
      <c r="Q2814" s="19"/>
      <c r="R2814" s="19"/>
      <c r="S2814" s="19"/>
      <c r="T2814" s="19"/>
      <c r="U2814" s="25"/>
      <c r="V2814" s="19"/>
      <c r="W2814" s="19"/>
      <c r="X2814" s="19"/>
      <c r="Y2814" s="19"/>
      <c r="Z2814" s="19"/>
    </row>
    <row r="2815">
      <c r="A2815" s="24"/>
      <c r="B2815" s="19"/>
      <c r="C2815" s="19"/>
      <c r="D2815" s="19"/>
      <c r="E2815" s="19"/>
      <c r="F2815" s="19"/>
      <c r="G2815" s="19"/>
      <c r="H2815" s="19"/>
      <c r="I2815" s="19"/>
      <c r="J2815" s="19"/>
      <c r="K2815" s="19"/>
      <c r="L2815" s="25"/>
      <c r="M2815" s="25"/>
      <c r="N2815" s="25"/>
      <c r="O2815" s="25"/>
      <c r="P2815" s="25"/>
      <c r="Q2815" s="19"/>
      <c r="R2815" s="19"/>
      <c r="S2815" s="19"/>
      <c r="T2815" s="19"/>
      <c r="U2815" s="25"/>
      <c r="V2815" s="19"/>
      <c r="W2815" s="19"/>
      <c r="X2815" s="19"/>
      <c r="Y2815" s="19"/>
      <c r="Z2815" s="19"/>
    </row>
    <row r="2816">
      <c r="A2816" s="24"/>
      <c r="B2816" s="19"/>
      <c r="C2816" s="19"/>
      <c r="D2816" s="19"/>
      <c r="E2816" s="19"/>
      <c r="F2816" s="19"/>
      <c r="G2816" s="19"/>
      <c r="H2816" s="19"/>
      <c r="I2816" s="19"/>
      <c r="J2816" s="19"/>
      <c r="K2816" s="19"/>
      <c r="L2816" s="25"/>
      <c r="M2816" s="25"/>
      <c r="N2816" s="25"/>
      <c r="O2816" s="25"/>
      <c r="P2816" s="25"/>
      <c r="Q2816" s="19"/>
      <c r="R2816" s="19"/>
      <c r="S2816" s="19"/>
      <c r="T2816" s="19"/>
      <c r="U2816" s="25"/>
      <c r="V2816" s="19"/>
      <c r="W2816" s="19"/>
      <c r="X2816" s="19"/>
      <c r="Y2816" s="19"/>
      <c r="Z2816" s="19"/>
    </row>
    <row r="2817">
      <c r="A2817" s="24"/>
      <c r="B2817" s="19"/>
      <c r="C2817" s="19"/>
      <c r="D2817" s="19"/>
      <c r="E2817" s="19"/>
      <c r="F2817" s="19"/>
      <c r="G2817" s="19"/>
      <c r="H2817" s="19"/>
      <c r="I2817" s="19"/>
      <c r="J2817" s="19"/>
      <c r="K2817" s="19"/>
      <c r="L2817" s="25"/>
      <c r="M2817" s="25"/>
      <c r="N2817" s="25"/>
      <c r="O2817" s="25"/>
      <c r="P2817" s="25"/>
      <c r="Q2817" s="19"/>
      <c r="R2817" s="19"/>
      <c r="S2817" s="19"/>
      <c r="T2817" s="19"/>
      <c r="U2817" s="25"/>
      <c r="V2817" s="19"/>
      <c r="W2817" s="19"/>
      <c r="X2817" s="19"/>
      <c r="Y2817" s="19"/>
      <c r="Z2817" s="19"/>
    </row>
    <row r="2818">
      <c r="A2818" s="24"/>
      <c r="B2818" s="19"/>
      <c r="C2818" s="19"/>
      <c r="D2818" s="19"/>
      <c r="E2818" s="19"/>
      <c r="F2818" s="19"/>
      <c r="G2818" s="19"/>
      <c r="H2818" s="19"/>
      <c r="I2818" s="19"/>
      <c r="J2818" s="19"/>
      <c r="K2818" s="19"/>
      <c r="L2818" s="25"/>
      <c r="M2818" s="25"/>
      <c r="N2818" s="25"/>
      <c r="O2818" s="25"/>
      <c r="P2818" s="25"/>
      <c r="Q2818" s="19"/>
      <c r="R2818" s="19"/>
      <c r="S2818" s="19"/>
      <c r="T2818" s="19"/>
      <c r="U2818" s="25"/>
      <c r="V2818" s="19"/>
      <c r="W2818" s="19"/>
      <c r="X2818" s="19"/>
      <c r="Y2818" s="19"/>
      <c r="Z2818" s="19"/>
    </row>
    <row r="2819">
      <c r="A2819" s="24"/>
      <c r="B2819" s="19"/>
      <c r="C2819" s="19"/>
      <c r="D2819" s="19"/>
      <c r="E2819" s="19"/>
      <c r="F2819" s="19"/>
      <c r="G2819" s="19"/>
      <c r="H2819" s="19"/>
      <c r="I2819" s="19"/>
      <c r="J2819" s="19"/>
      <c r="K2819" s="19"/>
      <c r="L2819" s="25"/>
      <c r="M2819" s="25"/>
      <c r="N2819" s="25"/>
      <c r="O2819" s="25"/>
      <c r="P2819" s="25"/>
      <c r="Q2819" s="19"/>
      <c r="R2819" s="19"/>
      <c r="S2819" s="19"/>
      <c r="T2819" s="19"/>
      <c r="U2819" s="25"/>
      <c r="V2819" s="19"/>
      <c r="W2819" s="19"/>
      <c r="X2819" s="19"/>
      <c r="Y2819" s="19"/>
      <c r="Z2819" s="19"/>
    </row>
    <row r="2820">
      <c r="A2820" s="24"/>
      <c r="B2820" s="19"/>
      <c r="C2820" s="19"/>
      <c r="D2820" s="19"/>
      <c r="E2820" s="19"/>
      <c r="F2820" s="19"/>
      <c r="G2820" s="19"/>
      <c r="H2820" s="19"/>
      <c r="I2820" s="19"/>
      <c r="J2820" s="19"/>
      <c r="K2820" s="19"/>
      <c r="L2820" s="25"/>
      <c r="M2820" s="25"/>
      <c r="N2820" s="25"/>
      <c r="O2820" s="25"/>
      <c r="P2820" s="25"/>
      <c r="Q2820" s="19"/>
      <c r="R2820" s="19"/>
      <c r="S2820" s="19"/>
      <c r="T2820" s="19"/>
      <c r="U2820" s="25"/>
      <c r="V2820" s="19"/>
      <c r="W2820" s="19"/>
      <c r="X2820" s="19"/>
      <c r="Y2820" s="19"/>
      <c r="Z2820" s="19"/>
    </row>
    <row r="2821">
      <c r="A2821" s="24"/>
      <c r="B2821" s="19"/>
      <c r="C2821" s="19"/>
      <c r="D2821" s="19"/>
      <c r="E2821" s="19"/>
      <c r="F2821" s="19"/>
      <c r="G2821" s="19"/>
      <c r="H2821" s="19"/>
      <c r="I2821" s="19"/>
      <c r="J2821" s="19"/>
      <c r="K2821" s="19"/>
      <c r="L2821" s="25"/>
      <c r="M2821" s="25"/>
      <c r="N2821" s="25"/>
      <c r="O2821" s="25"/>
      <c r="P2821" s="25"/>
      <c r="Q2821" s="19"/>
      <c r="R2821" s="19"/>
      <c r="S2821" s="19"/>
      <c r="T2821" s="19"/>
      <c r="U2821" s="25"/>
      <c r="V2821" s="19"/>
      <c r="W2821" s="19"/>
      <c r="X2821" s="19"/>
      <c r="Y2821" s="19"/>
      <c r="Z2821" s="19"/>
    </row>
    <row r="2822">
      <c r="A2822" s="24"/>
      <c r="B2822" s="19"/>
      <c r="C2822" s="19"/>
      <c r="D2822" s="19"/>
      <c r="E2822" s="19"/>
      <c r="F2822" s="19"/>
      <c r="G2822" s="19"/>
      <c r="H2822" s="19"/>
      <c r="I2822" s="19"/>
      <c r="J2822" s="19"/>
      <c r="K2822" s="19"/>
      <c r="L2822" s="25"/>
      <c r="M2822" s="25"/>
      <c r="N2822" s="25"/>
      <c r="O2822" s="25"/>
      <c r="P2822" s="25"/>
      <c r="Q2822" s="19"/>
      <c r="R2822" s="19"/>
      <c r="S2822" s="19"/>
      <c r="T2822" s="19"/>
      <c r="U2822" s="25"/>
      <c r="V2822" s="19"/>
      <c r="W2822" s="19"/>
      <c r="X2822" s="19"/>
      <c r="Y2822" s="19"/>
      <c r="Z2822" s="19"/>
    </row>
    <row r="2823">
      <c r="A2823" s="24"/>
      <c r="B2823" s="19"/>
      <c r="C2823" s="19"/>
      <c r="D2823" s="19"/>
      <c r="E2823" s="19"/>
      <c r="F2823" s="19"/>
      <c r="G2823" s="19"/>
      <c r="H2823" s="19"/>
      <c r="I2823" s="19"/>
      <c r="J2823" s="19"/>
      <c r="K2823" s="19"/>
      <c r="L2823" s="25"/>
      <c r="M2823" s="25"/>
      <c r="N2823" s="25"/>
      <c r="O2823" s="25"/>
      <c r="P2823" s="25"/>
      <c r="Q2823" s="19"/>
      <c r="R2823" s="19"/>
      <c r="S2823" s="19"/>
      <c r="T2823" s="19"/>
      <c r="U2823" s="25"/>
      <c r="V2823" s="19"/>
      <c r="W2823" s="19"/>
      <c r="X2823" s="19"/>
      <c r="Y2823" s="19"/>
      <c r="Z2823" s="19"/>
    </row>
    <row r="2824">
      <c r="A2824" s="24"/>
      <c r="B2824" s="19"/>
      <c r="C2824" s="19"/>
      <c r="D2824" s="19"/>
      <c r="E2824" s="19"/>
      <c r="F2824" s="19"/>
      <c r="G2824" s="19"/>
      <c r="H2824" s="19"/>
      <c r="I2824" s="19"/>
      <c r="J2824" s="19"/>
      <c r="K2824" s="19"/>
      <c r="L2824" s="25"/>
      <c r="M2824" s="25"/>
      <c r="N2824" s="25"/>
      <c r="O2824" s="25"/>
      <c r="P2824" s="25"/>
      <c r="Q2824" s="19"/>
      <c r="R2824" s="19"/>
      <c r="S2824" s="19"/>
      <c r="T2824" s="19"/>
      <c r="U2824" s="25"/>
      <c r="V2824" s="19"/>
      <c r="W2824" s="19"/>
      <c r="X2824" s="19"/>
      <c r="Y2824" s="19"/>
      <c r="Z2824" s="19"/>
    </row>
    <row r="2825">
      <c r="A2825" s="24"/>
      <c r="B2825" s="19"/>
      <c r="C2825" s="19"/>
      <c r="D2825" s="19"/>
      <c r="E2825" s="19"/>
      <c r="F2825" s="19"/>
      <c r="G2825" s="19"/>
      <c r="H2825" s="19"/>
      <c r="I2825" s="19"/>
      <c r="J2825" s="19"/>
      <c r="K2825" s="19"/>
      <c r="L2825" s="25"/>
      <c r="M2825" s="25"/>
      <c r="N2825" s="25"/>
      <c r="O2825" s="25"/>
      <c r="P2825" s="25"/>
      <c r="Q2825" s="19"/>
      <c r="R2825" s="19"/>
      <c r="S2825" s="19"/>
      <c r="T2825" s="19"/>
      <c r="U2825" s="25"/>
      <c r="V2825" s="19"/>
      <c r="W2825" s="19"/>
      <c r="X2825" s="19"/>
      <c r="Y2825" s="19"/>
      <c r="Z2825" s="19"/>
    </row>
    <row r="2826">
      <c r="A2826" s="24"/>
      <c r="B2826" s="19"/>
      <c r="C2826" s="19"/>
      <c r="D2826" s="19"/>
      <c r="E2826" s="19"/>
      <c r="F2826" s="19"/>
      <c r="G2826" s="19"/>
      <c r="H2826" s="19"/>
      <c r="I2826" s="19"/>
      <c r="J2826" s="19"/>
      <c r="K2826" s="19"/>
      <c r="L2826" s="25"/>
      <c r="M2826" s="25"/>
      <c r="N2826" s="25"/>
      <c r="O2826" s="25"/>
      <c r="P2826" s="25"/>
      <c r="Q2826" s="19"/>
      <c r="R2826" s="19"/>
      <c r="S2826" s="19"/>
      <c r="T2826" s="19"/>
      <c r="U2826" s="25"/>
      <c r="V2826" s="19"/>
      <c r="W2826" s="19"/>
      <c r="X2826" s="19"/>
      <c r="Y2826" s="19"/>
      <c r="Z2826" s="19"/>
    </row>
    <row r="2827">
      <c r="A2827" s="24"/>
      <c r="B2827" s="19"/>
      <c r="C2827" s="19"/>
      <c r="D2827" s="19"/>
      <c r="E2827" s="19"/>
      <c r="F2827" s="19"/>
      <c r="G2827" s="19"/>
      <c r="H2827" s="19"/>
      <c r="I2827" s="19"/>
      <c r="J2827" s="19"/>
      <c r="K2827" s="19"/>
      <c r="L2827" s="25"/>
      <c r="M2827" s="25"/>
      <c r="N2827" s="25"/>
      <c r="O2827" s="25"/>
      <c r="P2827" s="25"/>
      <c r="Q2827" s="19"/>
      <c r="R2827" s="19"/>
      <c r="S2827" s="19"/>
      <c r="T2827" s="19"/>
      <c r="U2827" s="25"/>
      <c r="V2827" s="19"/>
      <c r="W2827" s="19"/>
      <c r="X2827" s="19"/>
      <c r="Y2827" s="19"/>
      <c r="Z2827" s="19"/>
    </row>
    <row r="2828">
      <c r="A2828" s="24"/>
      <c r="B2828" s="19"/>
      <c r="C2828" s="19"/>
      <c r="D2828" s="19"/>
      <c r="E2828" s="19"/>
      <c r="F2828" s="19"/>
      <c r="G2828" s="19"/>
      <c r="H2828" s="19"/>
      <c r="I2828" s="19"/>
      <c r="J2828" s="19"/>
      <c r="K2828" s="19"/>
      <c r="L2828" s="25"/>
      <c r="M2828" s="25"/>
      <c r="N2828" s="25"/>
      <c r="O2828" s="25"/>
      <c r="P2828" s="25"/>
      <c r="Q2828" s="19"/>
      <c r="R2828" s="19"/>
      <c r="S2828" s="19"/>
      <c r="T2828" s="19"/>
      <c r="U2828" s="25"/>
      <c r="V2828" s="19"/>
      <c r="W2828" s="19"/>
      <c r="X2828" s="19"/>
      <c r="Y2828" s="19"/>
      <c r="Z2828" s="19"/>
    </row>
    <row r="2829">
      <c r="A2829" s="24"/>
      <c r="B2829" s="19"/>
      <c r="C2829" s="19"/>
      <c r="D2829" s="19"/>
      <c r="E2829" s="19"/>
      <c r="F2829" s="19"/>
      <c r="G2829" s="19"/>
      <c r="H2829" s="19"/>
      <c r="I2829" s="19"/>
      <c r="J2829" s="19"/>
      <c r="K2829" s="19"/>
      <c r="L2829" s="25"/>
      <c r="M2829" s="25"/>
      <c r="N2829" s="25"/>
      <c r="O2829" s="25"/>
      <c r="P2829" s="25"/>
      <c r="Q2829" s="19"/>
      <c r="R2829" s="19"/>
      <c r="S2829" s="19"/>
      <c r="T2829" s="19"/>
      <c r="U2829" s="25"/>
      <c r="V2829" s="19"/>
      <c r="W2829" s="19"/>
      <c r="X2829" s="19"/>
      <c r="Y2829" s="19"/>
      <c r="Z2829" s="19"/>
    </row>
    <row r="2830">
      <c r="A2830" s="24"/>
      <c r="B2830" s="19"/>
      <c r="C2830" s="19"/>
      <c r="D2830" s="19"/>
      <c r="E2830" s="19"/>
      <c r="F2830" s="19"/>
      <c r="G2830" s="19"/>
      <c r="H2830" s="19"/>
      <c r="I2830" s="19"/>
      <c r="J2830" s="19"/>
      <c r="K2830" s="19"/>
      <c r="L2830" s="25"/>
      <c r="M2830" s="25"/>
      <c r="N2830" s="25"/>
      <c r="O2830" s="25"/>
      <c r="P2830" s="25"/>
      <c r="Q2830" s="19"/>
      <c r="R2830" s="19"/>
      <c r="S2830" s="19"/>
      <c r="T2830" s="19"/>
      <c r="U2830" s="25"/>
      <c r="V2830" s="19"/>
      <c r="W2830" s="19"/>
      <c r="X2830" s="19"/>
      <c r="Y2830" s="19"/>
      <c r="Z2830" s="19"/>
    </row>
    <row r="2831">
      <c r="A2831" s="24"/>
      <c r="B2831" s="19"/>
      <c r="C2831" s="19"/>
      <c r="D2831" s="19"/>
      <c r="E2831" s="19"/>
      <c r="F2831" s="19"/>
      <c r="G2831" s="19"/>
      <c r="H2831" s="19"/>
      <c r="I2831" s="19"/>
      <c r="J2831" s="19"/>
      <c r="K2831" s="19"/>
      <c r="L2831" s="25"/>
      <c r="M2831" s="25"/>
      <c r="N2831" s="25"/>
      <c r="O2831" s="25"/>
      <c r="P2831" s="25"/>
      <c r="Q2831" s="19"/>
      <c r="R2831" s="19"/>
      <c r="S2831" s="19"/>
      <c r="T2831" s="19"/>
      <c r="U2831" s="25"/>
      <c r="V2831" s="19"/>
      <c r="W2831" s="19"/>
      <c r="X2831" s="19"/>
      <c r="Y2831" s="19"/>
      <c r="Z2831" s="19"/>
    </row>
    <row r="2832">
      <c r="A2832" s="24"/>
      <c r="B2832" s="19"/>
      <c r="C2832" s="19"/>
      <c r="D2832" s="19"/>
      <c r="E2832" s="19"/>
      <c r="F2832" s="19"/>
      <c r="G2832" s="19"/>
      <c r="H2832" s="19"/>
      <c r="I2832" s="19"/>
      <c r="J2832" s="19"/>
      <c r="K2832" s="19"/>
      <c r="L2832" s="25"/>
      <c r="M2832" s="25"/>
      <c r="N2832" s="25"/>
      <c r="O2832" s="25"/>
      <c r="P2832" s="25"/>
      <c r="Q2832" s="19"/>
      <c r="R2832" s="19"/>
      <c r="S2832" s="19"/>
      <c r="T2832" s="19"/>
      <c r="U2832" s="25"/>
      <c r="V2832" s="19"/>
      <c r="W2832" s="19"/>
      <c r="X2832" s="19"/>
      <c r="Y2832" s="19"/>
      <c r="Z2832" s="19"/>
    </row>
    <row r="2833">
      <c r="A2833" s="24"/>
      <c r="B2833" s="19"/>
      <c r="C2833" s="19"/>
      <c r="D2833" s="19"/>
      <c r="E2833" s="19"/>
      <c r="F2833" s="19"/>
      <c r="G2833" s="19"/>
      <c r="H2833" s="19"/>
      <c r="I2833" s="19"/>
      <c r="J2833" s="19"/>
      <c r="K2833" s="19"/>
      <c r="L2833" s="25"/>
      <c r="M2833" s="25"/>
      <c r="N2833" s="25"/>
      <c r="O2833" s="25"/>
      <c r="P2833" s="25"/>
      <c r="Q2833" s="19"/>
      <c r="R2833" s="19"/>
      <c r="S2833" s="19"/>
      <c r="T2833" s="19"/>
      <c r="U2833" s="25"/>
      <c r="V2833" s="19"/>
      <c r="W2833" s="19"/>
      <c r="X2833" s="19"/>
      <c r="Y2833" s="19"/>
      <c r="Z2833" s="19"/>
    </row>
    <row r="2834">
      <c r="A2834" s="24"/>
      <c r="B2834" s="19"/>
      <c r="C2834" s="19"/>
      <c r="D2834" s="19"/>
      <c r="E2834" s="19"/>
      <c r="F2834" s="19"/>
      <c r="G2834" s="19"/>
      <c r="H2834" s="19"/>
      <c r="I2834" s="19"/>
      <c r="J2834" s="19"/>
      <c r="K2834" s="19"/>
      <c r="L2834" s="25"/>
      <c r="M2834" s="25"/>
      <c r="N2834" s="25"/>
      <c r="O2834" s="25"/>
      <c r="P2834" s="25"/>
      <c r="Q2834" s="19"/>
      <c r="R2834" s="19"/>
      <c r="S2834" s="19"/>
      <c r="T2834" s="19"/>
      <c r="U2834" s="25"/>
      <c r="V2834" s="19"/>
      <c r="W2834" s="19"/>
      <c r="X2834" s="19"/>
      <c r="Y2834" s="19"/>
      <c r="Z2834" s="19"/>
    </row>
    <row r="2835">
      <c r="A2835" s="24"/>
      <c r="B2835" s="19"/>
      <c r="C2835" s="19"/>
      <c r="D2835" s="19"/>
      <c r="E2835" s="19"/>
      <c r="F2835" s="19"/>
      <c r="G2835" s="19"/>
      <c r="H2835" s="19"/>
      <c r="I2835" s="19"/>
      <c r="J2835" s="19"/>
      <c r="K2835" s="19"/>
      <c r="L2835" s="25"/>
      <c r="M2835" s="25"/>
      <c r="N2835" s="25"/>
      <c r="O2835" s="25"/>
      <c r="P2835" s="25"/>
      <c r="Q2835" s="19"/>
      <c r="R2835" s="19"/>
      <c r="S2835" s="19"/>
      <c r="T2835" s="19"/>
      <c r="U2835" s="25"/>
      <c r="V2835" s="19"/>
      <c r="W2835" s="19"/>
      <c r="X2835" s="19"/>
      <c r="Y2835" s="19"/>
      <c r="Z2835" s="19"/>
    </row>
    <row r="2836">
      <c r="A2836" s="24"/>
      <c r="B2836" s="19"/>
      <c r="C2836" s="19"/>
      <c r="D2836" s="19"/>
      <c r="E2836" s="19"/>
      <c r="F2836" s="19"/>
      <c r="G2836" s="19"/>
      <c r="H2836" s="19"/>
      <c r="I2836" s="19"/>
      <c r="J2836" s="19"/>
      <c r="K2836" s="19"/>
      <c r="L2836" s="25"/>
      <c r="M2836" s="25"/>
      <c r="N2836" s="25"/>
      <c r="O2836" s="25"/>
      <c r="P2836" s="25"/>
      <c r="Q2836" s="19"/>
      <c r="R2836" s="19"/>
      <c r="S2836" s="19"/>
      <c r="T2836" s="19"/>
      <c r="U2836" s="25"/>
      <c r="V2836" s="19"/>
      <c r="W2836" s="19"/>
      <c r="X2836" s="19"/>
      <c r="Y2836" s="19"/>
      <c r="Z2836" s="19"/>
    </row>
    <row r="2837">
      <c r="A2837" s="24"/>
      <c r="B2837" s="19"/>
      <c r="C2837" s="19"/>
      <c r="D2837" s="19"/>
      <c r="E2837" s="19"/>
      <c r="F2837" s="19"/>
      <c r="G2837" s="19"/>
      <c r="H2837" s="19"/>
      <c r="I2837" s="19"/>
      <c r="J2837" s="19"/>
      <c r="K2837" s="19"/>
      <c r="L2837" s="25"/>
      <c r="M2837" s="25"/>
      <c r="N2837" s="25"/>
      <c r="O2837" s="25"/>
      <c r="P2837" s="25"/>
      <c r="Q2837" s="19"/>
      <c r="R2837" s="19"/>
      <c r="S2837" s="19"/>
      <c r="T2837" s="19"/>
      <c r="U2837" s="25"/>
      <c r="V2837" s="19"/>
      <c r="W2837" s="19"/>
      <c r="X2837" s="19"/>
      <c r="Y2837" s="19"/>
      <c r="Z2837" s="19"/>
    </row>
    <row r="2838">
      <c r="A2838" s="24"/>
      <c r="B2838" s="19"/>
      <c r="C2838" s="19"/>
      <c r="D2838" s="19"/>
      <c r="E2838" s="19"/>
      <c r="F2838" s="19"/>
      <c r="G2838" s="19"/>
      <c r="H2838" s="19"/>
      <c r="I2838" s="19"/>
      <c r="J2838" s="19"/>
      <c r="K2838" s="19"/>
      <c r="L2838" s="25"/>
      <c r="M2838" s="25"/>
      <c r="N2838" s="25"/>
      <c r="O2838" s="25"/>
      <c r="P2838" s="25"/>
      <c r="Q2838" s="19"/>
      <c r="R2838" s="19"/>
      <c r="S2838" s="19"/>
      <c r="T2838" s="19"/>
      <c r="U2838" s="25"/>
      <c r="V2838" s="19"/>
      <c r="W2838" s="19"/>
      <c r="X2838" s="19"/>
      <c r="Y2838" s="19"/>
      <c r="Z2838" s="19"/>
    </row>
    <row r="2839">
      <c r="A2839" s="24"/>
      <c r="B2839" s="19"/>
      <c r="C2839" s="19"/>
      <c r="D2839" s="19"/>
      <c r="E2839" s="19"/>
      <c r="F2839" s="19"/>
      <c r="G2839" s="19"/>
      <c r="H2839" s="19"/>
      <c r="I2839" s="19"/>
      <c r="J2839" s="19"/>
      <c r="K2839" s="19"/>
      <c r="L2839" s="25"/>
      <c r="M2839" s="25"/>
      <c r="N2839" s="25"/>
      <c r="O2839" s="25"/>
      <c r="P2839" s="25"/>
      <c r="Q2839" s="19"/>
      <c r="R2839" s="19"/>
      <c r="S2839" s="19"/>
      <c r="T2839" s="19"/>
      <c r="U2839" s="25"/>
      <c r="V2839" s="19"/>
      <c r="W2839" s="19"/>
      <c r="X2839" s="19"/>
      <c r="Y2839" s="19"/>
      <c r="Z2839" s="19"/>
    </row>
    <row r="2840">
      <c r="A2840" s="24"/>
      <c r="B2840" s="19"/>
      <c r="C2840" s="19"/>
      <c r="D2840" s="19"/>
      <c r="E2840" s="19"/>
      <c r="F2840" s="19"/>
      <c r="G2840" s="19"/>
      <c r="H2840" s="19"/>
      <c r="I2840" s="19"/>
      <c r="J2840" s="19"/>
      <c r="K2840" s="19"/>
      <c r="L2840" s="25"/>
      <c r="M2840" s="25"/>
      <c r="N2840" s="25"/>
      <c r="O2840" s="25"/>
      <c r="P2840" s="25"/>
      <c r="Q2840" s="19"/>
      <c r="R2840" s="19"/>
      <c r="S2840" s="19"/>
      <c r="T2840" s="19"/>
      <c r="U2840" s="25"/>
      <c r="V2840" s="19"/>
      <c r="W2840" s="19"/>
      <c r="X2840" s="19"/>
      <c r="Y2840" s="19"/>
      <c r="Z2840" s="19"/>
    </row>
    <row r="2841">
      <c r="A2841" s="24"/>
      <c r="B2841" s="19"/>
      <c r="C2841" s="19"/>
      <c r="D2841" s="19"/>
      <c r="E2841" s="19"/>
      <c r="F2841" s="19"/>
      <c r="G2841" s="19"/>
      <c r="H2841" s="19"/>
      <c r="I2841" s="19"/>
      <c r="J2841" s="19"/>
      <c r="K2841" s="19"/>
      <c r="L2841" s="25"/>
      <c r="M2841" s="25"/>
      <c r="N2841" s="25"/>
      <c r="O2841" s="25"/>
      <c r="P2841" s="25"/>
      <c r="Q2841" s="19"/>
      <c r="R2841" s="19"/>
      <c r="S2841" s="19"/>
      <c r="T2841" s="19"/>
      <c r="U2841" s="25"/>
      <c r="V2841" s="19"/>
      <c r="W2841" s="19"/>
      <c r="X2841" s="19"/>
      <c r="Y2841" s="19"/>
      <c r="Z2841" s="19"/>
    </row>
    <row r="2842">
      <c r="A2842" s="24"/>
      <c r="B2842" s="19"/>
      <c r="C2842" s="19"/>
      <c r="D2842" s="19"/>
      <c r="E2842" s="19"/>
      <c r="F2842" s="19"/>
      <c r="G2842" s="19"/>
      <c r="H2842" s="19"/>
      <c r="I2842" s="19"/>
      <c r="J2842" s="19"/>
      <c r="K2842" s="19"/>
      <c r="L2842" s="25"/>
      <c r="M2842" s="25"/>
      <c r="N2842" s="25"/>
      <c r="O2842" s="25"/>
      <c r="P2842" s="25"/>
      <c r="Q2842" s="19"/>
      <c r="R2842" s="19"/>
      <c r="S2842" s="19"/>
      <c r="T2842" s="19"/>
      <c r="U2842" s="25"/>
      <c r="V2842" s="19"/>
      <c r="W2842" s="19"/>
      <c r="X2842" s="19"/>
      <c r="Y2842" s="19"/>
      <c r="Z2842" s="19"/>
    </row>
    <row r="2843">
      <c r="A2843" s="24"/>
      <c r="B2843" s="19"/>
      <c r="C2843" s="19"/>
      <c r="D2843" s="19"/>
      <c r="E2843" s="19"/>
      <c r="F2843" s="19"/>
      <c r="G2843" s="19"/>
      <c r="H2843" s="19"/>
      <c r="I2843" s="19"/>
      <c r="J2843" s="19"/>
      <c r="K2843" s="19"/>
      <c r="L2843" s="25"/>
      <c r="M2843" s="25"/>
      <c r="N2843" s="25"/>
      <c r="O2843" s="25"/>
      <c r="P2843" s="25"/>
      <c r="Q2843" s="19"/>
      <c r="R2843" s="19"/>
      <c r="S2843" s="19"/>
      <c r="T2843" s="19"/>
      <c r="U2843" s="25"/>
      <c r="V2843" s="19"/>
      <c r="W2843" s="19"/>
      <c r="X2843" s="19"/>
      <c r="Y2843" s="19"/>
      <c r="Z2843" s="19"/>
    </row>
    <row r="2844">
      <c r="A2844" s="24"/>
      <c r="B2844" s="19"/>
      <c r="C2844" s="19"/>
      <c r="D2844" s="19"/>
      <c r="E2844" s="19"/>
      <c r="F2844" s="19"/>
      <c r="G2844" s="19"/>
      <c r="H2844" s="19"/>
      <c r="I2844" s="19"/>
      <c r="J2844" s="19"/>
      <c r="K2844" s="19"/>
      <c r="L2844" s="25"/>
      <c r="M2844" s="25"/>
      <c r="N2844" s="25"/>
      <c r="O2844" s="25"/>
      <c r="P2844" s="25"/>
      <c r="Q2844" s="19"/>
      <c r="R2844" s="19"/>
      <c r="S2844" s="19"/>
      <c r="T2844" s="19"/>
      <c r="U2844" s="25"/>
      <c r="V2844" s="19"/>
      <c r="W2844" s="19"/>
      <c r="X2844" s="19"/>
      <c r="Y2844" s="19"/>
      <c r="Z2844" s="19"/>
    </row>
    <row r="2845">
      <c r="A2845" s="24"/>
      <c r="B2845" s="19"/>
      <c r="C2845" s="19"/>
      <c r="D2845" s="19"/>
      <c r="E2845" s="19"/>
      <c r="F2845" s="19"/>
      <c r="G2845" s="19"/>
      <c r="H2845" s="19"/>
      <c r="I2845" s="19"/>
      <c r="J2845" s="19"/>
      <c r="K2845" s="19"/>
      <c r="L2845" s="25"/>
      <c r="M2845" s="25"/>
      <c r="N2845" s="25"/>
      <c r="O2845" s="25"/>
      <c r="P2845" s="25"/>
      <c r="Q2845" s="19"/>
      <c r="R2845" s="19"/>
      <c r="S2845" s="19"/>
      <c r="T2845" s="19"/>
      <c r="U2845" s="25"/>
      <c r="V2845" s="19"/>
      <c r="W2845" s="19"/>
      <c r="X2845" s="19"/>
      <c r="Y2845" s="19"/>
      <c r="Z2845" s="19"/>
    </row>
    <row r="2846">
      <c r="A2846" s="24"/>
      <c r="B2846" s="19"/>
      <c r="C2846" s="19"/>
      <c r="D2846" s="19"/>
      <c r="E2846" s="19"/>
      <c r="F2846" s="19"/>
      <c r="G2846" s="19"/>
      <c r="H2846" s="19"/>
      <c r="I2846" s="19"/>
      <c r="J2846" s="19"/>
      <c r="K2846" s="19"/>
      <c r="L2846" s="25"/>
      <c r="M2846" s="25"/>
      <c r="N2846" s="25"/>
      <c r="O2846" s="25"/>
      <c r="P2846" s="25"/>
      <c r="Q2846" s="19"/>
      <c r="R2846" s="19"/>
      <c r="S2846" s="19"/>
      <c r="T2846" s="19"/>
      <c r="U2846" s="25"/>
      <c r="V2846" s="19"/>
      <c r="W2846" s="19"/>
      <c r="X2846" s="19"/>
      <c r="Y2846" s="19"/>
      <c r="Z2846" s="19"/>
    </row>
    <row r="2847">
      <c r="A2847" s="24"/>
      <c r="B2847" s="19"/>
      <c r="C2847" s="19"/>
      <c r="D2847" s="19"/>
      <c r="E2847" s="19"/>
      <c r="F2847" s="19"/>
      <c r="G2847" s="19"/>
      <c r="H2847" s="19"/>
      <c r="I2847" s="19"/>
      <c r="J2847" s="19"/>
      <c r="K2847" s="19"/>
      <c r="L2847" s="25"/>
      <c r="M2847" s="25"/>
      <c r="N2847" s="25"/>
      <c r="O2847" s="25"/>
      <c r="P2847" s="25"/>
      <c r="Q2847" s="19"/>
      <c r="R2847" s="19"/>
      <c r="S2847" s="19"/>
      <c r="T2847" s="19"/>
      <c r="U2847" s="25"/>
      <c r="V2847" s="19"/>
      <c r="W2847" s="19"/>
      <c r="X2847" s="19"/>
      <c r="Y2847" s="19"/>
      <c r="Z2847" s="19"/>
    </row>
    <row r="2848">
      <c r="A2848" s="24"/>
      <c r="B2848" s="19"/>
      <c r="C2848" s="19"/>
      <c r="D2848" s="19"/>
      <c r="E2848" s="19"/>
      <c r="F2848" s="19"/>
      <c r="G2848" s="19"/>
      <c r="H2848" s="19"/>
      <c r="I2848" s="19"/>
      <c r="J2848" s="19"/>
      <c r="K2848" s="19"/>
      <c r="L2848" s="25"/>
      <c r="M2848" s="25"/>
      <c r="N2848" s="25"/>
      <c r="O2848" s="25"/>
      <c r="P2848" s="25"/>
      <c r="Q2848" s="19"/>
      <c r="R2848" s="19"/>
      <c r="S2848" s="19"/>
      <c r="T2848" s="19"/>
      <c r="U2848" s="25"/>
      <c r="V2848" s="19"/>
      <c r="W2848" s="19"/>
      <c r="X2848" s="19"/>
      <c r="Y2848" s="19"/>
      <c r="Z2848" s="19"/>
    </row>
    <row r="2849">
      <c r="A2849" s="24"/>
      <c r="B2849" s="19"/>
      <c r="C2849" s="19"/>
      <c r="D2849" s="19"/>
      <c r="E2849" s="19"/>
      <c r="F2849" s="19"/>
      <c r="G2849" s="19"/>
      <c r="H2849" s="19"/>
      <c r="I2849" s="19"/>
      <c r="J2849" s="19"/>
      <c r="K2849" s="19"/>
      <c r="L2849" s="25"/>
      <c r="M2849" s="25"/>
      <c r="N2849" s="25"/>
      <c r="O2849" s="25"/>
      <c r="P2849" s="25"/>
      <c r="Q2849" s="19"/>
      <c r="R2849" s="19"/>
      <c r="S2849" s="19"/>
      <c r="T2849" s="19"/>
      <c r="U2849" s="25"/>
      <c r="V2849" s="19"/>
      <c r="W2849" s="19"/>
      <c r="X2849" s="19"/>
      <c r="Y2849" s="19"/>
      <c r="Z2849" s="19"/>
    </row>
    <row r="2850">
      <c r="A2850" s="24"/>
      <c r="B2850" s="19"/>
      <c r="C2850" s="19"/>
      <c r="D2850" s="19"/>
      <c r="E2850" s="19"/>
      <c r="F2850" s="19"/>
      <c r="G2850" s="19"/>
      <c r="H2850" s="19"/>
      <c r="I2850" s="19"/>
      <c r="J2850" s="19"/>
      <c r="K2850" s="19"/>
      <c r="L2850" s="25"/>
      <c r="M2850" s="25"/>
      <c r="N2850" s="25"/>
      <c r="O2850" s="25"/>
      <c r="P2850" s="25"/>
      <c r="Q2850" s="19"/>
      <c r="R2850" s="19"/>
      <c r="S2850" s="19"/>
      <c r="T2850" s="19"/>
      <c r="U2850" s="25"/>
      <c r="V2850" s="19"/>
      <c r="W2850" s="19"/>
      <c r="X2850" s="19"/>
      <c r="Y2850" s="19"/>
      <c r="Z2850" s="19"/>
    </row>
    <row r="2851">
      <c r="A2851" s="24"/>
      <c r="B2851" s="19"/>
      <c r="C2851" s="19"/>
      <c r="D2851" s="19"/>
      <c r="E2851" s="19"/>
      <c r="F2851" s="19"/>
      <c r="G2851" s="19"/>
      <c r="H2851" s="19"/>
      <c r="I2851" s="19"/>
      <c r="J2851" s="19"/>
      <c r="K2851" s="19"/>
      <c r="L2851" s="25"/>
      <c r="M2851" s="25"/>
      <c r="N2851" s="25"/>
      <c r="O2851" s="25"/>
      <c r="P2851" s="25"/>
      <c r="Q2851" s="19"/>
      <c r="R2851" s="19"/>
      <c r="S2851" s="19"/>
      <c r="T2851" s="19"/>
      <c r="U2851" s="25"/>
      <c r="V2851" s="19"/>
      <c r="W2851" s="19"/>
      <c r="X2851" s="19"/>
      <c r="Y2851" s="19"/>
      <c r="Z2851" s="19"/>
    </row>
    <row r="2852">
      <c r="A2852" s="24"/>
      <c r="B2852" s="19"/>
      <c r="C2852" s="19"/>
      <c r="D2852" s="19"/>
      <c r="E2852" s="19"/>
      <c r="F2852" s="19"/>
      <c r="G2852" s="19"/>
      <c r="H2852" s="19"/>
      <c r="I2852" s="19"/>
      <c r="J2852" s="19"/>
      <c r="K2852" s="19"/>
      <c r="L2852" s="25"/>
      <c r="M2852" s="25"/>
      <c r="N2852" s="25"/>
      <c r="O2852" s="25"/>
      <c r="P2852" s="25"/>
      <c r="Q2852" s="19"/>
      <c r="R2852" s="19"/>
      <c r="S2852" s="19"/>
      <c r="T2852" s="19"/>
      <c r="U2852" s="25"/>
      <c r="V2852" s="19"/>
      <c r="W2852" s="19"/>
      <c r="X2852" s="19"/>
      <c r="Y2852" s="19"/>
      <c r="Z2852" s="19"/>
    </row>
    <row r="2853">
      <c r="A2853" s="24"/>
      <c r="B2853" s="19"/>
      <c r="C2853" s="19"/>
      <c r="D2853" s="19"/>
      <c r="E2853" s="19"/>
      <c r="F2853" s="19"/>
      <c r="G2853" s="19"/>
      <c r="H2853" s="19"/>
      <c r="I2853" s="19"/>
      <c r="J2853" s="19"/>
      <c r="K2853" s="19"/>
      <c r="L2853" s="25"/>
      <c r="M2853" s="25"/>
      <c r="N2853" s="25"/>
      <c r="O2853" s="25"/>
      <c r="P2853" s="25"/>
      <c r="Q2853" s="19"/>
      <c r="R2853" s="19"/>
      <c r="S2853" s="19"/>
      <c r="T2853" s="19"/>
      <c r="U2853" s="25"/>
      <c r="V2853" s="19"/>
      <c r="W2853" s="19"/>
      <c r="X2853" s="19"/>
      <c r="Y2853" s="19"/>
      <c r="Z2853" s="19"/>
    </row>
    <row r="2854">
      <c r="A2854" s="24"/>
      <c r="B2854" s="19"/>
      <c r="C2854" s="19"/>
      <c r="D2854" s="19"/>
      <c r="E2854" s="19"/>
      <c r="F2854" s="19"/>
      <c r="G2854" s="19"/>
      <c r="H2854" s="19"/>
      <c r="I2854" s="19"/>
      <c r="J2854" s="19"/>
      <c r="K2854" s="19"/>
      <c r="L2854" s="25"/>
      <c r="M2854" s="25"/>
      <c r="N2854" s="25"/>
      <c r="O2854" s="25"/>
      <c r="P2854" s="25"/>
      <c r="Q2854" s="19"/>
      <c r="R2854" s="19"/>
      <c r="S2854" s="19"/>
      <c r="T2854" s="19"/>
      <c r="U2854" s="25"/>
      <c r="V2854" s="19"/>
      <c r="W2854" s="19"/>
      <c r="X2854" s="19"/>
      <c r="Y2854" s="19"/>
      <c r="Z2854" s="19"/>
    </row>
    <row r="2855">
      <c r="A2855" s="24"/>
      <c r="B2855" s="19"/>
      <c r="C2855" s="19"/>
      <c r="D2855" s="19"/>
      <c r="E2855" s="19"/>
      <c r="F2855" s="19"/>
      <c r="G2855" s="19"/>
      <c r="H2855" s="19"/>
      <c r="I2855" s="19"/>
      <c r="J2855" s="19"/>
      <c r="K2855" s="19"/>
      <c r="L2855" s="25"/>
      <c r="M2855" s="25"/>
      <c r="N2855" s="25"/>
      <c r="O2855" s="25"/>
      <c r="P2855" s="25"/>
      <c r="Q2855" s="19"/>
      <c r="R2855" s="19"/>
      <c r="S2855" s="19"/>
      <c r="T2855" s="19"/>
      <c r="U2855" s="25"/>
      <c r="V2855" s="19"/>
      <c r="W2855" s="19"/>
      <c r="X2855" s="19"/>
      <c r="Y2855" s="19"/>
      <c r="Z2855" s="19"/>
    </row>
    <row r="2856">
      <c r="A2856" s="24"/>
      <c r="B2856" s="19"/>
      <c r="C2856" s="19"/>
      <c r="D2856" s="19"/>
      <c r="E2856" s="19"/>
      <c r="F2856" s="19"/>
      <c r="G2856" s="19"/>
      <c r="H2856" s="19"/>
      <c r="I2856" s="19"/>
      <c r="J2856" s="19"/>
      <c r="K2856" s="19"/>
      <c r="L2856" s="25"/>
      <c r="M2856" s="25"/>
      <c r="N2856" s="25"/>
      <c r="O2856" s="25"/>
      <c r="P2856" s="25"/>
      <c r="Q2856" s="19"/>
      <c r="R2856" s="19"/>
      <c r="S2856" s="19"/>
      <c r="T2856" s="19"/>
      <c r="U2856" s="25"/>
      <c r="V2856" s="19"/>
      <c r="W2856" s="19"/>
      <c r="X2856" s="19"/>
      <c r="Y2856" s="19"/>
      <c r="Z2856" s="19"/>
    </row>
    <row r="2857">
      <c r="A2857" s="24"/>
      <c r="B2857" s="19"/>
      <c r="C2857" s="19"/>
      <c r="D2857" s="19"/>
      <c r="E2857" s="19"/>
      <c r="F2857" s="19"/>
      <c r="G2857" s="19"/>
      <c r="H2857" s="19"/>
      <c r="I2857" s="19"/>
      <c r="J2857" s="19"/>
      <c r="K2857" s="19"/>
      <c r="L2857" s="25"/>
      <c r="M2857" s="25"/>
      <c r="N2857" s="25"/>
      <c r="O2857" s="25"/>
      <c r="P2857" s="25"/>
      <c r="Q2857" s="19"/>
      <c r="R2857" s="19"/>
      <c r="S2857" s="19"/>
      <c r="T2857" s="19"/>
      <c r="U2857" s="25"/>
      <c r="V2857" s="19"/>
      <c r="W2857" s="19"/>
      <c r="X2857" s="19"/>
      <c r="Y2857" s="19"/>
      <c r="Z2857" s="19"/>
    </row>
    <row r="2858">
      <c r="A2858" s="24"/>
      <c r="B2858" s="19"/>
      <c r="C2858" s="19"/>
      <c r="D2858" s="19"/>
      <c r="E2858" s="19"/>
      <c r="F2858" s="19"/>
      <c r="G2858" s="19"/>
      <c r="H2858" s="19"/>
      <c r="I2858" s="19"/>
      <c r="J2858" s="19"/>
      <c r="K2858" s="19"/>
      <c r="L2858" s="25"/>
      <c r="M2858" s="25"/>
      <c r="N2858" s="25"/>
      <c r="O2858" s="25"/>
      <c r="P2858" s="25"/>
      <c r="Q2858" s="19"/>
      <c r="R2858" s="19"/>
      <c r="S2858" s="19"/>
      <c r="T2858" s="19"/>
      <c r="U2858" s="25"/>
      <c r="V2858" s="19"/>
      <c r="W2858" s="19"/>
      <c r="X2858" s="19"/>
      <c r="Y2858" s="19"/>
      <c r="Z2858" s="19"/>
    </row>
    <row r="2859">
      <c r="A2859" s="24"/>
      <c r="B2859" s="19"/>
      <c r="C2859" s="19"/>
      <c r="D2859" s="19"/>
      <c r="E2859" s="19"/>
      <c r="F2859" s="19"/>
      <c r="G2859" s="19"/>
      <c r="H2859" s="19"/>
      <c r="I2859" s="19"/>
      <c r="J2859" s="19"/>
      <c r="K2859" s="19"/>
      <c r="L2859" s="25"/>
      <c r="M2859" s="25"/>
      <c r="N2859" s="25"/>
      <c r="O2859" s="25"/>
      <c r="P2859" s="25"/>
      <c r="Q2859" s="19"/>
      <c r="R2859" s="19"/>
      <c r="S2859" s="19"/>
      <c r="T2859" s="19"/>
      <c r="U2859" s="25"/>
      <c r="V2859" s="19"/>
      <c r="W2859" s="19"/>
      <c r="X2859" s="19"/>
      <c r="Y2859" s="19"/>
      <c r="Z2859" s="19"/>
    </row>
    <row r="2860">
      <c r="A2860" s="24"/>
      <c r="B2860" s="19"/>
      <c r="C2860" s="19"/>
      <c r="D2860" s="19"/>
      <c r="E2860" s="19"/>
      <c r="F2860" s="19"/>
      <c r="G2860" s="19"/>
      <c r="H2860" s="19"/>
      <c r="I2860" s="19"/>
      <c r="J2860" s="19"/>
      <c r="K2860" s="19"/>
      <c r="L2860" s="25"/>
      <c r="M2860" s="25"/>
      <c r="N2860" s="25"/>
      <c r="O2860" s="25"/>
      <c r="P2860" s="25"/>
      <c r="Q2860" s="19"/>
      <c r="R2860" s="19"/>
      <c r="S2860" s="19"/>
      <c r="T2860" s="19"/>
      <c r="U2860" s="25"/>
      <c r="V2860" s="19"/>
      <c r="W2860" s="19"/>
      <c r="X2860" s="19"/>
      <c r="Y2860" s="19"/>
      <c r="Z2860" s="19"/>
    </row>
    <row r="2861">
      <c r="A2861" s="24"/>
      <c r="B2861" s="19"/>
      <c r="C2861" s="19"/>
      <c r="D2861" s="19"/>
      <c r="E2861" s="19"/>
      <c r="F2861" s="19"/>
      <c r="G2861" s="19"/>
      <c r="H2861" s="19"/>
      <c r="I2861" s="19"/>
      <c r="J2861" s="19"/>
      <c r="K2861" s="19"/>
      <c r="L2861" s="25"/>
      <c r="M2861" s="25"/>
      <c r="N2861" s="25"/>
      <c r="O2861" s="25"/>
      <c r="P2861" s="25"/>
      <c r="Q2861" s="19"/>
      <c r="R2861" s="19"/>
      <c r="S2861" s="19"/>
      <c r="T2861" s="19"/>
      <c r="U2861" s="25"/>
      <c r="V2861" s="19"/>
      <c r="W2861" s="19"/>
      <c r="X2861" s="19"/>
      <c r="Y2861" s="19"/>
      <c r="Z2861" s="19"/>
    </row>
    <row r="2862">
      <c r="A2862" s="24"/>
      <c r="B2862" s="19"/>
      <c r="C2862" s="19"/>
      <c r="D2862" s="19"/>
      <c r="E2862" s="19"/>
      <c r="F2862" s="19"/>
      <c r="G2862" s="19"/>
      <c r="H2862" s="19"/>
      <c r="I2862" s="19"/>
      <c r="J2862" s="19"/>
      <c r="K2862" s="19"/>
      <c r="L2862" s="25"/>
      <c r="M2862" s="25"/>
      <c r="N2862" s="25"/>
      <c r="O2862" s="25"/>
      <c r="P2862" s="25"/>
      <c r="Q2862" s="19"/>
      <c r="R2862" s="19"/>
      <c r="S2862" s="19"/>
      <c r="T2862" s="19"/>
      <c r="U2862" s="25"/>
      <c r="V2862" s="19"/>
      <c r="W2862" s="19"/>
      <c r="X2862" s="19"/>
      <c r="Y2862" s="19"/>
      <c r="Z2862" s="19"/>
    </row>
    <row r="2863">
      <c r="A2863" s="24"/>
      <c r="B2863" s="19"/>
      <c r="C2863" s="19"/>
      <c r="D2863" s="19"/>
      <c r="E2863" s="19"/>
      <c r="F2863" s="19"/>
      <c r="G2863" s="19"/>
      <c r="H2863" s="19"/>
      <c r="I2863" s="19"/>
      <c r="J2863" s="19"/>
      <c r="K2863" s="19"/>
      <c r="L2863" s="25"/>
      <c r="M2863" s="25"/>
      <c r="N2863" s="25"/>
      <c r="O2863" s="25"/>
      <c r="P2863" s="25"/>
      <c r="Q2863" s="19"/>
      <c r="R2863" s="19"/>
      <c r="S2863" s="19"/>
      <c r="T2863" s="19"/>
      <c r="U2863" s="25"/>
      <c r="V2863" s="19"/>
      <c r="W2863" s="19"/>
      <c r="X2863" s="19"/>
      <c r="Y2863" s="19"/>
      <c r="Z2863" s="19"/>
    </row>
    <row r="2864">
      <c r="A2864" s="24"/>
      <c r="B2864" s="19"/>
      <c r="C2864" s="19"/>
      <c r="D2864" s="19"/>
      <c r="E2864" s="19"/>
      <c r="F2864" s="19"/>
      <c r="G2864" s="19"/>
      <c r="H2864" s="19"/>
      <c r="I2864" s="19"/>
      <c r="J2864" s="19"/>
      <c r="K2864" s="19"/>
      <c r="L2864" s="25"/>
      <c r="M2864" s="25"/>
      <c r="N2864" s="25"/>
      <c r="O2864" s="25"/>
      <c r="P2864" s="25"/>
      <c r="Q2864" s="19"/>
      <c r="R2864" s="19"/>
      <c r="S2864" s="19"/>
      <c r="T2864" s="19"/>
      <c r="U2864" s="25"/>
      <c r="V2864" s="19"/>
      <c r="W2864" s="19"/>
      <c r="X2864" s="19"/>
      <c r="Y2864" s="19"/>
      <c r="Z2864" s="19"/>
    </row>
    <row r="2865">
      <c r="A2865" s="24"/>
      <c r="B2865" s="19"/>
      <c r="C2865" s="19"/>
      <c r="D2865" s="19"/>
      <c r="E2865" s="19"/>
      <c r="F2865" s="19"/>
      <c r="G2865" s="19"/>
      <c r="H2865" s="19"/>
      <c r="I2865" s="19"/>
      <c r="J2865" s="19"/>
      <c r="K2865" s="19"/>
      <c r="L2865" s="25"/>
      <c r="M2865" s="25"/>
      <c r="N2865" s="25"/>
      <c r="O2865" s="25"/>
      <c r="P2865" s="25"/>
      <c r="Q2865" s="19"/>
      <c r="R2865" s="19"/>
      <c r="S2865" s="19"/>
      <c r="T2865" s="19"/>
      <c r="U2865" s="25"/>
      <c r="V2865" s="19"/>
      <c r="W2865" s="19"/>
      <c r="X2865" s="19"/>
      <c r="Y2865" s="19"/>
      <c r="Z2865" s="19"/>
    </row>
    <row r="2866">
      <c r="A2866" s="24"/>
      <c r="B2866" s="19"/>
      <c r="C2866" s="19"/>
      <c r="D2866" s="19"/>
      <c r="E2866" s="19"/>
      <c r="F2866" s="19"/>
      <c r="G2866" s="19"/>
      <c r="H2866" s="19"/>
      <c r="I2866" s="19"/>
      <c r="J2866" s="19"/>
      <c r="K2866" s="19"/>
      <c r="L2866" s="25"/>
      <c r="M2866" s="25"/>
      <c r="N2866" s="25"/>
      <c r="O2866" s="25"/>
      <c r="P2866" s="25"/>
      <c r="Q2866" s="19"/>
      <c r="R2866" s="19"/>
      <c r="S2866" s="19"/>
      <c r="T2866" s="19"/>
      <c r="U2866" s="25"/>
      <c r="V2866" s="19"/>
      <c r="W2866" s="19"/>
      <c r="X2866" s="19"/>
      <c r="Y2866" s="19"/>
      <c r="Z2866" s="19"/>
    </row>
    <row r="2867">
      <c r="A2867" s="24"/>
      <c r="B2867" s="19"/>
      <c r="C2867" s="19"/>
      <c r="D2867" s="19"/>
      <c r="E2867" s="19"/>
      <c r="F2867" s="19"/>
      <c r="G2867" s="19"/>
      <c r="H2867" s="19"/>
      <c r="I2867" s="19"/>
      <c r="J2867" s="19"/>
      <c r="K2867" s="19"/>
      <c r="L2867" s="25"/>
      <c r="M2867" s="25"/>
      <c r="N2867" s="25"/>
      <c r="O2867" s="25"/>
      <c r="P2867" s="25"/>
      <c r="Q2867" s="19"/>
      <c r="R2867" s="19"/>
      <c r="S2867" s="19"/>
      <c r="T2867" s="19"/>
      <c r="U2867" s="25"/>
      <c r="V2867" s="19"/>
      <c r="W2867" s="19"/>
      <c r="X2867" s="19"/>
      <c r="Y2867" s="19"/>
      <c r="Z2867" s="19"/>
    </row>
    <row r="2868">
      <c r="A2868" s="24"/>
      <c r="B2868" s="19"/>
      <c r="C2868" s="19"/>
      <c r="D2868" s="19"/>
      <c r="E2868" s="19"/>
      <c r="F2868" s="19"/>
      <c r="G2868" s="19"/>
      <c r="H2868" s="19"/>
      <c r="I2868" s="19"/>
      <c r="J2868" s="19"/>
      <c r="K2868" s="19"/>
      <c r="L2868" s="25"/>
      <c r="M2868" s="25"/>
      <c r="N2868" s="25"/>
      <c r="O2868" s="25"/>
      <c r="P2868" s="25"/>
      <c r="Q2868" s="19"/>
      <c r="R2868" s="19"/>
      <c r="S2868" s="19"/>
      <c r="T2868" s="19"/>
      <c r="U2868" s="25"/>
      <c r="V2868" s="19"/>
      <c r="W2868" s="19"/>
      <c r="X2868" s="19"/>
      <c r="Y2868" s="19"/>
      <c r="Z2868" s="19"/>
    </row>
    <row r="2869">
      <c r="A2869" s="24"/>
      <c r="B2869" s="19"/>
      <c r="C2869" s="19"/>
      <c r="D2869" s="19"/>
      <c r="E2869" s="19"/>
      <c r="F2869" s="19"/>
      <c r="G2869" s="19"/>
      <c r="H2869" s="19"/>
      <c r="I2869" s="19"/>
      <c r="J2869" s="19"/>
      <c r="K2869" s="19"/>
      <c r="L2869" s="25"/>
      <c r="M2869" s="25"/>
      <c r="N2869" s="25"/>
      <c r="O2869" s="25"/>
      <c r="P2869" s="25"/>
      <c r="Q2869" s="19"/>
      <c r="R2869" s="19"/>
      <c r="S2869" s="19"/>
      <c r="T2869" s="19"/>
      <c r="U2869" s="25"/>
      <c r="V2869" s="19"/>
      <c r="W2869" s="19"/>
      <c r="X2869" s="19"/>
      <c r="Y2869" s="19"/>
      <c r="Z2869" s="19"/>
    </row>
    <row r="2870">
      <c r="A2870" s="24"/>
      <c r="B2870" s="19"/>
      <c r="C2870" s="19"/>
      <c r="D2870" s="19"/>
      <c r="E2870" s="19"/>
      <c r="F2870" s="19"/>
      <c r="G2870" s="19"/>
      <c r="H2870" s="19"/>
      <c r="I2870" s="19"/>
      <c r="J2870" s="19"/>
      <c r="K2870" s="19"/>
      <c r="L2870" s="25"/>
      <c r="M2870" s="25"/>
      <c r="N2870" s="25"/>
      <c r="O2870" s="25"/>
      <c r="P2870" s="25"/>
      <c r="Q2870" s="19"/>
      <c r="R2870" s="19"/>
      <c r="S2870" s="19"/>
      <c r="T2870" s="19"/>
      <c r="U2870" s="25"/>
      <c r="V2870" s="19"/>
      <c r="W2870" s="19"/>
      <c r="X2870" s="19"/>
      <c r="Y2870" s="19"/>
      <c r="Z2870" s="19"/>
    </row>
    <row r="2871">
      <c r="A2871" s="24"/>
      <c r="B2871" s="19"/>
      <c r="C2871" s="19"/>
      <c r="D2871" s="19"/>
      <c r="E2871" s="19"/>
      <c r="F2871" s="19"/>
      <c r="G2871" s="19"/>
      <c r="H2871" s="19"/>
      <c r="I2871" s="19"/>
      <c r="J2871" s="19"/>
      <c r="K2871" s="19"/>
      <c r="L2871" s="25"/>
      <c r="M2871" s="25"/>
      <c r="N2871" s="25"/>
      <c r="O2871" s="25"/>
      <c r="P2871" s="25"/>
      <c r="Q2871" s="19"/>
      <c r="R2871" s="19"/>
      <c r="S2871" s="19"/>
      <c r="T2871" s="19"/>
      <c r="U2871" s="25"/>
      <c r="V2871" s="19"/>
      <c r="W2871" s="19"/>
      <c r="X2871" s="19"/>
      <c r="Y2871" s="19"/>
      <c r="Z2871" s="19"/>
    </row>
    <row r="2872">
      <c r="A2872" s="24"/>
      <c r="B2872" s="19"/>
      <c r="C2872" s="19"/>
      <c r="D2872" s="19"/>
      <c r="E2872" s="19"/>
      <c r="F2872" s="19"/>
      <c r="G2872" s="19"/>
      <c r="H2872" s="19"/>
      <c r="I2872" s="19"/>
      <c r="J2872" s="19"/>
      <c r="K2872" s="19"/>
      <c r="L2872" s="25"/>
      <c r="M2872" s="25"/>
      <c r="N2872" s="25"/>
      <c r="O2872" s="25"/>
      <c r="P2872" s="25"/>
      <c r="Q2872" s="19"/>
      <c r="R2872" s="19"/>
      <c r="S2872" s="19"/>
      <c r="T2872" s="19"/>
      <c r="U2872" s="25"/>
      <c r="V2872" s="19"/>
      <c r="W2872" s="19"/>
      <c r="X2872" s="19"/>
      <c r="Y2872" s="19"/>
      <c r="Z2872" s="19"/>
    </row>
    <row r="2873">
      <c r="A2873" s="24"/>
      <c r="B2873" s="19"/>
      <c r="C2873" s="19"/>
      <c r="D2873" s="19"/>
      <c r="E2873" s="19"/>
      <c r="F2873" s="19"/>
      <c r="G2873" s="19"/>
      <c r="H2873" s="19"/>
      <c r="I2873" s="19"/>
      <c r="J2873" s="19"/>
      <c r="K2873" s="19"/>
      <c r="L2873" s="25"/>
      <c r="M2873" s="25"/>
      <c r="N2873" s="25"/>
      <c r="O2873" s="25"/>
      <c r="P2873" s="25"/>
      <c r="Q2873" s="19"/>
      <c r="R2873" s="19"/>
      <c r="S2873" s="19"/>
      <c r="T2873" s="19"/>
      <c r="U2873" s="25"/>
      <c r="V2873" s="19"/>
      <c r="W2873" s="19"/>
      <c r="X2873" s="19"/>
      <c r="Y2873" s="19"/>
      <c r="Z2873" s="19"/>
    </row>
    <row r="2874">
      <c r="A2874" s="24"/>
      <c r="B2874" s="19"/>
      <c r="C2874" s="19"/>
      <c r="D2874" s="19"/>
      <c r="E2874" s="19"/>
      <c r="F2874" s="19"/>
      <c r="G2874" s="19"/>
      <c r="H2874" s="19"/>
      <c r="I2874" s="19"/>
      <c r="J2874" s="19"/>
      <c r="K2874" s="19"/>
      <c r="L2874" s="25"/>
      <c r="M2874" s="25"/>
      <c r="N2874" s="25"/>
      <c r="O2874" s="25"/>
      <c r="P2874" s="25"/>
      <c r="Q2874" s="19"/>
      <c r="R2874" s="19"/>
      <c r="S2874" s="19"/>
      <c r="T2874" s="19"/>
      <c r="U2874" s="25"/>
      <c r="V2874" s="19"/>
      <c r="W2874" s="19"/>
      <c r="X2874" s="19"/>
      <c r="Y2874" s="19"/>
      <c r="Z2874" s="19"/>
    </row>
    <row r="2875">
      <c r="A2875" s="24"/>
      <c r="B2875" s="19"/>
      <c r="C2875" s="19"/>
      <c r="D2875" s="19"/>
      <c r="E2875" s="19"/>
      <c r="F2875" s="19"/>
      <c r="G2875" s="19"/>
      <c r="H2875" s="19"/>
      <c r="I2875" s="19"/>
      <c r="J2875" s="19"/>
      <c r="K2875" s="19"/>
      <c r="L2875" s="25"/>
      <c r="M2875" s="25"/>
      <c r="N2875" s="25"/>
      <c r="O2875" s="25"/>
      <c r="P2875" s="25"/>
      <c r="Q2875" s="19"/>
      <c r="R2875" s="19"/>
      <c r="S2875" s="19"/>
      <c r="T2875" s="19"/>
      <c r="U2875" s="25"/>
      <c r="V2875" s="19"/>
      <c r="W2875" s="19"/>
      <c r="X2875" s="19"/>
      <c r="Y2875" s="19"/>
      <c r="Z2875" s="19"/>
    </row>
    <row r="2876">
      <c r="A2876" s="24"/>
      <c r="B2876" s="19"/>
      <c r="C2876" s="19"/>
      <c r="D2876" s="19"/>
      <c r="E2876" s="19"/>
      <c r="F2876" s="19"/>
      <c r="G2876" s="19"/>
      <c r="H2876" s="19"/>
      <c r="I2876" s="19"/>
      <c r="J2876" s="19"/>
      <c r="K2876" s="19"/>
      <c r="L2876" s="25"/>
      <c r="M2876" s="25"/>
      <c r="N2876" s="25"/>
      <c r="O2876" s="25"/>
      <c r="P2876" s="25"/>
      <c r="Q2876" s="19"/>
      <c r="R2876" s="19"/>
      <c r="S2876" s="19"/>
      <c r="T2876" s="19"/>
      <c r="U2876" s="25"/>
      <c r="V2876" s="19"/>
      <c r="W2876" s="19"/>
      <c r="X2876" s="19"/>
      <c r="Y2876" s="19"/>
      <c r="Z2876" s="19"/>
    </row>
    <row r="2877">
      <c r="A2877" s="24"/>
      <c r="B2877" s="19"/>
      <c r="C2877" s="19"/>
      <c r="D2877" s="19"/>
      <c r="E2877" s="19"/>
      <c r="F2877" s="19"/>
      <c r="G2877" s="19"/>
      <c r="H2877" s="19"/>
      <c r="I2877" s="19"/>
      <c r="J2877" s="19"/>
      <c r="K2877" s="19"/>
      <c r="L2877" s="25"/>
      <c r="M2877" s="25"/>
      <c r="N2877" s="25"/>
      <c r="O2877" s="25"/>
      <c r="P2877" s="25"/>
      <c r="Q2877" s="19"/>
      <c r="R2877" s="19"/>
      <c r="S2877" s="19"/>
      <c r="T2877" s="19"/>
      <c r="U2877" s="25"/>
      <c r="V2877" s="19"/>
      <c r="W2877" s="19"/>
      <c r="X2877" s="19"/>
      <c r="Y2877" s="19"/>
      <c r="Z2877" s="19"/>
    </row>
    <row r="2878">
      <c r="A2878" s="24"/>
      <c r="B2878" s="19"/>
      <c r="C2878" s="19"/>
      <c r="D2878" s="19"/>
      <c r="E2878" s="19"/>
      <c r="F2878" s="19"/>
      <c r="G2878" s="19"/>
      <c r="H2878" s="19"/>
      <c r="I2878" s="19"/>
      <c r="J2878" s="19"/>
      <c r="K2878" s="19"/>
      <c r="L2878" s="25"/>
      <c r="M2878" s="25"/>
      <c r="N2878" s="25"/>
      <c r="O2878" s="25"/>
      <c r="P2878" s="25"/>
      <c r="Q2878" s="19"/>
      <c r="R2878" s="19"/>
      <c r="S2878" s="19"/>
      <c r="T2878" s="19"/>
      <c r="U2878" s="25"/>
      <c r="V2878" s="19"/>
      <c r="W2878" s="19"/>
      <c r="X2878" s="19"/>
      <c r="Y2878" s="19"/>
      <c r="Z2878" s="19"/>
    </row>
    <row r="2879">
      <c r="A2879" s="24"/>
      <c r="B2879" s="19"/>
      <c r="C2879" s="19"/>
      <c r="D2879" s="19"/>
      <c r="E2879" s="19"/>
      <c r="F2879" s="19"/>
      <c r="G2879" s="19"/>
      <c r="H2879" s="19"/>
      <c r="I2879" s="19"/>
      <c r="J2879" s="19"/>
      <c r="K2879" s="19"/>
      <c r="L2879" s="25"/>
      <c r="M2879" s="25"/>
      <c r="N2879" s="25"/>
      <c r="O2879" s="25"/>
      <c r="P2879" s="25"/>
      <c r="Q2879" s="19"/>
      <c r="R2879" s="19"/>
      <c r="S2879" s="19"/>
      <c r="T2879" s="19"/>
      <c r="U2879" s="25"/>
      <c r="V2879" s="19"/>
      <c r="W2879" s="19"/>
      <c r="X2879" s="19"/>
      <c r="Y2879" s="19"/>
      <c r="Z2879" s="19"/>
    </row>
    <row r="2880">
      <c r="A2880" s="24"/>
      <c r="B2880" s="19"/>
      <c r="C2880" s="19"/>
      <c r="D2880" s="19"/>
      <c r="E2880" s="19"/>
      <c r="F2880" s="19"/>
      <c r="G2880" s="19"/>
      <c r="H2880" s="19"/>
      <c r="I2880" s="19"/>
      <c r="J2880" s="19"/>
      <c r="K2880" s="19"/>
      <c r="L2880" s="25"/>
      <c r="M2880" s="25"/>
      <c r="N2880" s="25"/>
      <c r="O2880" s="25"/>
      <c r="P2880" s="25"/>
      <c r="Q2880" s="19"/>
      <c r="R2880" s="19"/>
      <c r="S2880" s="19"/>
      <c r="T2880" s="19"/>
      <c r="U2880" s="25"/>
      <c r="V2880" s="19"/>
      <c r="W2880" s="19"/>
      <c r="X2880" s="19"/>
      <c r="Y2880" s="19"/>
      <c r="Z2880" s="19"/>
    </row>
    <row r="2881">
      <c r="A2881" s="24"/>
      <c r="B2881" s="19"/>
      <c r="C2881" s="19"/>
      <c r="D2881" s="19"/>
      <c r="E2881" s="19"/>
      <c r="F2881" s="19"/>
      <c r="G2881" s="19"/>
      <c r="H2881" s="19"/>
      <c r="I2881" s="19"/>
      <c r="J2881" s="19"/>
      <c r="K2881" s="19"/>
      <c r="L2881" s="25"/>
      <c r="M2881" s="25"/>
      <c r="N2881" s="25"/>
      <c r="O2881" s="25"/>
      <c r="P2881" s="25"/>
      <c r="Q2881" s="19"/>
      <c r="R2881" s="19"/>
      <c r="S2881" s="19"/>
      <c r="T2881" s="19"/>
      <c r="U2881" s="25"/>
      <c r="V2881" s="19"/>
      <c r="W2881" s="19"/>
      <c r="X2881" s="19"/>
      <c r="Y2881" s="19"/>
      <c r="Z2881" s="19"/>
    </row>
    <row r="2882">
      <c r="A2882" s="24"/>
      <c r="B2882" s="19"/>
      <c r="C2882" s="19"/>
      <c r="D2882" s="19"/>
      <c r="E2882" s="19"/>
      <c r="F2882" s="19"/>
      <c r="G2882" s="19"/>
      <c r="H2882" s="19"/>
      <c r="I2882" s="19"/>
      <c r="J2882" s="19"/>
      <c r="K2882" s="19"/>
      <c r="L2882" s="25"/>
      <c r="M2882" s="25"/>
      <c r="N2882" s="25"/>
      <c r="O2882" s="25"/>
      <c r="P2882" s="25"/>
      <c r="Q2882" s="19"/>
      <c r="R2882" s="19"/>
      <c r="S2882" s="19"/>
      <c r="T2882" s="19"/>
      <c r="U2882" s="25"/>
      <c r="V2882" s="19"/>
      <c r="W2882" s="19"/>
      <c r="X2882" s="19"/>
      <c r="Y2882" s="19"/>
      <c r="Z2882" s="19"/>
    </row>
    <row r="2883">
      <c r="A2883" s="24"/>
      <c r="B2883" s="19"/>
      <c r="C2883" s="19"/>
      <c r="D2883" s="19"/>
      <c r="E2883" s="19"/>
      <c r="F2883" s="19"/>
      <c r="G2883" s="19"/>
      <c r="H2883" s="19"/>
      <c r="I2883" s="19"/>
      <c r="J2883" s="19"/>
      <c r="K2883" s="19"/>
      <c r="L2883" s="25"/>
      <c r="M2883" s="25"/>
      <c r="N2883" s="25"/>
      <c r="O2883" s="25"/>
      <c r="P2883" s="25"/>
      <c r="Q2883" s="19"/>
      <c r="R2883" s="19"/>
      <c r="S2883" s="19"/>
      <c r="T2883" s="19"/>
      <c r="U2883" s="25"/>
      <c r="V2883" s="19"/>
      <c r="W2883" s="19"/>
      <c r="X2883" s="19"/>
      <c r="Y2883" s="19"/>
      <c r="Z2883" s="19"/>
    </row>
    <row r="2884">
      <c r="A2884" s="24"/>
      <c r="B2884" s="19"/>
      <c r="C2884" s="19"/>
      <c r="D2884" s="19"/>
      <c r="E2884" s="19"/>
      <c r="F2884" s="19"/>
      <c r="G2884" s="19"/>
      <c r="H2884" s="19"/>
      <c r="I2884" s="19"/>
      <c r="J2884" s="19"/>
      <c r="K2884" s="19"/>
      <c r="L2884" s="25"/>
      <c r="M2884" s="25"/>
      <c r="N2884" s="25"/>
      <c r="O2884" s="25"/>
      <c r="P2884" s="25"/>
      <c r="Q2884" s="19"/>
      <c r="R2884" s="19"/>
      <c r="S2884" s="19"/>
      <c r="T2884" s="19"/>
      <c r="U2884" s="25"/>
      <c r="V2884" s="19"/>
      <c r="W2884" s="19"/>
      <c r="X2884" s="19"/>
      <c r="Y2884" s="19"/>
      <c r="Z2884" s="19"/>
    </row>
    <row r="2885">
      <c r="A2885" s="24"/>
      <c r="B2885" s="19"/>
      <c r="C2885" s="19"/>
      <c r="D2885" s="19"/>
      <c r="E2885" s="19"/>
      <c r="F2885" s="19"/>
      <c r="G2885" s="19"/>
      <c r="H2885" s="19"/>
      <c r="I2885" s="19"/>
      <c r="J2885" s="19"/>
      <c r="K2885" s="19"/>
      <c r="L2885" s="25"/>
      <c r="M2885" s="25"/>
      <c r="N2885" s="25"/>
      <c r="O2885" s="25"/>
      <c r="P2885" s="25"/>
      <c r="Q2885" s="19"/>
      <c r="R2885" s="19"/>
      <c r="S2885" s="19"/>
      <c r="T2885" s="19"/>
      <c r="U2885" s="25"/>
      <c r="V2885" s="19"/>
      <c r="W2885" s="19"/>
      <c r="X2885" s="19"/>
      <c r="Y2885" s="19"/>
      <c r="Z2885" s="19"/>
    </row>
    <row r="2886">
      <c r="A2886" s="24"/>
      <c r="B2886" s="19"/>
      <c r="C2886" s="19"/>
      <c r="D2886" s="19"/>
      <c r="E2886" s="19"/>
      <c r="F2886" s="19"/>
      <c r="G2886" s="19"/>
      <c r="H2886" s="19"/>
      <c r="I2886" s="19"/>
      <c r="J2886" s="19"/>
      <c r="K2886" s="19"/>
      <c r="L2886" s="25"/>
      <c r="M2886" s="25"/>
      <c r="N2886" s="25"/>
      <c r="O2886" s="25"/>
      <c r="P2886" s="25"/>
      <c r="Q2886" s="19"/>
      <c r="R2886" s="19"/>
      <c r="S2886" s="19"/>
      <c r="T2886" s="19"/>
      <c r="U2886" s="25"/>
      <c r="V2886" s="19"/>
      <c r="W2886" s="19"/>
      <c r="X2886" s="19"/>
      <c r="Y2886" s="19"/>
      <c r="Z2886" s="19"/>
    </row>
    <row r="2887">
      <c r="A2887" s="24"/>
      <c r="B2887" s="19"/>
      <c r="C2887" s="19"/>
      <c r="D2887" s="19"/>
      <c r="E2887" s="19"/>
      <c r="F2887" s="19"/>
      <c r="G2887" s="19"/>
      <c r="H2887" s="19"/>
      <c r="I2887" s="19"/>
      <c r="J2887" s="19"/>
      <c r="K2887" s="19"/>
      <c r="L2887" s="25"/>
      <c r="M2887" s="25"/>
      <c r="N2887" s="25"/>
      <c r="O2887" s="25"/>
      <c r="P2887" s="25"/>
      <c r="Q2887" s="19"/>
      <c r="R2887" s="19"/>
      <c r="S2887" s="19"/>
      <c r="T2887" s="19"/>
      <c r="U2887" s="25"/>
      <c r="V2887" s="19"/>
      <c r="W2887" s="19"/>
      <c r="X2887" s="19"/>
      <c r="Y2887" s="19"/>
      <c r="Z2887" s="19"/>
    </row>
    <row r="2888">
      <c r="A2888" s="24"/>
      <c r="B2888" s="19"/>
      <c r="C2888" s="19"/>
      <c r="D2888" s="19"/>
      <c r="E2888" s="19"/>
      <c r="F2888" s="19"/>
      <c r="G2888" s="19"/>
      <c r="H2888" s="19"/>
      <c r="I2888" s="19"/>
      <c r="J2888" s="19"/>
      <c r="K2888" s="19"/>
      <c r="L2888" s="25"/>
      <c r="M2888" s="25"/>
      <c r="N2888" s="25"/>
      <c r="O2888" s="25"/>
      <c r="P2888" s="25"/>
      <c r="Q2888" s="19"/>
      <c r="R2888" s="19"/>
      <c r="S2888" s="19"/>
      <c r="T2888" s="19"/>
      <c r="U2888" s="25"/>
      <c r="V2888" s="19"/>
      <c r="W2888" s="19"/>
      <c r="X2888" s="19"/>
      <c r="Y2888" s="19"/>
      <c r="Z2888" s="19"/>
    </row>
    <row r="2889">
      <c r="A2889" s="24"/>
      <c r="B2889" s="19"/>
      <c r="C2889" s="19"/>
      <c r="D2889" s="19"/>
      <c r="E2889" s="19"/>
      <c r="F2889" s="19"/>
      <c r="G2889" s="19"/>
      <c r="H2889" s="19"/>
      <c r="I2889" s="19"/>
      <c r="J2889" s="19"/>
      <c r="K2889" s="19"/>
      <c r="L2889" s="25"/>
      <c r="M2889" s="25"/>
      <c r="N2889" s="25"/>
      <c r="O2889" s="25"/>
      <c r="P2889" s="25"/>
      <c r="Q2889" s="19"/>
      <c r="R2889" s="19"/>
      <c r="S2889" s="19"/>
      <c r="T2889" s="19"/>
      <c r="U2889" s="25"/>
      <c r="V2889" s="19"/>
      <c r="W2889" s="19"/>
      <c r="X2889" s="19"/>
      <c r="Y2889" s="19"/>
      <c r="Z2889" s="19"/>
    </row>
    <row r="2890">
      <c r="A2890" s="24"/>
      <c r="B2890" s="19"/>
      <c r="C2890" s="19"/>
      <c r="D2890" s="19"/>
      <c r="E2890" s="19"/>
      <c r="F2890" s="19"/>
      <c r="G2890" s="19"/>
      <c r="H2890" s="19"/>
      <c r="I2890" s="19"/>
      <c r="J2890" s="19"/>
      <c r="K2890" s="19"/>
      <c r="L2890" s="25"/>
      <c r="M2890" s="25"/>
      <c r="N2890" s="25"/>
      <c r="O2890" s="25"/>
      <c r="P2890" s="25"/>
      <c r="Q2890" s="19"/>
      <c r="R2890" s="19"/>
      <c r="S2890" s="19"/>
      <c r="T2890" s="19"/>
      <c r="U2890" s="25"/>
      <c r="V2890" s="19"/>
      <c r="W2890" s="19"/>
      <c r="X2890" s="19"/>
      <c r="Y2890" s="19"/>
      <c r="Z2890" s="19"/>
    </row>
    <row r="2891">
      <c r="A2891" s="24"/>
      <c r="B2891" s="19"/>
      <c r="C2891" s="19"/>
      <c r="D2891" s="19"/>
      <c r="E2891" s="19"/>
      <c r="F2891" s="19"/>
      <c r="G2891" s="19"/>
      <c r="H2891" s="19"/>
      <c r="I2891" s="19"/>
      <c r="J2891" s="19"/>
      <c r="K2891" s="19"/>
      <c r="L2891" s="25"/>
      <c r="M2891" s="25"/>
      <c r="N2891" s="25"/>
      <c r="O2891" s="25"/>
      <c r="P2891" s="25"/>
      <c r="Q2891" s="19"/>
      <c r="R2891" s="19"/>
      <c r="S2891" s="19"/>
      <c r="T2891" s="19"/>
      <c r="U2891" s="25"/>
      <c r="V2891" s="19"/>
      <c r="W2891" s="19"/>
      <c r="X2891" s="19"/>
      <c r="Y2891" s="19"/>
      <c r="Z2891" s="19"/>
    </row>
    <row r="2892">
      <c r="A2892" s="24"/>
      <c r="B2892" s="19"/>
      <c r="C2892" s="19"/>
      <c r="D2892" s="19"/>
      <c r="E2892" s="19"/>
      <c r="F2892" s="19"/>
      <c r="G2892" s="19"/>
      <c r="H2892" s="19"/>
      <c r="I2892" s="19"/>
      <c r="J2892" s="19"/>
      <c r="K2892" s="19"/>
      <c r="L2892" s="25"/>
      <c r="M2892" s="25"/>
      <c r="N2892" s="25"/>
      <c r="O2892" s="25"/>
      <c r="P2892" s="25"/>
      <c r="Q2892" s="19"/>
      <c r="R2892" s="19"/>
      <c r="S2892" s="19"/>
      <c r="T2892" s="19"/>
      <c r="U2892" s="25"/>
      <c r="V2892" s="19"/>
      <c r="W2892" s="19"/>
      <c r="X2892" s="19"/>
      <c r="Y2892" s="19"/>
      <c r="Z2892" s="19"/>
    </row>
    <row r="2893">
      <c r="A2893" s="24"/>
      <c r="B2893" s="19"/>
      <c r="C2893" s="19"/>
      <c r="D2893" s="19"/>
      <c r="E2893" s="19"/>
      <c r="F2893" s="19"/>
      <c r="G2893" s="19"/>
      <c r="H2893" s="19"/>
      <c r="I2893" s="19"/>
      <c r="J2893" s="19"/>
      <c r="K2893" s="19"/>
      <c r="L2893" s="25"/>
      <c r="M2893" s="25"/>
      <c r="N2893" s="25"/>
      <c r="O2893" s="25"/>
      <c r="P2893" s="25"/>
      <c r="Q2893" s="19"/>
      <c r="R2893" s="19"/>
      <c r="S2893" s="19"/>
      <c r="T2893" s="19"/>
      <c r="U2893" s="25"/>
      <c r="V2893" s="19"/>
      <c r="W2893" s="19"/>
      <c r="X2893" s="19"/>
      <c r="Y2893" s="19"/>
      <c r="Z2893" s="19"/>
    </row>
    <row r="2894">
      <c r="A2894" s="24"/>
      <c r="B2894" s="19"/>
      <c r="C2894" s="19"/>
      <c r="D2894" s="19"/>
      <c r="E2894" s="19"/>
      <c r="F2894" s="19"/>
      <c r="G2894" s="19"/>
      <c r="H2894" s="19"/>
      <c r="I2894" s="19"/>
      <c r="J2894" s="19"/>
      <c r="K2894" s="19"/>
      <c r="L2894" s="25"/>
      <c r="M2894" s="25"/>
      <c r="N2894" s="25"/>
      <c r="O2894" s="25"/>
      <c r="P2894" s="25"/>
      <c r="Q2894" s="19"/>
      <c r="R2894" s="19"/>
      <c r="S2894" s="19"/>
      <c r="T2894" s="19"/>
      <c r="U2894" s="25"/>
      <c r="V2894" s="19"/>
      <c r="W2894" s="19"/>
      <c r="X2894" s="19"/>
      <c r="Y2894" s="19"/>
      <c r="Z2894" s="19"/>
    </row>
    <row r="2895">
      <c r="A2895" s="24"/>
      <c r="B2895" s="19"/>
      <c r="C2895" s="19"/>
      <c r="D2895" s="19"/>
      <c r="E2895" s="19"/>
      <c r="F2895" s="19"/>
      <c r="G2895" s="19"/>
      <c r="H2895" s="19"/>
      <c r="I2895" s="19"/>
      <c r="J2895" s="19"/>
      <c r="K2895" s="19"/>
      <c r="L2895" s="25"/>
      <c r="M2895" s="25"/>
      <c r="N2895" s="25"/>
      <c r="O2895" s="25"/>
      <c r="P2895" s="25"/>
      <c r="Q2895" s="19"/>
      <c r="R2895" s="19"/>
      <c r="S2895" s="19"/>
      <c r="T2895" s="19"/>
      <c r="U2895" s="25"/>
      <c r="V2895" s="19"/>
      <c r="W2895" s="19"/>
      <c r="X2895" s="19"/>
      <c r="Y2895" s="19"/>
      <c r="Z2895" s="19"/>
    </row>
    <row r="2896">
      <c r="A2896" s="24"/>
      <c r="B2896" s="19"/>
      <c r="C2896" s="19"/>
      <c r="D2896" s="19"/>
      <c r="E2896" s="19"/>
      <c r="F2896" s="19"/>
      <c r="G2896" s="19"/>
      <c r="H2896" s="19"/>
      <c r="I2896" s="19"/>
      <c r="J2896" s="19"/>
      <c r="K2896" s="19"/>
      <c r="L2896" s="25"/>
      <c r="M2896" s="25"/>
      <c r="N2896" s="25"/>
      <c r="O2896" s="25"/>
      <c r="P2896" s="25"/>
      <c r="Q2896" s="19"/>
      <c r="R2896" s="19"/>
      <c r="S2896" s="19"/>
      <c r="T2896" s="19"/>
      <c r="U2896" s="25"/>
      <c r="V2896" s="19"/>
      <c r="W2896" s="19"/>
      <c r="X2896" s="19"/>
      <c r="Y2896" s="19"/>
      <c r="Z2896" s="19"/>
    </row>
    <row r="2897">
      <c r="A2897" s="24"/>
      <c r="B2897" s="19"/>
      <c r="C2897" s="19"/>
      <c r="D2897" s="19"/>
      <c r="E2897" s="19"/>
      <c r="F2897" s="19"/>
      <c r="G2897" s="19"/>
      <c r="H2897" s="19"/>
      <c r="I2897" s="19"/>
      <c r="J2897" s="19"/>
      <c r="K2897" s="19"/>
      <c r="L2897" s="25"/>
      <c r="M2897" s="25"/>
      <c r="N2897" s="25"/>
      <c r="O2897" s="25"/>
      <c r="P2897" s="25"/>
      <c r="Q2897" s="19"/>
      <c r="R2897" s="19"/>
      <c r="S2897" s="19"/>
      <c r="T2897" s="19"/>
      <c r="U2897" s="25"/>
      <c r="V2897" s="19"/>
      <c r="W2897" s="19"/>
      <c r="X2897" s="19"/>
      <c r="Y2897" s="19"/>
      <c r="Z2897" s="19"/>
    </row>
    <row r="2898">
      <c r="A2898" s="24"/>
      <c r="B2898" s="19"/>
      <c r="C2898" s="19"/>
      <c r="D2898" s="19"/>
      <c r="E2898" s="19"/>
      <c r="F2898" s="19"/>
      <c r="G2898" s="19"/>
      <c r="H2898" s="19"/>
      <c r="I2898" s="19"/>
      <c r="J2898" s="19"/>
      <c r="K2898" s="19"/>
      <c r="L2898" s="25"/>
      <c r="M2898" s="25"/>
      <c r="N2898" s="25"/>
      <c r="O2898" s="25"/>
      <c r="P2898" s="25"/>
      <c r="Q2898" s="19"/>
      <c r="R2898" s="19"/>
      <c r="S2898" s="19"/>
      <c r="T2898" s="19"/>
      <c r="U2898" s="25"/>
      <c r="V2898" s="19"/>
      <c r="W2898" s="19"/>
      <c r="X2898" s="19"/>
      <c r="Y2898" s="19"/>
      <c r="Z2898" s="19"/>
    </row>
    <row r="2899">
      <c r="A2899" s="24"/>
      <c r="B2899" s="19"/>
      <c r="C2899" s="19"/>
      <c r="D2899" s="19"/>
      <c r="E2899" s="19"/>
      <c r="F2899" s="19"/>
      <c r="G2899" s="19"/>
      <c r="H2899" s="19"/>
      <c r="I2899" s="19"/>
      <c r="J2899" s="19"/>
      <c r="K2899" s="19"/>
      <c r="L2899" s="25"/>
      <c r="M2899" s="25"/>
      <c r="N2899" s="25"/>
      <c r="O2899" s="25"/>
      <c r="P2899" s="25"/>
      <c r="Q2899" s="19"/>
      <c r="R2899" s="19"/>
      <c r="S2899" s="19"/>
      <c r="T2899" s="19"/>
      <c r="U2899" s="25"/>
      <c r="V2899" s="19"/>
      <c r="W2899" s="19"/>
      <c r="X2899" s="19"/>
      <c r="Y2899" s="19"/>
      <c r="Z2899" s="19"/>
    </row>
    <row r="2900">
      <c r="A2900" s="24"/>
      <c r="B2900" s="19"/>
      <c r="C2900" s="19"/>
      <c r="D2900" s="19"/>
      <c r="E2900" s="19"/>
      <c r="F2900" s="19"/>
      <c r="G2900" s="19"/>
      <c r="H2900" s="19"/>
      <c r="I2900" s="19"/>
      <c r="J2900" s="19"/>
      <c r="K2900" s="19"/>
      <c r="L2900" s="25"/>
      <c r="M2900" s="25"/>
      <c r="N2900" s="25"/>
      <c r="O2900" s="25"/>
      <c r="P2900" s="25"/>
      <c r="Q2900" s="19"/>
      <c r="R2900" s="19"/>
      <c r="S2900" s="19"/>
      <c r="T2900" s="19"/>
      <c r="U2900" s="25"/>
      <c r="V2900" s="19"/>
      <c r="W2900" s="19"/>
      <c r="X2900" s="19"/>
      <c r="Y2900" s="19"/>
      <c r="Z2900" s="19"/>
    </row>
    <row r="2901">
      <c r="A2901" s="24"/>
      <c r="B2901" s="19"/>
      <c r="C2901" s="19"/>
      <c r="D2901" s="19"/>
      <c r="E2901" s="19"/>
      <c r="F2901" s="19"/>
      <c r="G2901" s="19"/>
      <c r="H2901" s="19"/>
      <c r="I2901" s="19"/>
      <c r="J2901" s="19"/>
      <c r="K2901" s="19"/>
      <c r="L2901" s="25"/>
      <c r="M2901" s="25"/>
      <c r="N2901" s="25"/>
      <c r="O2901" s="25"/>
      <c r="P2901" s="25"/>
      <c r="Q2901" s="19"/>
      <c r="R2901" s="19"/>
      <c r="S2901" s="19"/>
      <c r="T2901" s="19"/>
      <c r="U2901" s="25"/>
      <c r="V2901" s="19"/>
      <c r="W2901" s="19"/>
      <c r="X2901" s="19"/>
      <c r="Y2901" s="19"/>
      <c r="Z2901" s="19"/>
    </row>
    <row r="2902">
      <c r="A2902" s="24"/>
      <c r="B2902" s="19"/>
      <c r="C2902" s="19"/>
      <c r="D2902" s="19"/>
      <c r="E2902" s="19"/>
      <c r="F2902" s="19"/>
      <c r="G2902" s="19"/>
      <c r="H2902" s="19"/>
      <c r="I2902" s="19"/>
      <c r="J2902" s="19"/>
      <c r="K2902" s="19"/>
      <c r="L2902" s="25"/>
      <c r="M2902" s="25"/>
      <c r="N2902" s="25"/>
      <c r="O2902" s="25"/>
      <c r="P2902" s="25"/>
      <c r="Q2902" s="19"/>
      <c r="R2902" s="19"/>
      <c r="S2902" s="19"/>
      <c r="T2902" s="19"/>
      <c r="U2902" s="25"/>
      <c r="V2902" s="19"/>
      <c r="W2902" s="19"/>
      <c r="X2902" s="19"/>
      <c r="Y2902" s="19"/>
      <c r="Z2902" s="19"/>
    </row>
    <row r="2903">
      <c r="A2903" s="24"/>
      <c r="B2903" s="19"/>
      <c r="C2903" s="19"/>
      <c r="D2903" s="19"/>
      <c r="E2903" s="19"/>
      <c r="F2903" s="19"/>
      <c r="G2903" s="19"/>
      <c r="H2903" s="19"/>
      <c r="I2903" s="19"/>
      <c r="J2903" s="19"/>
      <c r="K2903" s="19"/>
      <c r="L2903" s="25"/>
      <c r="M2903" s="25"/>
      <c r="N2903" s="25"/>
      <c r="O2903" s="25"/>
      <c r="P2903" s="25"/>
      <c r="Q2903" s="19"/>
      <c r="R2903" s="19"/>
      <c r="S2903" s="19"/>
      <c r="T2903" s="19"/>
      <c r="U2903" s="25"/>
      <c r="V2903" s="19"/>
      <c r="W2903" s="19"/>
      <c r="X2903" s="19"/>
      <c r="Y2903" s="19"/>
      <c r="Z2903" s="19"/>
    </row>
    <row r="2904">
      <c r="A2904" s="24"/>
      <c r="B2904" s="19"/>
      <c r="C2904" s="19"/>
      <c r="D2904" s="19"/>
      <c r="E2904" s="19"/>
      <c r="F2904" s="19"/>
      <c r="G2904" s="19"/>
      <c r="H2904" s="19"/>
      <c r="I2904" s="19"/>
      <c r="J2904" s="19"/>
      <c r="K2904" s="19"/>
      <c r="L2904" s="25"/>
      <c r="M2904" s="25"/>
      <c r="N2904" s="25"/>
      <c r="O2904" s="25"/>
      <c r="P2904" s="25"/>
      <c r="Q2904" s="19"/>
      <c r="R2904" s="19"/>
      <c r="S2904" s="19"/>
      <c r="T2904" s="19"/>
      <c r="U2904" s="25"/>
      <c r="V2904" s="19"/>
      <c r="W2904" s="19"/>
      <c r="X2904" s="19"/>
      <c r="Y2904" s="19"/>
      <c r="Z2904" s="19"/>
    </row>
    <row r="2905">
      <c r="A2905" s="24"/>
      <c r="B2905" s="19"/>
      <c r="C2905" s="19"/>
      <c r="D2905" s="19"/>
      <c r="E2905" s="19"/>
      <c r="F2905" s="19"/>
      <c r="G2905" s="19"/>
      <c r="H2905" s="19"/>
      <c r="I2905" s="19"/>
      <c r="J2905" s="19"/>
      <c r="K2905" s="19"/>
      <c r="L2905" s="25"/>
      <c r="M2905" s="25"/>
      <c r="N2905" s="25"/>
      <c r="O2905" s="25"/>
      <c r="P2905" s="25"/>
      <c r="Q2905" s="19"/>
      <c r="R2905" s="19"/>
      <c r="S2905" s="19"/>
      <c r="T2905" s="19"/>
      <c r="U2905" s="25"/>
      <c r="V2905" s="19"/>
      <c r="W2905" s="19"/>
      <c r="X2905" s="19"/>
      <c r="Y2905" s="19"/>
      <c r="Z2905" s="19"/>
    </row>
    <row r="2906">
      <c r="A2906" s="24"/>
      <c r="B2906" s="19"/>
      <c r="C2906" s="19"/>
      <c r="D2906" s="19"/>
      <c r="E2906" s="19"/>
      <c r="F2906" s="19"/>
      <c r="G2906" s="19"/>
      <c r="H2906" s="19"/>
      <c r="I2906" s="19"/>
      <c r="J2906" s="19"/>
      <c r="K2906" s="19"/>
      <c r="L2906" s="25"/>
      <c r="M2906" s="25"/>
      <c r="N2906" s="25"/>
      <c r="O2906" s="25"/>
      <c r="P2906" s="25"/>
      <c r="Q2906" s="19"/>
      <c r="R2906" s="19"/>
      <c r="S2906" s="19"/>
      <c r="T2906" s="19"/>
      <c r="U2906" s="25"/>
      <c r="V2906" s="19"/>
      <c r="W2906" s="19"/>
      <c r="X2906" s="19"/>
      <c r="Y2906" s="19"/>
      <c r="Z2906" s="19"/>
    </row>
    <row r="2907">
      <c r="A2907" s="24"/>
      <c r="B2907" s="19"/>
      <c r="C2907" s="19"/>
      <c r="D2907" s="19"/>
      <c r="E2907" s="19"/>
      <c r="F2907" s="19"/>
      <c r="G2907" s="19"/>
      <c r="H2907" s="19"/>
      <c r="I2907" s="19"/>
      <c r="J2907" s="19"/>
      <c r="K2907" s="19"/>
      <c r="L2907" s="25"/>
      <c r="M2907" s="25"/>
      <c r="N2907" s="25"/>
      <c r="O2907" s="25"/>
      <c r="P2907" s="25"/>
      <c r="Q2907" s="19"/>
      <c r="R2907" s="19"/>
      <c r="S2907" s="19"/>
      <c r="T2907" s="19"/>
      <c r="U2907" s="25"/>
      <c r="V2907" s="19"/>
      <c r="W2907" s="19"/>
      <c r="X2907" s="19"/>
      <c r="Y2907" s="19"/>
      <c r="Z2907" s="19"/>
    </row>
    <row r="2908">
      <c r="A2908" s="24"/>
      <c r="B2908" s="19"/>
      <c r="C2908" s="19"/>
      <c r="D2908" s="19"/>
      <c r="E2908" s="19"/>
      <c r="F2908" s="19"/>
      <c r="G2908" s="19"/>
      <c r="H2908" s="19"/>
      <c r="I2908" s="19"/>
      <c r="J2908" s="19"/>
      <c r="K2908" s="19"/>
      <c r="L2908" s="25"/>
      <c r="M2908" s="25"/>
      <c r="N2908" s="25"/>
      <c r="O2908" s="25"/>
      <c r="P2908" s="25"/>
      <c r="Q2908" s="19"/>
      <c r="R2908" s="19"/>
      <c r="S2908" s="19"/>
      <c r="T2908" s="19"/>
      <c r="U2908" s="25"/>
      <c r="V2908" s="19"/>
      <c r="W2908" s="19"/>
      <c r="X2908" s="19"/>
      <c r="Y2908" s="19"/>
      <c r="Z2908" s="19"/>
    </row>
    <row r="2909">
      <c r="A2909" s="24"/>
      <c r="B2909" s="19"/>
      <c r="C2909" s="19"/>
      <c r="D2909" s="19"/>
      <c r="E2909" s="19"/>
      <c r="F2909" s="19"/>
      <c r="G2909" s="19"/>
      <c r="H2909" s="19"/>
      <c r="I2909" s="19"/>
      <c r="J2909" s="19"/>
      <c r="K2909" s="19"/>
      <c r="L2909" s="25"/>
      <c r="M2909" s="25"/>
      <c r="N2909" s="25"/>
      <c r="O2909" s="25"/>
      <c r="P2909" s="25"/>
      <c r="Q2909" s="19"/>
      <c r="R2909" s="19"/>
      <c r="S2909" s="19"/>
      <c r="T2909" s="19"/>
      <c r="U2909" s="25"/>
      <c r="V2909" s="19"/>
      <c r="W2909" s="19"/>
      <c r="X2909" s="19"/>
      <c r="Y2909" s="19"/>
      <c r="Z2909" s="19"/>
    </row>
    <row r="2910">
      <c r="A2910" s="24"/>
      <c r="B2910" s="19"/>
      <c r="C2910" s="19"/>
      <c r="D2910" s="19"/>
      <c r="E2910" s="19"/>
      <c r="F2910" s="19"/>
      <c r="G2910" s="19"/>
      <c r="H2910" s="19"/>
      <c r="I2910" s="19"/>
      <c r="J2910" s="19"/>
      <c r="K2910" s="19"/>
      <c r="L2910" s="25"/>
      <c r="M2910" s="25"/>
      <c r="N2910" s="25"/>
      <c r="O2910" s="25"/>
      <c r="P2910" s="25"/>
      <c r="Q2910" s="19"/>
      <c r="R2910" s="19"/>
      <c r="S2910" s="19"/>
      <c r="T2910" s="19"/>
      <c r="U2910" s="25"/>
      <c r="V2910" s="19"/>
      <c r="W2910" s="19"/>
      <c r="X2910" s="19"/>
      <c r="Y2910" s="19"/>
      <c r="Z2910" s="19"/>
    </row>
    <row r="2911">
      <c r="A2911" s="24"/>
      <c r="B2911" s="19"/>
      <c r="C2911" s="19"/>
      <c r="D2911" s="19"/>
      <c r="E2911" s="19"/>
      <c r="F2911" s="19"/>
      <c r="G2911" s="19"/>
      <c r="H2911" s="19"/>
      <c r="I2911" s="19"/>
      <c r="J2911" s="19"/>
      <c r="K2911" s="19"/>
      <c r="L2911" s="25"/>
      <c r="M2911" s="25"/>
      <c r="N2911" s="25"/>
      <c r="O2911" s="25"/>
      <c r="P2911" s="25"/>
      <c r="Q2911" s="19"/>
      <c r="R2911" s="19"/>
      <c r="S2911" s="19"/>
      <c r="T2911" s="19"/>
      <c r="U2911" s="25"/>
      <c r="V2911" s="19"/>
      <c r="W2911" s="19"/>
      <c r="X2911" s="19"/>
      <c r="Y2911" s="19"/>
      <c r="Z2911" s="19"/>
    </row>
    <row r="2912">
      <c r="A2912" s="24"/>
      <c r="B2912" s="19"/>
      <c r="C2912" s="19"/>
      <c r="D2912" s="19"/>
      <c r="E2912" s="19"/>
      <c r="F2912" s="19"/>
      <c r="G2912" s="19"/>
      <c r="H2912" s="19"/>
      <c r="I2912" s="19"/>
      <c r="J2912" s="19"/>
      <c r="K2912" s="19"/>
      <c r="L2912" s="25"/>
      <c r="M2912" s="25"/>
      <c r="N2912" s="25"/>
      <c r="O2912" s="25"/>
      <c r="P2912" s="25"/>
      <c r="Q2912" s="19"/>
      <c r="R2912" s="19"/>
      <c r="S2912" s="19"/>
      <c r="T2912" s="19"/>
      <c r="U2912" s="25"/>
      <c r="V2912" s="19"/>
      <c r="W2912" s="19"/>
      <c r="X2912" s="19"/>
      <c r="Y2912" s="19"/>
      <c r="Z2912" s="19"/>
    </row>
    <row r="2913">
      <c r="A2913" s="24"/>
      <c r="B2913" s="19"/>
      <c r="C2913" s="19"/>
      <c r="D2913" s="19"/>
      <c r="E2913" s="19"/>
      <c r="F2913" s="19"/>
      <c r="G2913" s="19"/>
      <c r="H2913" s="19"/>
      <c r="I2913" s="19"/>
      <c r="J2913" s="19"/>
      <c r="K2913" s="19"/>
      <c r="L2913" s="25"/>
      <c r="M2913" s="25"/>
      <c r="N2913" s="25"/>
      <c r="O2913" s="25"/>
      <c r="P2913" s="25"/>
      <c r="Q2913" s="19"/>
      <c r="R2913" s="19"/>
      <c r="S2913" s="19"/>
      <c r="T2913" s="19"/>
      <c r="U2913" s="25"/>
      <c r="V2913" s="19"/>
      <c r="W2913" s="19"/>
      <c r="X2913" s="19"/>
      <c r="Y2913" s="19"/>
      <c r="Z2913" s="19"/>
    </row>
    <row r="2914">
      <c r="A2914" s="24"/>
      <c r="B2914" s="19"/>
      <c r="C2914" s="19"/>
      <c r="D2914" s="19"/>
      <c r="E2914" s="19"/>
      <c r="F2914" s="19"/>
      <c r="G2914" s="19"/>
      <c r="H2914" s="19"/>
      <c r="I2914" s="19"/>
      <c r="J2914" s="19"/>
      <c r="K2914" s="19"/>
      <c r="L2914" s="25"/>
      <c r="M2914" s="25"/>
      <c r="N2914" s="25"/>
      <c r="O2914" s="25"/>
      <c r="P2914" s="25"/>
      <c r="Q2914" s="19"/>
      <c r="R2914" s="19"/>
      <c r="S2914" s="19"/>
      <c r="T2914" s="19"/>
      <c r="U2914" s="25"/>
      <c r="V2914" s="19"/>
      <c r="W2914" s="19"/>
      <c r="X2914" s="19"/>
      <c r="Y2914" s="19"/>
      <c r="Z2914" s="19"/>
    </row>
    <row r="2915">
      <c r="A2915" s="24"/>
      <c r="B2915" s="19"/>
      <c r="C2915" s="19"/>
      <c r="D2915" s="19"/>
      <c r="E2915" s="19"/>
      <c r="F2915" s="19"/>
      <c r="G2915" s="19"/>
      <c r="H2915" s="19"/>
      <c r="I2915" s="19"/>
      <c r="J2915" s="19"/>
      <c r="K2915" s="19"/>
      <c r="L2915" s="25"/>
      <c r="M2915" s="25"/>
      <c r="N2915" s="25"/>
      <c r="O2915" s="25"/>
      <c r="P2915" s="25"/>
      <c r="Q2915" s="19"/>
      <c r="R2915" s="19"/>
      <c r="S2915" s="19"/>
      <c r="T2915" s="19"/>
      <c r="U2915" s="25"/>
      <c r="V2915" s="19"/>
      <c r="W2915" s="19"/>
      <c r="X2915" s="19"/>
      <c r="Y2915" s="19"/>
      <c r="Z2915" s="19"/>
    </row>
    <row r="2916">
      <c r="A2916" s="24"/>
      <c r="B2916" s="19"/>
      <c r="C2916" s="19"/>
      <c r="D2916" s="19"/>
      <c r="E2916" s="19"/>
      <c r="F2916" s="19"/>
      <c r="G2916" s="19"/>
      <c r="H2916" s="19"/>
      <c r="I2916" s="19"/>
      <c r="J2916" s="19"/>
      <c r="K2916" s="19"/>
      <c r="L2916" s="25"/>
      <c r="M2916" s="25"/>
      <c r="N2916" s="25"/>
      <c r="O2916" s="25"/>
      <c r="P2916" s="25"/>
      <c r="Q2916" s="19"/>
      <c r="R2916" s="19"/>
      <c r="S2916" s="19"/>
      <c r="T2916" s="19"/>
      <c r="U2916" s="25"/>
      <c r="V2916" s="19"/>
      <c r="W2916" s="19"/>
      <c r="X2916" s="19"/>
      <c r="Y2916" s="19"/>
      <c r="Z2916" s="19"/>
    </row>
    <row r="2917">
      <c r="A2917" s="24"/>
      <c r="B2917" s="19"/>
      <c r="C2917" s="19"/>
      <c r="D2917" s="19"/>
      <c r="E2917" s="19"/>
      <c r="F2917" s="19"/>
      <c r="G2917" s="19"/>
      <c r="H2917" s="19"/>
      <c r="I2917" s="19"/>
      <c r="J2917" s="19"/>
      <c r="K2917" s="19"/>
      <c r="L2917" s="25"/>
      <c r="M2917" s="25"/>
      <c r="N2917" s="25"/>
      <c r="O2917" s="25"/>
      <c r="P2917" s="25"/>
      <c r="Q2917" s="19"/>
      <c r="R2917" s="19"/>
      <c r="S2917" s="19"/>
      <c r="T2917" s="19"/>
      <c r="U2917" s="25"/>
      <c r="V2917" s="19"/>
      <c r="W2917" s="19"/>
      <c r="X2917" s="19"/>
      <c r="Y2917" s="19"/>
      <c r="Z2917" s="19"/>
    </row>
    <row r="2918">
      <c r="A2918" s="24"/>
      <c r="B2918" s="19"/>
      <c r="C2918" s="19"/>
      <c r="D2918" s="19"/>
      <c r="E2918" s="19"/>
      <c r="F2918" s="19"/>
      <c r="G2918" s="19"/>
      <c r="H2918" s="19"/>
      <c r="I2918" s="19"/>
      <c r="J2918" s="19"/>
      <c r="K2918" s="19"/>
      <c r="L2918" s="25"/>
      <c r="M2918" s="25"/>
      <c r="N2918" s="25"/>
      <c r="O2918" s="25"/>
      <c r="P2918" s="25"/>
      <c r="Q2918" s="19"/>
      <c r="R2918" s="19"/>
      <c r="S2918" s="19"/>
      <c r="T2918" s="19"/>
      <c r="U2918" s="25"/>
      <c r="V2918" s="19"/>
      <c r="W2918" s="19"/>
      <c r="X2918" s="19"/>
      <c r="Y2918" s="19"/>
      <c r="Z2918" s="19"/>
    </row>
    <row r="2919">
      <c r="A2919" s="24"/>
      <c r="B2919" s="19"/>
      <c r="C2919" s="19"/>
      <c r="D2919" s="19"/>
      <c r="E2919" s="19"/>
      <c r="F2919" s="19"/>
      <c r="G2919" s="19"/>
      <c r="H2919" s="19"/>
      <c r="I2919" s="19"/>
      <c r="J2919" s="19"/>
      <c r="K2919" s="19"/>
      <c r="L2919" s="25"/>
      <c r="M2919" s="25"/>
      <c r="N2919" s="25"/>
      <c r="O2919" s="25"/>
      <c r="P2919" s="25"/>
      <c r="Q2919" s="19"/>
      <c r="R2919" s="19"/>
      <c r="S2919" s="19"/>
      <c r="T2919" s="19"/>
      <c r="U2919" s="25"/>
      <c r="V2919" s="19"/>
      <c r="W2919" s="19"/>
      <c r="X2919" s="19"/>
      <c r="Y2919" s="19"/>
      <c r="Z2919" s="19"/>
    </row>
    <row r="2920">
      <c r="A2920" s="24"/>
      <c r="B2920" s="19"/>
      <c r="C2920" s="19"/>
      <c r="D2920" s="19"/>
      <c r="E2920" s="19"/>
      <c r="F2920" s="19"/>
      <c r="G2920" s="19"/>
      <c r="H2920" s="19"/>
      <c r="I2920" s="19"/>
      <c r="J2920" s="19"/>
      <c r="K2920" s="19"/>
      <c r="L2920" s="25"/>
      <c r="M2920" s="25"/>
      <c r="N2920" s="25"/>
      <c r="O2920" s="25"/>
      <c r="P2920" s="25"/>
      <c r="Q2920" s="19"/>
      <c r="R2920" s="19"/>
      <c r="S2920" s="19"/>
      <c r="T2920" s="19"/>
      <c r="U2920" s="25"/>
      <c r="V2920" s="19"/>
      <c r="W2920" s="19"/>
      <c r="X2920" s="19"/>
      <c r="Y2920" s="19"/>
      <c r="Z2920" s="19"/>
    </row>
    <row r="2921">
      <c r="A2921" s="24"/>
      <c r="B2921" s="19"/>
      <c r="C2921" s="19"/>
      <c r="D2921" s="19"/>
      <c r="E2921" s="19"/>
      <c r="F2921" s="19"/>
      <c r="G2921" s="19"/>
      <c r="H2921" s="19"/>
      <c r="I2921" s="19"/>
      <c r="J2921" s="19"/>
      <c r="K2921" s="19"/>
      <c r="L2921" s="25"/>
      <c r="M2921" s="25"/>
      <c r="N2921" s="25"/>
      <c r="O2921" s="25"/>
      <c r="P2921" s="25"/>
      <c r="Q2921" s="19"/>
      <c r="R2921" s="19"/>
      <c r="S2921" s="19"/>
      <c r="T2921" s="19"/>
      <c r="U2921" s="25"/>
      <c r="V2921" s="19"/>
      <c r="W2921" s="19"/>
      <c r="X2921" s="19"/>
      <c r="Y2921" s="19"/>
      <c r="Z2921" s="19"/>
    </row>
    <row r="2922">
      <c r="A2922" s="24"/>
      <c r="B2922" s="19"/>
      <c r="C2922" s="19"/>
      <c r="D2922" s="19"/>
      <c r="E2922" s="19"/>
      <c r="F2922" s="19"/>
      <c r="G2922" s="19"/>
      <c r="H2922" s="19"/>
      <c r="I2922" s="19"/>
      <c r="J2922" s="19"/>
      <c r="K2922" s="19"/>
      <c r="L2922" s="25"/>
      <c r="M2922" s="25"/>
      <c r="N2922" s="25"/>
      <c r="O2922" s="25"/>
      <c r="P2922" s="25"/>
      <c r="Q2922" s="19"/>
      <c r="R2922" s="19"/>
      <c r="S2922" s="19"/>
      <c r="T2922" s="19"/>
      <c r="U2922" s="25"/>
      <c r="V2922" s="19"/>
      <c r="W2922" s="19"/>
      <c r="X2922" s="19"/>
      <c r="Y2922" s="19"/>
      <c r="Z2922" s="19"/>
    </row>
    <row r="2923">
      <c r="A2923" s="24"/>
      <c r="B2923" s="19"/>
      <c r="C2923" s="19"/>
      <c r="D2923" s="19"/>
      <c r="E2923" s="19"/>
      <c r="F2923" s="19"/>
      <c r="G2923" s="19"/>
      <c r="H2923" s="19"/>
      <c r="I2923" s="19"/>
      <c r="J2923" s="19"/>
      <c r="K2923" s="19"/>
      <c r="L2923" s="25"/>
      <c r="M2923" s="25"/>
      <c r="N2923" s="25"/>
      <c r="O2923" s="25"/>
      <c r="P2923" s="25"/>
      <c r="Q2923" s="19"/>
      <c r="R2923" s="19"/>
      <c r="S2923" s="19"/>
      <c r="T2923" s="19"/>
      <c r="U2923" s="25"/>
      <c r="V2923" s="19"/>
      <c r="W2923" s="19"/>
      <c r="X2923" s="19"/>
      <c r="Y2923" s="19"/>
      <c r="Z2923" s="19"/>
    </row>
    <row r="2924">
      <c r="A2924" s="24"/>
      <c r="B2924" s="19"/>
      <c r="C2924" s="19"/>
      <c r="D2924" s="19"/>
      <c r="E2924" s="19"/>
      <c r="F2924" s="19"/>
      <c r="G2924" s="19"/>
      <c r="H2924" s="19"/>
      <c r="I2924" s="19"/>
      <c r="J2924" s="19"/>
      <c r="K2924" s="19"/>
      <c r="L2924" s="25"/>
      <c r="M2924" s="25"/>
      <c r="N2924" s="25"/>
      <c r="O2924" s="25"/>
      <c r="P2924" s="25"/>
      <c r="Q2924" s="19"/>
      <c r="R2924" s="19"/>
      <c r="S2924" s="19"/>
      <c r="T2924" s="19"/>
      <c r="U2924" s="25"/>
      <c r="V2924" s="19"/>
      <c r="W2924" s="19"/>
      <c r="X2924" s="19"/>
      <c r="Y2924" s="19"/>
      <c r="Z2924" s="19"/>
    </row>
    <row r="2925">
      <c r="A2925" s="24"/>
      <c r="B2925" s="19"/>
      <c r="C2925" s="19"/>
      <c r="D2925" s="19"/>
      <c r="E2925" s="19"/>
      <c r="F2925" s="19"/>
      <c r="G2925" s="19"/>
      <c r="H2925" s="19"/>
      <c r="I2925" s="19"/>
      <c r="J2925" s="19"/>
      <c r="K2925" s="19"/>
      <c r="L2925" s="25"/>
      <c r="M2925" s="25"/>
      <c r="N2925" s="25"/>
      <c r="O2925" s="25"/>
      <c r="P2925" s="25"/>
      <c r="Q2925" s="19"/>
      <c r="R2925" s="19"/>
      <c r="S2925" s="19"/>
      <c r="T2925" s="19"/>
      <c r="U2925" s="25"/>
      <c r="V2925" s="19"/>
      <c r="W2925" s="19"/>
      <c r="X2925" s="19"/>
      <c r="Y2925" s="19"/>
      <c r="Z2925" s="19"/>
    </row>
    <row r="2926">
      <c r="A2926" s="24"/>
      <c r="B2926" s="19"/>
      <c r="C2926" s="19"/>
      <c r="D2926" s="19"/>
      <c r="E2926" s="19"/>
      <c r="F2926" s="19"/>
      <c r="G2926" s="19"/>
      <c r="H2926" s="19"/>
      <c r="I2926" s="19"/>
      <c r="J2926" s="19"/>
      <c r="K2926" s="19"/>
      <c r="L2926" s="25"/>
      <c r="M2926" s="25"/>
      <c r="N2926" s="25"/>
      <c r="O2926" s="25"/>
      <c r="P2926" s="25"/>
      <c r="Q2926" s="19"/>
      <c r="R2926" s="19"/>
      <c r="S2926" s="19"/>
      <c r="T2926" s="19"/>
      <c r="U2926" s="25"/>
      <c r="V2926" s="19"/>
      <c r="W2926" s="19"/>
      <c r="X2926" s="19"/>
      <c r="Y2926" s="19"/>
      <c r="Z2926" s="19"/>
    </row>
    <row r="2927">
      <c r="A2927" s="24"/>
      <c r="B2927" s="19"/>
      <c r="C2927" s="19"/>
      <c r="D2927" s="19"/>
      <c r="E2927" s="19"/>
      <c r="F2927" s="19"/>
      <c r="G2927" s="19"/>
      <c r="H2927" s="19"/>
      <c r="I2927" s="19"/>
      <c r="J2927" s="19"/>
      <c r="K2927" s="19"/>
      <c r="L2927" s="25"/>
      <c r="M2927" s="25"/>
      <c r="N2927" s="25"/>
      <c r="O2927" s="25"/>
      <c r="P2927" s="25"/>
      <c r="Q2927" s="19"/>
      <c r="R2927" s="19"/>
      <c r="S2927" s="19"/>
      <c r="T2927" s="19"/>
      <c r="U2927" s="25"/>
      <c r="V2927" s="19"/>
      <c r="W2927" s="19"/>
      <c r="X2927" s="19"/>
      <c r="Y2927" s="19"/>
      <c r="Z2927" s="19"/>
    </row>
    <row r="2928">
      <c r="A2928" s="24"/>
      <c r="B2928" s="19"/>
      <c r="C2928" s="19"/>
      <c r="D2928" s="19"/>
      <c r="E2928" s="19"/>
      <c r="F2928" s="19"/>
      <c r="G2928" s="19"/>
      <c r="H2928" s="19"/>
      <c r="I2928" s="19"/>
      <c r="J2928" s="19"/>
      <c r="K2928" s="19"/>
      <c r="L2928" s="25"/>
      <c r="M2928" s="25"/>
      <c r="N2928" s="25"/>
      <c r="O2928" s="25"/>
      <c r="P2928" s="25"/>
      <c r="Q2928" s="19"/>
      <c r="R2928" s="19"/>
      <c r="S2928" s="19"/>
      <c r="T2928" s="19"/>
      <c r="U2928" s="25"/>
      <c r="V2928" s="19"/>
      <c r="W2928" s="19"/>
      <c r="X2928" s="19"/>
      <c r="Y2928" s="19"/>
      <c r="Z2928" s="19"/>
    </row>
    <row r="2929">
      <c r="A2929" s="24"/>
      <c r="B2929" s="19"/>
      <c r="C2929" s="19"/>
      <c r="D2929" s="19"/>
      <c r="E2929" s="19"/>
      <c r="F2929" s="19"/>
      <c r="G2929" s="19"/>
      <c r="H2929" s="19"/>
      <c r="I2929" s="19"/>
      <c r="J2929" s="19"/>
      <c r="K2929" s="19"/>
      <c r="L2929" s="25"/>
      <c r="M2929" s="25"/>
      <c r="N2929" s="25"/>
      <c r="O2929" s="25"/>
      <c r="P2929" s="25"/>
      <c r="Q2929" s="19"/>
      <c r="R2929" s="19"/>
      <c r="S2929" s="19"/>
      <c r="T2929" s="19"/>
      <c r="U2929" s="25"/>
      <c r="V2929" s="19"/>
      <c r="W2929" s="19"/>
      <c r="X2929" s="19"/>
      <c r="Y2929" s="19"/>
      <c r="Z2929" s="19"/>
    </row>
    <row r="2930">
      <c r="A2930" s="24"/>
      <c r="B2930" s="19"/>
      <c r="C2930" s="19"/>
      <c r="D2930" s="19"/>
      <c r="E2930" s="19"/>
      <c r="F2930" s="19"/>
      <c r="G2930" s="19"/>
      <c r="H2930" s="19"/>
      <c r="I2930" s="19"/>
      <c r="J2930" s="19"/>
      <c r="K2930" s="19"/>
      <c r="L2930" s="25"/>
      <c r="M2930" s="25"/>
      <c r="N2930" s="25"/>
      <c r="O2930" s="25"/>
      <c r="P2930" s="25"/>
      <c r="Q2930" s="19"/>
      <c r="R2930" s="19"/>
      <c r="S2930" s="19"/>
      <c r="T2930" s="19"/>
      <c r="U2930" s="25"/>
      <c r="V2930" s="19"/>
      <c r="W2930" s="19"/>
      <c r="X2930" s="19"/>
      <c r="Y2930" s="19"/>
      <c r="Z2930" s="19"/>
    </row>
    <row r="2931">
      <c r="A2931" s="24"/>
      <c r="B2931" s="19"/>
      <c r="C2931" s="19"/>
      <c r="D2931" s="19"/>
      <c r="E2931" s="19"/>
      <c r="F2931" s="19"/>
      <c r="G2931" s="19"/>
      <c r="H2931" s="19"/>
      <c r="I2931" s="19"/>
      <c r="J2931" s="19"/>
      <c r="K2931" s="19"/>
      <c r="L2931" s="25"/>
      <c r="M2931" s="25"/>
      <c r="N2931" s="25"/>
      <c r="O2931" s="25"/>
      <c r="P2931" s="25"/>
      <c r="Q2931" s="19"/>
      <c r="R2931" s="19"/>
      <c r="S2931" s="19"/>
      <c r="T2931" s="19"/>
      <c r="U2931" s="25"/>
      <c r="V2931" s="19"/>
      <c r="W2931" s="19"/>
      <c r="X2931" s="19"/>
      <c r="Y2931" s="19"/>
      <c r="Z2931" s="19"/>
    </row>
    <row r="2932">
      <c r="A2932" s="24"/>
      <c r="B2932" s="19"/>
      <c r="C2932" s="19"/>
      <c r="D2932" s="19"/>
      <c r="E2932" s="19"/>
      <c r="F2932" s="19"/>
      <c r="G2932" s="19"/>
      <c r="H2932" s="19"/>
      <c r="I2932" s="19"/>
      <c r="J2932" s="19"/>
      <c r="K2932" s="19"/>
      <c r="L2932" s="25"/>
      <c r="M2932" s="25"/>
      <c r="N2932" s="25"/>
      <c r="O2932" s="25"/>
      <c r="P2932" s="25"/>
      <c r="Q2932" s="19"/>
      <c r="R2932" s="19"/>
      <c r="S2932" s="19"/>
      <c r="T2932" s="19"/>
      <c r="U2932" s="25"/>
      <c r="V2932" s="19"/>
      <c r="W2932" s="19"/>
      <c r="X2932" s="19"/>
      <c r="Y2932" s="19"/>
      <c r="Z2932" s="19"/>
    </row>
    <row r="2933">
      <c r="A2933" s="24"/>
      <c r="B2933" s="19"/>
      <c r="C2933" s="19"/>
      <c r="D2933" s="19"/>
      <c r="E2933" s="19"/>
      <c r="F2933" s="19"/>
      <c r="G2933" s="19"/>
      <c r="H2933" s="19"/>
      <c r="I2933" s="19"/>
      <c r="J2933" s="19"/>
      <c r="K2933" s="19"/>
      <c r="L2933" s="25"/>
      <c r="M2933" s="25"/>
      <c r="N2933" s="25"/>
      <c r="O2933" s="25"/>
      <c r="P2933" s="25"/>
      <c r="Q2933" s="19"/>
      <c r="R2933" s="19"/>
      <c r="S2933" s="19"/>
      <c r="T2933" s="19"/>
      <c r="U2933" s="25"/>
      <c r="V2933" s="19"/>
      <c r="W2933" s="19"/>
      <c r="X2933" s="19"/>
      <c r="Y2933" s="19"/>
      <c r="Z2933" s="19"/>
    </row>
    <row r="2934">
      <c r="A2934" s="24"/>
      <c r="B2934" s="19"/>
      <c r="C2934" s="19"/>
      <c r="D2934" s="19"/>
      <c r="E2934" s="19"/>
      <c r="F2934" s="19"/>
      <c r="G2934" s="19"/>
      <c r="H2934" s="19"/>
      <c r="I2934" s="19"/>
      <c r="J2934" s="19"/>
      <c r="K2934" s="19"/>
      <c r="L2934" s="25"/>
      <c r="M2934" s="25"/>
      <c r="N2934" s="25"/>
      <c r="O2934" s="25"/>
      <c r="P2934" s="25"/>
      <c r="Q2934" s="19"/>
      <c r="R2934" s="19"/>
      <c r="S2934" s="19"/>
      <c r="T2934" s="19"/>
      <c r="U2934" s="25"/>
      <c r="V2934" s="19"/>
      <c r="W2934" s="19"/>
      <c r="X2934" s="19"/>
      <c r="Y2934" s="19"/>
      <c r="Z2934" s="19"/>
    </row>
    <row r="2935">
      <c r="A2935" s="24"/>
      <c r="B2935" s="19"/>
      <c r="C2935" s="19"/>
      <c r="D2935" s="19"/>
      <c r="E2935" s="19"/>
      <c r="F2935" s="19"/>
      <c r="G2935" s="19"/>
      <c r="H2935" s="19"/>
      <c r="I2935" s="19"/>
      <c r="J2935" s="19"/>
      <c r="K2935" s="19"/>
      <c r="L2935" s="25"/>
      <c r="M2935" s="25"/>
      <c r="N2935" s="25"/>
      <c r="O2935" s="25"/>
      <c r="P2935" s="25"/>
      <c r="Q2935" s="19"/>
      <c r="R2935" s="19"/>
      <c r="S2935" s="19"/>
      <c r="T2935" s="19"/>
      <c r="U2935" s="25"/>
      <c r="V2935" s="19"/>
      <c r="W2935" s="19"/>
      <c r="X2935" s="19"/>
      <c r="Y2935" s="19"/>
      <c r="Z2935" s="19"/>
    </row>
    <row r="2936">
      <c r="A2936" s="24"/>
      <c r="B2936" s="19"/>
      <c r="C2936" s="19"/>
      <c r="D2936" s="19"/>
      <c r="E2936" s="19"/>
      <c r="F2936" s="19"/>
      <c r="G2936" s="19"/>
      <c r="H2936" s="19"/>
      <c r="I2936" s="19"/>
      <c r="J2936" s="19"/>
      <c r="K2936" s="19"/>
      <c r="L2936" s="25"/>
      <c r="M2936" s="25"/>
      <c r="N2936" s="25"/>
      <c r="O2936" s="25"/>
      <c r="P2936" s="25"/>
      <c r="Q2936" s="19"/>
      <c r="R2936" s="19"/>
      <c r="S2936" s="19"/>
      <c r="T2936" s="19"/>
      <c r="U2936" s="25"/>
      <c r="V2936" s="19"/>
      <c r="W2936" s="19"/>
      <c r="X2936" s="19"/>
      <c r="Y2936" s="19"/>
      <c r="Z2936" s="19"/>
    </row>
    <row r="2937">
      <c r="A2937" s="24"/>
      <c r="B2937" s="19"/>
      <c r="C2937" s="19"/>
      <c r="D2937" s="19"/>
      <c r="E2937" s="19"/>
      <c r="F2937" s="19"/>
      <c r="G2937" s="19"/>
      <c r="H2937" s="19"/>
      <c r="I2937" s="19"/>
      <c r="J2937" s="19"/>
      <c r="K2937" s="19"/>
      <c r="L2937" s="25"/>
      <c r="M2937" s="25"/>
      <c r="N2937" s="25"/>
      <c r="O2937" s="25"/>
      <c r="P2937" s="25"/>
      <c r="Q2937" s="19"/>
      <c r="R2937" s="19"/>
      <c r="S2937" s="19"/>
      <c r="T2937" s="19"/>
      <c r="U2937" s="25"/>
      <c r="V2937" s="19"/>
      <c r="W2937" s="19"/>
      <c r="X2937" s="19"/>
      <c r="Y2937" s="19"/>
      <c r="Z2937" s="19"/>
    </row>
    <row r="2938">
      <c r="A2938" s="24"/>
      <c r="B2938" s="19"/>
      <c r="C2938" s="19"/>
      <c r="D2938" s="19"/>
      <c r="E2938" s="19"/>
      <c r="F2938" s="19"/>
      <c r="G2938" s="19"/>
      <c r="H2938" s="19"/>
      <c r="I2938" s="19"/>
      <c r="J2938" s="19"/>
      <c r="K2938" s="19"/>
      <c r="L2938" s="25"/>
      <c r="M2938" s="25"/>
      <c r="N2938" s="25"/>
      <c r="O2938" s="25"/>
      <c r="P2938" s="25"/>
      <c r="Q2938" s="19"/>
      <c r="R2938" s="19"/>
      <c r="S2938" s="19"/>
      <c r="T2938" s="19"/>
      <c r="U2938" s="25"/>
      <c r="V2938" s="19"/>
      <c r="W2938" s="19"/>
      <c r="X2938" s="19"/>
      <c r="Y2938" s="19"/>
      <c r="Z2938" s="19"/>
    </row>
    <row r="2939">
      <c r="A2939" s="24"/>
      <c r="B2939" s="19"/>
      <c r="C2939" s="19"/>
      <c r="D2939" s="19"/>
      <c r="E2939" s="19"/>
      <c r="F2939" s="19"/>
      <c r="G2939" s="19"/>
      <c r="H2939" s="19"/>
      <c r="I2939" s="19"/>
      <c r="J2939" s="19"/>
      <c r="K2939" s="19"/>
      <c r="L2939" s="25"/>
      <c r="M2939" s="25"/>
      <c r="N2939" s="25"/>
      <c r="O2939" s="25"/>
      <c r="P2939" s="25"/>
      <c r="Q2939" s="19"/>
      <c r="R2939" s="19"/>
      <c r="S2939" s="19"/>
      <c r="T2939" s="19"/>
      <c r="U2939" s="25"/>
      <c r="V2939" s="19"/>
      <c r="W2939" s="19"/>
      <c r="X2939" s="19"/>
      <c r="Y2939" s="19"/>
      <c r="Z2939" s="19"/>
    </row>
    <row r="2940">
      <c r="A2940" s="24"/>
      <c r="B2940" s="19"/>
      <c r="C2940" s="19"/>
      <c r="D2940" s="19"/>
      <c r="E2940" s="19"/>
      <c r="F2940" s="19"/>
      <c r="G2940" s="19"/>
      <c r="H2940" s="19"/>
      <c r="I2940" s="19"/>
      <c r="J2940" s="19"/>
      <c r="K2940" s="19"/>
      <c r="L2940" s="25"/>
      <c r="M2940" s="25"/>
      <c r="N2940" s="25"/>
      <c r="O2940" s="25"/>
      <c r="P2940" s="25"/>
      <c r="Q2940" s="19"/>
      <c r="R2940" s="19"/>
      <c r="S2940" s="19"/>
      <c r="T2940" s="19"/>
      <c r="U2940" s="25"/>
      <c r="V2940" s="19"/>
      <c r="W2940" s="19"/>
      <c r="X2940" s="19"/>
      <c r="Y2940" s="19"/>
      <c r="Z2940" s="19"/>
    </row>
    <row r="2941">
      <c r="A2941" s="24"/>
      <c r="B2941" s="19"/>
      <c r="C2941" s="19"/>
      <c r="D2941" s="19"/>
      <c r="E2941" s="19"/>
      <c r="F2941" s="19"/>
      <c r="G2941" s="19"/>
      <c r="H2941" s="19"/>
      <c r="I2941" s="19"/>
      <c r="J2941" s="19"/>
      <c r="K2941" s="19"/>
      <c r="L2941" s="25"/>
      <c r="M2941" s="25"/>
      <c r="N2941" s="25"/>
      <c r="O2941" s="25"/>
      <c r="P2941" s="25"/>
      <c r="Q2941" s="19"/>
      <c r="R2941" s="19"/>
      <c r="S2941" s="19"/>
      <c r="T2941" s="19"/>
      <c r="U2941" s="25"/>
      <c r="V2941" s="19"/>
      <c r="W2941" s="19"/>
      <c r="X2941" s="19"/>
      <c r="Y2941" s="19"/>
      <c r="Z2941" s="19"/>
    </row>
    <row r="2942">
      <c r="A2942" s="24"/>
      <c r="B2942" s="19"/>
      <c r="C2942" s="19"/>
      <c r="D2942" s="19"/>
      <c r="E2942" s="19"/>
      <c r="F2942" s="19"/>
      <c r="G2942" s="19"/>
      <c r="H2942" s="19"/>
      <c r="I2942" s="19"/>
      <c r="J2942" s="19"/>
      <c r="K2942" s="19"/>
      <c r="L2942" s="25"/>
      <c r="M2942" s="25"/>
      <c r="N2942" s="25"/>
      <c r="O2942" s="25"/>
      <c r="P2942" s="25"/>
      <c r="Q2942" s="19"/>
      <c r="R2942" s="19"/>
      <c r="S2942" s="19"/>
      <c r="T2942" s="19"/>
      <c r="U2942" s="25"/>
      <c r="V2942" s="19"/>
      <c r="W2942" s="19"/>
      <c r="X2942" s="19"/>
      <c r="Y2942" s="19"/>
      <c r="Z2942" s="19"/>
    </row>
    <row r="2943">
      <c r="A2943" s="24"/>
      <c r="B2943" s="19"/>
      <c r="C2943" s="19"/>
      <c r="D2943" s="19"/>
      <c r="E2943" s="19"/>
      <c r="F2943" s="19"/>
      <c r="G2943" s="19"/>
      <c r="H2943" s="19"/>
      <c r="I2943" s="19"/>
      <c r="J2943" s="19"/>
      <c r="K2943" s="19"/>
      <c r="L2943" s="25"/>
      <c r="M2943" s="25"/>
      <c r="N2943" s="25"/>
      <c r="O2943" s="25"/>
      <c r="P2943" s="25"/>
      <c r="Q2943" s="19"/>
      <c r="R2943" s="19"/>
      <c r="S2943" s="19"/>
      <c r="T2943" s="19"/>
      <c r="U2943" s="25"/>
      <c r="V2943" s="19"/>
      <c r="W2943" s="19"/>
      <c r="X2943" s="19"/>
      <c r="Y2943" s="19"/>
      <c r="Z2943" s="19"/>
    </row>
    <row r="2944">
      <c r="A2944" s="24"/>
      <c r="B2944" s="19"/>
      <c r="C2944" s="19"/>
      <c r="D2944" s="19"/>
      <c r="E2944" s="19"/>
      <c r="F2944" s="19"/>
      <c r="G2944" s="19"/>
      <c r="H2944" s="19"/>
      <c r="I2944" s="19"/>
      <c r="J2944" s="19"/>
      <c r="K2944" s="19"/>
      <c r="L2944" s="25"/>
      <c r="M2944" s="25"/>
      <c r="N2944" s="25"/>
      <c r="O2944" s="25"/>
      <c r="P2944" s="25"/>
      <c r="Q2944" s="19"/>
      <c r="R2944" s="19"/>
      <c r="S2944" s="19"/>
      <c r="T2944" s="19"/>
      <c r="U2944" s="25"/>
      <c r="V2944" s="19"/>
      <c r="W2944" s="19"/>
      <c r="X2944" s="19"/>
      <c r="Y2944" s="19"/>
      <c r="Z2944" s="19"/>
    </row>
    <row r="2945">
      <c r="A2945" s="24"/>
      <c r="B2945" s="19"/>
      <c r="C2945" s="19"/>
      <c r="D2945" s="19"/>
      <c r="E2945" s="19"/>
      <c r="F2945" s="19"/>
      <c r="G2945" s="19"/>
      <c r="H2945" s="19"/>
      <c r="I2945" s="19"/>
      <c r="J2945" s="19"/>
      <c r="K2945" s="19"/>
      <c r="L2945" s="25"/>
      <c r="M2945" s="25"/>
      <c r="N2945" s="25"/>
      <c r="O2945" s="25"/>
      <c r="P2945" s="25"/>
      <c r="Q2945" s="19"/>
      <c r="R2945" s="19"/>
      <c r="S2945" s="19"/>
      <c r="T2945" s="19"/>
      <c r="U2945" s="25"/>
      <c r="V2945" s="19"/>
      <c r="W2945" s="19"/>
      <c r="X2945" s="19"/>
      <c r="Y2945" s="19"/>
      <c r="Z2945" s="19"/>
    </row>
    <row r="2946">
      <c r="A2946" s="24"/>
      <c r="B2946" s="19"/>
      <c r="C2946" s="19"/>
      <c r="D2946" s="19"/>
      <c r="E2946" s="19"/>
      <c r="F2946" s="19"/>
      <c r="G2946" s="19"/>
      <c r="H2946" s="19"/>
      <c r="I2946" s="19"/>
      <c r="J2946" s="19"/>
      <c r="K2946" s="19"/>
      <c r="L2946" s="25"/>
      <c r="M2946" s="25"/>
      <c r="N2946" s="25"/>
      <c r="O2946" s="25"/>
      <c r="P2946" s="25"/>
      <c r="Q2946" s="19"/>
      <c r="R2946" s="19"/>
      <c r="S2946" s="19"/>
      <c r="T2946" s="19"/>
      <c r="U2946" s="25"/>
      <c r="V2946" s="19"/>
      <c r="W2946" s="19"/>
      <c r="X2946" s="19"/>
      <c r="Y2946" s="19"/>
      <c r="Z2946" s="19"/>
    </row>
    <row r="2947">
      <c r="A2947" s="24"/>
      <c r="B2947" s="19"/>
      <c r="C2947" s="19"/>
      <c r="D2947" s="19"/>
      <c r="E2947" s="19"/>
      <c r="F2947" s="19"/>
      <c r="G2947" s="19"/>
      <c r="H2947" s="19"/>
      <c r="I2947" s="19"/>
      <c r="J2947" s="19"/>
      <c r="K2947" s="19"/>
      <c r="L2947" s="25"/>
      <c r="M2947" s="25"/>
      <c r="N2947" s="25"/>
      <c r="O2947" s="25"/>
      <c r="P2947" s="25"/>
      <c r="Q2947" s="19"/>
      <c r="R2947" s="19"/>
      <c r="S2947" s="19"/>
      <c r="T2947" s="19"/>
      <c r="U2947" s="25"/>
      <c r="V2947" s="19"/>
      <c r="W2947" s="19"/>
      <c r="X2947" s="19"/>
      <c r="Y2947" s="19"/>
      <c r="Z2947" s="19"/>
    </row>
    <row r="2948">
      <c r="A2948" s="24"/>
      <c r="B2948" s="19"/>
      <c r="C2948" s="19"/>
      <c r="D2948" s="19"/>
      <c r="E2948" s="19"/>
      <c r="F2948" s="19"/>
      <c r="G2948" s="19"/>
      <c r="H2948" s="19"/>
      <c r="I2948" s="19"/>
      <c r="J2948" s="19"/>
      <c r="K2948" s="19"/>
      <c r="L2948" s="25"/>
      <c r="M2948" s="25"/>
      <c r="N2948" s="25"/>
      <c r="O2948" s="25"/>
      <c r="P2948" s="25"/>
      <c r="Q2948" s="19"/>
      <c r="R2948" s="19"/>
      <c r="S2948" s="19"/>
      <c r="T2948" s="19"/>
      <c r="U2948" s="25"/>
      <c r="V2948" s="19"/>
      <c r="W2948" s="19"/>
      <c r="X2948" s="19"/>
      <c r="Y2948" s="19"/>
      <c r="Z2948" s="19"/>
    </row>
    <row r="2949">
      <c r="A2949" s="24"/>
      <c r="B2949" s="19"/>
      <c r="C2949" s="19"/>
      <c r="D2949" s="19"/>
      <c r="E2949" s="19"/>
      <c r="F2949" s="19"/>
      <c r="G2949" s="19"/>
      <c r="H2949" s="19"/>
      <c r="I2949" s="19"/>
      <c r="J2949" s="19"/>
      <c r="K2949" s="19"/>
      <c r="L2949" s="25"/>
      <c r="M2949" s="25"/>
      <c r="N2949" s="25"/>
      <c r="O2949" s="25"/>
      <c r="P2949" s="25"/>
      <c r="Q2949" s="19"/>
      <c r="R2949" s="19"/>
      <c r="S2949" s="19"/>
      <c r="T2949" s="19"/>
      <c r="U2949" s="25"/>
      <c r="V2949" s="19"/>
      <c r="W2949" s="19"/>
      <c r="X2949" s="19"/>
      <c r="Y2949" s="19"/>
      <c r="Z2949" s="19"/>
    </row>
    <row r="2950">
      <c r="A2950" s="24"/>
      <c r="B2950" s="19"/>
      <c r="C2950" s="19"/>
      <c r="D2950" s="19"/>
      <c r="E2950" s="19"/>
      <c r="F2950" s="19"/>
      <c r="G2950" s="19"/>
      <c r="H2950" s="19"/>
      <c r="I2950" s="19"/>
      <c r="J2950" s="19"/>
      <c r="K2950" s="19"/>
      <c r="L2950" s="25"/>
      <c r="M2950" s="25"/>
      <c r="N2950" s="25"/>
      <c r="O2950" s="25"/>
      <c r="P2950" s="25"/>
      <c r="Q2950" s="19"/>
      <c r="R2950" s="19"/>
      <c r="S2950" s="19"/>
      <c r="T2950" s="19"/>
      <c r="U2950" s="25"/>
      <c r="V2950" s="19"/>
      <c r="W2950" s="19"/>
      <c r="X2950" s="19"/>
      <c r="Y2950" s="19"/>
      <c r="Z2950" s="19"/>
    </row>
    <row r="2951">
      <c r="A2951" s="24"/>
      <c r="B2951" s="19"/>
      <c r="C2951" s="19"/>
      <c r="D2951" s="19"/>
      <c r="E2951" s="19"/>
      <c r="F2951" s="19"/>
      <c r="G2951" s="19"/>
      <c r="H2951" s="19"/>
      <c r="I2951" s="19"/>
      <c r="J2951" s="19"/>
      <c r="K2951" s="19"/>
      <c r="L2951" s="25"/>
      <c r="M2951" s="25"/>
      <c r="N2951" s="25"/>
      <c r="O2951" s="25"/>
      <c r="P2951" s="25"/>
      <c r="Q2951" s="19"/>
      <c r="R2951" s="19"/>
      <c r="S2951" s="19"/>
      <c r="T2951" s="19"/>
      <c r="U2951" s="25"/>
      <c r="V2951" s="19"/>
      <c r="W2951" s="19"/>
      <c r="X2951" s="19"/>
      <c r="Y2951" s="19"/>
      <c r="Z2951" s="19"/>
    </row>
    <row r="2952">
      <c r="A2952" s="24"/>
      <c r="B2952" s="19"/>
      <c r="C2952" s="19"/>
      <c r="D2952" s="19"/>
      <c r="E2952" s="19"/>
      <c r="F2952" s="19"/>
      <c r="G2952" s="19"/>
      <c r="H2952" s="19"/>
      <c r="I2952" s="19"/>
      <c r="J2952" s="19"/>
      <c r="K2952" s="19"/>
      <c r="L2952" s="25"/>
      <c r="M2952" s="25"/>
      <c r="N2952" s="25"/>
      <c r="O2952" s="25"/>
      <c r="P2952" s="25"/>
      <c r="Q2952" s="19"/>
      <c r="R2952" s="19"/>
      <c r="S2952" s="19"/>
      <c r="T2952" s="19"/>
      <c r="U2952" s="25"/>
      <c r="V2952" s="19"/>
      <c r="W2952" s="19"/>
      <c r="X2952" s="19"/>
      <c r="Y2952" s="19"/>
      <c r="Z2952" s="19"/>
    </row>
    <row r="2953">
      <c r="A2953" s="24"/>
      <c r="B2953" s="19"/>
      <c r="C2953" s="19"/>
      <c r="D2953" s="19"/>
      <c r="E2953" s="19"/>
      <c r="F2953" s="19"/>
      <c r="G2953" s="19"/>
      <c r="H2953" s="19"/>
      <c r="I2953" s="19"/>
      <c r="J2953" s="19"/>
      <c r="K2953" s="19"/>
      <c r="L2953" s="25"/>
      <c r="M2953" s="25"/>
      <c r="N2953" s="25"/>
      <c r="O2953" s="25"/>
      <c r="P2953" s="25"/>
      <c r="Q2953" s="19"/>
      <c r="R2953" s="19"/>
      <c r="S2953" s="19"/>
      <c r="T2953" s="19"/>
      <c r="U2953" s="25"/>
      <c r="V2953" s="19"/>
      <c r="W2953" s="19"/>
      <c r="X2953" s="19"/>
      <c r="Y2953" s="19"/>
      <c r="Z2953" s="19"/>
    </row>
    <row r="2954">
      <c r="A2954" s="24"/>
      <c r="B2954" s="19"/>
      <c r="C2954" s="19"/>
      <c r="D2954" s="19"/>
      <c r="E2954" s="19"/>
      <c r="F2954" s="19"/>
      <c r="G2954" s="19"/>
      <c r="H2954" s="19"/>
      <c r="I2954" s="19"/>
      <c r="J2954" s="19"/>
      <c r="K2954" s="19"/>
      <c r="L2954" s="25"/>
      <c r="M2954" s="25"/>
      <c r="N2954" s="25"/>
      <c r="O2954" s="25"/>
      <c r="P2954" s="25"/>
      <c r="Q2954" s="19"/>
      <c r="R2954" s="19"/>
      <c r="S2954" s="19"/>
      <c r="T2954" s="19"/>
      <c r="U2954" s="25"/>
      <c r="V2954" s="19"/>
      <c r="W2954" s="19"/>
      <c r="X2954" s="19"/>
      <c r="Y2954" s="19"/>
      <c r="Z2954" s="19"/>
    </row>
    <row r="2955">
      <c r="A2955" s="24"/>
      <c r="B2955" s="19"/>
      <c r="C2955" s="19"/>
      <c r="D2955" s="19"/>
      <c r="E2955" s="19"/>
      <c r="F2955" s="19"/>
      <c r="G2955" s="19"/>
      <c r="H2955" s="19"/>
      <c r="I2955" s="19"/>
      <c r="J2955" s="19"/>
      <c r="K2955" s="19"/>
      <c r="L2955" s="25"/>
      <c r="M2955" s="25"/>
      <c r="N2955" s="25"/>
      <c r="O2955" s="25"/>
      <c r="P2955" s="25"/>
      <c r="Q2955" s="19"/>
      <c r="R2955" s="19"/>
      <c r="S2955" s="19"/>
      <c r="T2955" s="19"/>
      <c r="U2955" s="25"/>
      <c r="V2955" s="19"/>
      <c r="W2955" s="19"/>
      <c r="X2955" s="19"/>
      <c r="Y2955" s="19"/>
      <c r="Z2955" s="19"/>
    </row>
    <row r="2956">
      <c r="A2956" s="24"/>
      <c r="B2956" s="19"/>
      <c r="C2956" s="19"/>
      <c r="D2956" s="19"/>
      <c r="E2956" s="19"/>
      <c r="F2956" s="19"/>
      <c r="G2956" s="19"/>
      <c r="H2956" s="19"/>
      <c r="I2956" s="19"/>
      <c r="J2956" s="19"/>
      <c r="K2956" s="19"/>
      <c r="L2956" s="25"/>
      <c r="M2956" s="25"/>
      <c r="N2956" s="25"/>
      <c r="O2956" s="25"/>
      <c r="P2956" s="25"/>
      <c r="Q2956" s="19"/>
      <c r="R2956" s="19"/>
      <c r="S2956" s="19"/>
      <c r="T2956" s="19"/>
      <c r="U2956" s="25"/>
      <c r="V2956" s="19"/>
      <c r="W2956" s="19"/>
      <c r="X2956" s="19"/>
      <c r="Y2956" s="19"/>
      <c r="Z2956" s="19"/>
    </row>
    <row r="2957">
      <c r="A2957" s="24"/>
      <c r="B2957" s="19"/>
      <c r="C2957" s="19"/>
      <c r="D2957" s="19"/>
      <c r="E2957" s="19"/>
      <c r="F2957" s="19"/>
      <c r="G2957" s="19"/>
      <c r="H2957" s="19"/>
      <c r="I2957" s="19"/>
      <c r="J2957" s="19"/>
      <c r="K2957" s="19"/>
      <c r="L2957" s="25"/>
      <c r="M2957" s="25"/>
      <c r="N2957" s="25"/>
      <c r="O2957" s="25"/>
      <c r="P2957" s="25"/>
      <c r="Q2957" s="19"/>
      <c r="R2957" s="19"/>
      <c r="S2957" s="19"/>
      <c r="T2957" s="19"/>
      <c r="U2957" s="25"/>
      <c r="V2957" s="19"/>
      <c r="W2957" s="19"/>
      <c r="X2957" s="19"/>
      <c r="Y2957" s="19"/>
      <c r="Z2957" s="19"/>
    </row>
    <row r="2958">
      <c r="A2958" s="24"/>
      <c r="B2958" s="19"/>
      <c r="C2958" s="19"/>
      <c r="D2958" s="19"/>
      <c r="E2958" s="19"/>
      <c r="F2958" s="19"/>
      <c r="G2958" s="19"/>
      <c r="H2958" s="19"/>
      <c r="I2958" s="19"/>
      <c r="J2958" s="19"/>
      <c r="K2958" s="19"/>
      <c r="L2958" s="25"/>
      <c r="M2958" s="25"/>
      <c r="N2958" s="25"/>
      <c r="O2958" s="25"/>
      <c r="P2958" s="25"/>
      <c r="Q2958" s="19"/>
      <c r="R2958" s="19"/>
      <c r="S2958" s="19"/>
      <c r="T2958" s="19"/>
      <c r="U2958" s="25"/>
      <c r="V2958" s="19"/>
      <c r="W2958" s="19"/>
      <c r="X2958" s="19"/>
      <c r="Y2958" s="19"/>
      <c r="Z2958" s="19"/>
    </row>
    <row r="2959">
      <c r="A2959" s="24"/>
      <c r="B2959" s="19"/>
      <c r="C2959" s="19"/>
      <c r="D2959" s="19"/>
      <c r="E2959" s="19"/>
      <c r="F2959" s="19"/>
      <c r="G2959" s="19"/>
      <c r="H2959" s="19"/>
      <c r="I2959" s="19"/>
      <c r="J2959" s="19"/>
      <c r="K2959" s="19"/>
      <c r="L2959" s="25"/>
      <c r="M2959" s="25"/>
      <c r="N2959" s="25"/>
      <c r="O2959" s="25"/>
      <c r="P2959" s="25"/>
      <c r="Q2959" s="19"/>
      <c r="R2959" s="19"/>
      <c r="S2959" s="19"/>
      <c r="T2959" s="19"/>
      <c r="U2959" s="25"/>
      <c r="V2959" s="19"/>
      <c r="W2959" s="19"/>
      <c r="X2959" s="19"/>
      <c r="Y2959" s="19"/>
      <c r="Z2959" s="19"/>
    </row>
    <row r="2960">
      <c r="A2960" s="24"/>
      <c r="B2960" s="19"/>
      <c r="C2960" s="19"/>
      <c r="D2960" s="19"/>
      <c r="E2960" s="19"/>
      <c r="F2960" s="19"/>
      <c r="G2960" s="19"/>
      <c r="H2960" s="19"/>
      <c r="I2960" s="19"/>
      <c r="J2960" s="19"/>
      <c r="K2960" s="19"/>
      <c r="L2960" s="25"/>
      <c r="M2960" s="25"/>
      <c r="N2960" s="25"/>
      <c r="O2960" s="25"/>
      <c r="P2960" s="25"/>
      <c r="Q2960" s="19"/>
      <c r="R2960" s="19"/>
      <c r="S2960" s="19"/>
      <c r="T2960" s="19"/>
      <c r="U2960" s="25"/>
      <c r="V2960" s="19"/>
      <c r="W2960" s="19"/>
      <c r="X2960" s="19"/>
      <c r="Y2960" s="19"/>
      <c r="Z2960" s="19"/>
    </row>
    <row r="2961">
      <c r="A2961" s="24"/>
      <c r="B2961" s="19"/>
      <c r="C2961" s="19"/>
      <c r="D2961" s="19"/>
      <c r="E2961" s="19"/>
      <c r="F2961" s="19"/>
      <c r="G2961" s="19"/>
      <c r="H2961" s="19"/>
      <c r="I2961" s="19"/>
      <c r="J2961" s="19"/>
      <c r="K2961" s="19"/>
      <c r="L2961" s="25"/>
      <c r="M2961" s="25"/>
      <c r="N2961" s="25"/>
      <c r="O2961" s="25"/>
      <c r="P2961" s="25"/>
      <c r="Q2961" s="19"/>
      <c r="R2961" s="19"/>
      <c r="S2961" s="19"/>
      <c r="T2961" s="19"/>
      <c r="U2961" s="25"/>
      <c r="V2961" s="19"/>
      <c r="W2961" s="19"/>
      <c r="X2961" s="19"/>
      <c r="Y2961" s="19"/>
      <c r="Z2961" s="19"/>
    </row>
    <row r="2962">
      <c r="A2962" s="24"/>
      <c r="B2962" s="19"/>
      <c r="C2962" s="19"/>
      <c r="D2962" s="19"/>
      <c r="E2962" s="19"/>
      <c r="F2962" s="19"/>
      <c r="G2962" s="19"/>
      <c r="H2962" s="19"/>
      <c r="I2962" s="19"/>
      <c r="J2962" s="19"/>
      <c r="K2962" s="19"/>
      <c r="L2962" s="25"/>
      <c r="M2962" s="25"/>
      <c r="N2962" s="25"/>
      <c r="O2962" s="25"/>
      <c r="P2962" s="25"/>
      <c r="Q2962" s="19"/>
      <c r="R2962" s="19"/>
      <c r="S2962" s="19"/>
      <c r="T2962" s="19"/>
      <c r="U2962" s="25"/>
      <c r="V2962" s="19"/>
      <c r="W2962" s="19"/>
      <c r="X2962" s="19"/>
      <c r="Y2962" s="19"/>
      <c r="Z2962" s="19"/>
    </row>
    <row r="2963">
      <c r="A2963" s="24"/>
      <c r="B2963" s="19"/>
      <c r="C2963" s="19"/>
      <c r="D2963" s="19"/>
      <c r="E2963" s="19"/>
      <c r="F2963" s="19"/>
      <c r="G2963" s="19"/>
      <c r="H2963" s="19"/>
      <c r="I2963" s="19"/>
      <c r="J2963" s="19"/>
      <c r="K2963" s="19"/>
      <c r="L2963" s="25"/>
      <c r="M2963" s="25"/>
      <c r="N2963" s="25"/>
      <c r="O2963" s="25"/>
      <c r="P2963" s="25"/>
      <c r="Q2963" s="19"/>
      <c r="R2963" s="19"/>
      <c r="S2963" s="19"/>
      <c r="T2963" s="19"/>
      <c r="U2963" s="25"/>
      <c r="V2963" s="19"/>
      <c r="W2963" s="19"/>
      <c r="X2963" s="19"/>
      <c r="Y2963" s="19"/>
      <c r="Z2963" s="19"/>
    </row>
    <row r="2964">
      <c r="A2964" s="24"/>
      <c r="B2964" s="19"/>
      <c r="C2964" s="19"/>
      <c r="D2964" s="19"/>
      <c r="E2964" s="19"/>
      <c r="F2964" s="19"/>
      <c r="G2964" s="19"/>
      <c r="H2964" s="19"/>
      <c r="I2964" s="19"/>
      <c r="J2964" s="19"/>
      <c r="K2964" s="19"/>
      <c r="L2964" s="25"/>
      <c r="M2964" s="25"/>
      <c r="N2964" s="25"/>
      <c r="O2964" s="25"/>
      <c r="P2964" s="25"/>
      <c r="Q2964" s="19"/>
      <c r="R2964" s="19"/>
      <c r="S2964" s="19"/>
      <c r="T2964" s="19"/>
      <c r="U2964" s="25"/>
      <c r="V2964" s="19"/>
      <c r="W2964" s="19"/>
      <c r="X2964" s="19"/>
      <c r="Y2964" s="19"/>
      <c r="Z2964" s="19"/>
    </row>
    <row r="2965">
      <c r="A2965" s="24"/>
      <c r="B2965" s="19"/>
      <c r="C2965" s="19"/>
      <c r="D2965" s="19"/>
      <c r="E2965" s="19"/>
      <c r="F2965" s="19"/>
      <c r="G2965" s="19"/>
      <c r="H2965" s="19"/>
      <c r="I2965" s="19"/>
      <c r="J2965" s="19"/>
      <c r="K2965" s="19"/>
      <c r="L2965" s="25"/>
      <c r="M2965" s="25"/>
      <c r="N2965" s="25"/>
      <c r="O2965" s="25"/>
      <c r="P2965" s="25"/>
      <c r="Q2965" s="19"/>
      <c r="R2965" s="19"/>
      <c r="S2965" s="19"/>
      <c r="T2965" s="19"/>
      <c r="U2965" s="25"/>
      <c r="V2965" s="19"/>
      <c r="W2965" s="19"/>
      <c r="X2965" s="19"/>
      <c r="Y2965" s="19"/>
      <c r="Z2965" s="19"/>
    </row>
    <row r="2966">
      <c r="A2966" s="24"/>
      <c r="B2966" s="19"/>
      <c r="C2966" s="19"/>
      <c r="D2966" s="19"/>
      <c r="E2966" s="19"/>
      <c r="F2966" s="19"/>
      <c r="G2966" s="19"/>
      <c r="H2966" s="19"/>
      <c r="I2966" s="19"/>
      <c r="J2966" s="19"/>
      <c r="K2966" s="19"/>
      <c r="L2966" s="25"/>
      <c r="M2966" s="25"/>
      <c r="N2966" s="25"/>
      <c r="O2966" s="25"/>
      <c r="P2966" s="25"/>
      <c r="Q2966" s="19"/>
      <c r="R2966" s="19"/>
      <c r="S2966" s="19"/>
      <c r="T2966" s="19"/>
      <c r="U2966" s="25"/>
      <c r="V2966" s="19"/>
      <c r="W2966" s="19"/>
      <c r="X2966" s="19"/>
      <c r="Y2966" s="19"/>
      <c r="Z2966" s="19"/>
    </row>
    <row r="2967">
      <c r="A2967" s="24"/>
      <c r="B2967" s="19"/>
      <c r="C2967" s="19"/>
      <c r="D2967" s="19"/>
      <c r="E2967" s="19"/>
      <c r="F2967" s="19"/>
      <c r="G2967" s="19"/>
      <c r="H2967" s="19"/>
      <c r="I2967" s="19"/>
      <c r="J2967" s="19"/>
      <c r="K2967" s="19"/>
      <c r="L2967" s="25"/>
      <c r="M2967" s="25"/>
      <c r="N2967" s="25"/>
      <c r="O2967" s="25"/>
      <c r="P2967" s="25"/>
      <c r="Q2967" s="19"/>
      <c r="R2967" s="19"/>
      <c r="S2967" s="19"/>
      <c r="T2967" s="19"/>
      <c r="U2967" s="25"/>
      <c r="V2967" s="19"/>
      <c r="W2967" s="19"/>
      <c r="X2967" s="19"/>
      <c r="Y2967" s="19"/>
      <c r="Z2967" s="19"/>
    </row>
    <row r="2968">
      <c r="A2968" s="24"/>
      <c r="B2968" s="19"/>
      <c r="C2968" s="19"/>
      <c r="D2968" s="19"/>
      <c r="E2968" s="19"/>
      <c r="F2968" s="19"/>
      <c r="G2968" s="19"/>
      <c r="H2968" s="19"/>
      <c r="I2968" s="19"/>
      <c r="J2968" s="19"/>
      <c r="K2968" s="19"/>
      <c r="L2968" s="25"/>
      <c r="M2968" s="25"/>
      <c r="N2968" s="25"/>
      <c r="O2968" s="25"/>
      <c r="P2968" s="25"/>
      <c r="Q2968" s="19"/>
      <c r="R2968" s="19"/>
      <c r="S2968" s="19"/>
      <c r="T2968" s="19"/>
      <c r="U2968" s="25"/>
      <c r="V2968" s="19"/>
      <c r="W2968" s="19"/>
      <c r="X2968" s="19"/>
      <c r="Y2968" s="19"/>
      <c r="Z2968" s="19"/>
    </row>
    <row r="2969">
      <c r="A2969" s="24"/>
      <c r="B2969" s="19"/>
      <c r="C2969" s="19"/>
      <c r="D2969" s="19"/>
      <c r="E2969" s="19"/>
      <c r="F2969" s="19"/>
      <c r="G2969" s="19"/>
      <c r="H2969" s="19"/>
      <c r="I2969" s="19"/>
      <c r="J2969" s="19"/>
      <c r="K2969" s="19"/>
      <c r="L2969" s="25"/>
      <c r="M2969" s="25"/>
      <c r="N2969" s="25"/>
      <c r="O2969" s="25"/>
      <c r="P2969" s="25"/>
      <c r="Q2969" s="19"/>
      <c r="R2969" s="19"/>
      <c r="S2969" s="19"/>
      <c r="T2969" s="19"/>
      <c r="U2969" s="25"/>
      <c r="V2969" s="19"/>
      <c r="W2969" s="19"/>
      <c r="X2969" s="19"/>
      <c r="Y2969" s="19"/>
      <c r="Z2969" s="19"/>
    </row>
    <row r="2970">
      <c r="A2970" s="24"/>
      <c r="B2970" s="19"/>
      <c r="C2970" s="19"/>
      <c r="D2970" s="19"/>
      <c r="E2970" s="19"/>
      <c r="F2970" s="19"/>
      <c r="G2970" s="19"/>
      <c r="H2970" s="19"/>
      <c r="I2970" s="19"/>
      <c r="J2970" s="19"/>
      <c r="K2970" s="19"/>
      <c r="L2970" s="25"/>
      <c r="M2970" s="25"/>
      <c r="N2970" s="25"/>
      <c r="O2970" s="25"/>
      <c r="P2970" s="25"/>
      <c r="Q2970" s="19"/>
      <c r="R2970" s="19"/>
      <c r="S2970" s="19"/>
      <c r="T2970" s="19"/>
      <c r="U2970" s="25"/>
      <c r="V2970" s="19"/>
      <c r="W2970" s="19"/>
      <c r="X2970" s="19"/>
      <c r="Y2970" s="19"/>
      <c r="Z2970" s="19"/>
    </row>
    <row r="2971">
      <c r="A2971" s="24"/>
      <c r="B2971" s="19"/>
      <c r="C2971" s="19"/>
      <c r="D2971" s="19"/>
      <c r="E2971" s="19"/>
      <c r="F2971" s="19"/>
      <c r="G2971" s="19"/>
      <c r="H2971" s="19"/>
      <c r="I2971" s="19"/>
      <c r="J2971" s="19"/>
      <c r="K2971" s="19"/>
      <c r="L2971" s="25"/>
      <c r="M2971" s="25"/>
      <c r="N2971" s="25"/>
      <c r="O2971" s="25"/>
      <c r="P2971" s="25"/>
      <c r="Q2971" s="19"/>
      <c r="R2971" s="19"/>
      <c r="S2971" s="19"/>
      <c r="T2971" s="19"/>
      <c r="U2971" s="25"/>
      <c r="V2971" s="19"/>
      <c r="W2971" s="19"/>
      <c r="X2971" s="19"/>
      <c r="Y2971" s="19"/>
      <c r="Z2971" s="19"/>
    </row>
    <row r="2972">
      <c r="A2972" s="24"/>
      <c r="B2972" s="19"/>
      <c r="C2972" s="19"/>
      <c r="D2972" s="19"/>
      <c r="E2972" s="19"/>
      <c r="F2972" s="19"/>
      <c r="G2972" s="19"/>
      <c r="H2972" s="19"/>
      <c r="I2972" s="19"/>
      <c r="J2972" s="19"/>
      <c r="K2972" s="19"/>
      <c r="L2972" s="25"/>
      <c r="M2972" s="25"/>
      <c r="N2972" s="25"/>
      <c r="O2972" s="25"/>
      <c r="P2972" s="25"/>
      <c r="Q2972" s="19"/>
      <c r="R2972" s="19"/>
      <c r="S2972" s="19"/>
      <c r="T2972" s="19"/>
      <c r="U2972" s="25"/>
      <c r="V2972" s="19"/>
      <c r="W2972" s="19"/>
      <c r="X2972" s="19"/>
      <c r="Y2972" s="19"/>
      <c r="Z2972" s="19"/>
    </row>
    <row r="2973">
      <c r="A2973" s="24"/>
      <c r="B2973" s="19"/>
      <c r="C2973" s="19"/>
      <c r="D2973" s="19"/>
      <c r="E2973" s="19"/>
      <c r="F2973" s="19"/>
      <c r="G2973" s="19"/>
      <c r="H2973" s="19"/>
      <c r="I2973" s="19"/>
      <c r="J2973" s="19"/>
      <c r="K2973" s="19"/>
      <c r="L2973" s="25"/>
      <c r="M2973" s="25"/>
      <c r="N2973" s="25"/>
      <c r="O2973" s="25"/>
      <c r="P2973" s="25"/>
      <c r="Q2973" s="19"/>
      <c r="R2973" s="19"/>
      <c r="S2973" s="19"/>
      <c r="T2973" s="19"/>
      <c r="U2973" s="25"/>
      <c r="V2973" s="19"/>
      <c r="W2973" s="19"/>
      <c r="X2973" s="19"/>
      <c r="Y2973" s="19"/>
      <c r="Z2973" s="19"/>
    </row>
    <row r="2974">
      <c r="A2974" s="24"/>
      <c r="B2974" s="19"/>
      <c r="C2974" s="19"/>
      <c r="D2974" s="19"/>
      <c r="E2974" s="19"/>
      <c r="F2974" s="19"/>
      <c r="G2974" s="19"/>
      <c r="H2974" s="19"/>
      <c r="I2974" s="19"/>
      <c r="J2974" s="19"/>
      <c r="K2974" s="19"/>
      <c r="L2974" s="25"/>
      <c r="M2974" s="25"/>
      <c r="N2974" s="25"/>
      <c r="O2974" s="25"/>
      <c r="P2974" s="25"/>
      <c r="Q2974" s="19"/>
      <c r="R2974" s="19"/>
      <c r="S2974" s="19"/>
      <c r="T2974" s="19"/>
      <c r="U2974" s="25"/>
      <c r="V2974" s="19"/>
      <c r="W2974" s="19"/>
      <c r="X2974" s="19"/>
      <c r="Y2974" s="19"/>
      <c r="Z2974" s="19"/>
    </row>
    <row r="2975">
      <c r="A2975" s="24"/>
      <c r="B2975" s="19"/>
      <c r="C2975" s="19"/>
      <c r="D2975" s="19"/>
      <c r="E2975" s="19"/>
      <c r="F2975" s="19"/>
      <c r="G2975" s="19"/>
      <c r="H2975" s="19"/>
      <c r="I2975" s="19"/>
      <c r="J2975" s="19"/>
      <c r="K2975" s="19"/>
      <c r="L2975" s="25"/>
      <c r="M2975" s="25"/>
      <c r="N2975" s="25"/>
      <c r="O2975" s="25"/>
      <c r="P2975" s="25"/>
      <c r="Q2975" s="19"/>
      <c r="R2975" s="19"/>
      <c r="S2975" s="19"/>
      <c r="T2975" s="19"/>
      <c r="U2975" s="25"/>
      <c r="V2975" s="19"/>
      <c r="W2975" s="19"/>
      <c r="X2975" s="19"/>
      <c r="Y2975" s="19"/>
      <c r="Z2975" s="19"/>
    </row>
    <row r="2976">
      <c r="A2976" s="24"/>
      <c r="B2976" s="19"/>
      <c r="C2976" s="19"/>
      <c r="D2976" s="19"/>
      <c r="E2976" s="19"/>
      <c r="F2976" s="19"/>
      <c r="G2976" s="19"/>
      <c r="H2976" s="19"/>
      <c r="I2976" s="19"/>
      <c r="J2976" s="19"/>
      <c r="K2976" s="19"/>
      <c r="L2976" s="25"/>
      <c r="M2976" s="25"/>
      <c r="N2976" s="25"/>
      <c r="O2976" s="25"/>
      <c r="P2976" s="25"/>
      <c r="Q2976" s="19"/>
      <c r="R2976" s="19"/>
      <c r="S2976" s="19"/>
      <c r="T2976" s="19"/>
      <c r="U2976" s="25"/>
      <c r="V2976" s="19"/>
      <c r="W2976" s="19"/>
      <c r="X2976" s="19"/>
      <c r="Y2976" s="19"/>
      <c r="Z2976" s="19"/>
    </row>
    <row r="2977">
      <c r="A2977" s="24"/>
      <c r="B2977" s="19"/>
      <c r="C2977" s="19"/>
      <c r="D2977" s="19"/>
      <c r="E2977" s="19"/>
      <c r="F2977" s="19"/>
      <c r="G2977" s="19"/>
      <c r="H2977" s="19"/>
      <c r="I2977" s="19"/>
      <c r="J2977" s="19"/>
      <c r="K2977" s="19"/>
      <c r="L2977" s="25"/>
      <c r="M2977" s="25"/>
      <c r="N2977" s="25"/>
      <c r="O2977" s="25"/>
      <c r="P2977" s="25"/>
      <c r="Q2977" s="19"/>
      <c r="R2977" s="19"/>
      <c r="S2977" s="19"/>
      <c r="T2977" s="19"/>
      <c r="U2977" s="25"/>
      <c r="V2977" s="19"/>
      <c r="W2977" s="19"/>
      <c r="X2977" s="19"/>
      <c r="Y2977" s="19"/>
      <c r="Z2977" s="19"/>
    </row>
    <row r="2978">
      <c r="A2978" s="24"/>
      <c r="B2978" s="19"/>
      <c r="C2978" s="19"/>
      <c r="D2978" s="19"/>
      <c r="E2978" s="19"/>
      <c r="F2978" s="19"/>
      <c r="G2978" s="19"/>
      <c r="H2978" s="19"/>
      <c r="I2978" s="19"/>
      <c r="J2978" s="19"/>
      <c r="K2978" s="19"/>
      <c r="L2978" s="25"/>
      <c r="M2978" s="25"/>
      <c r="N2978" s="25"/>
      <c r="O2978" s="25"/>
      <c r="P2978" s="25"/>
      <c r="Q2978" s="19"/>
      <c r="R2978" s="19"/>
      <c r="S2978" s="19"/>
      <c r="T2978" s="19"/>
      <c r="U2978" s="25"/>
      <c r="V2978" s="19"/>
      <c r="W2978" s="19"/>
      <c r="X2978" s="19"/>
      <c r="Y2978" s="19"/>
      <c r="Z2978" s="19"/>
    </row>
    <row r="2979">
      <c r="A2979" s="24"/>
      <c r="B2979" s="19"/>
      <c r="C2979" s="19"/>
      <c r="D2979" s="19"/>
      <c r="E2979" s="19"/>
      <c r="F2979" s="19"/>
      <c r="G2979" s="19"/>
      <c r="H2979" s="19"/>
      <c r="I2979" s="19"/>
      <c r="J2979" s="19"/>
      <c r="K2979" s="19"/>
      <c r="L2979" s="25"/>
      <c r="M2979" s="25"/>
      <c r="N2979" s="25"/>
      <c r="O2979" s="25"/>
      <c r="P2979" s="25"/>
      <c r="Q2979" s="19"/>
      <c r="R2979" s="19"/>
      <c r="S2979" s="19"/>
      <c r="T2979" s="19"/>
      <c r="U2979" s="25"/>
      <c r="V2979" s="19"/>
      <c r="W2979" s="19"/>
      <c r="X2979" s="19"/>
      <c r="Y2979" s="19"/>
      <c r="Z2979" s="19"/>
    </row>
    <row r="2980">
      <c r="A2980" s="24"/>
      <c r="B2980" s="19"/>
      <c r="C2980" s="19"/>
      <c r="D2980" s="19"/>
      <c r="E2980" s="19"/>
      <c r="F2980" s="19"/>
      <c r="G2980" s="19"/>
      <c r="H2980" s="19"/>
      <c r="I2980" s="19"/>
      <c r="J2980" s="19"/>
      <c r="K2980" s="19"/>
      <c r="L2980" s="25"/>
      <c r="M2980" s="25"/>
      <c r="N2980" s="25"/>
      <c r="O2980" s="25"/>
      <c r="P2980" s="25"/>
      <c r="Q2980" s="19"/>
      <c r="R2980" s="19"/>
      <c r="S2980" s="19"/>
      <c r="T2980" s="19"/>
      <c r="U2980" s="25"/>
      <c r="V2980" s="19"/>
      <c r="W2980" s="19"/>
      <c r="X2980" s="19"/>
      <c r="Y2980" s="19"/>
      <c r="Z2980" s="19"/>
    </row>
    <row r="2981">
      <c r="A2981" s="24"/>
      <c r="B2981" s="19"/>
      <c r="C2981" s="19"/>
      <c r="D2981" s="19"/>
      <c r="E2981" s="19"/>
      <c r="F2981" s="19"/>
      <c r="G2981" s="19"/>
      <c r="H2981" s="19"/>
      <c r="I2981" s="19"/>
      <c r="J2981" s="19"/>
      <c r="K2981" s="19"/>
      <c r="L2981" s="25"/>
      <c r="M2981" s="25"/>
      <c r="N2981" s="25"/>
      <c r="O2981" s="25"/>
      <c r="P2981" s="25"/>
      <c r="Q2981" s="19"/>
      <c r="R2981" s="19"/>
      <c r="S2981" s="19"/>
      <c r="T2981" s="19"/>
      <c r="U2981" s="25"/>
      <c r="V2981" s="19"/>
      <c r="W2981" s="19"/>
      <c r="X2981" s="19"/>
      <c r="Y2981" s="19"/>
      <c r="Z2981" s="19"/>
    </row>
    <row r="2982">
      <c r="A2982" s="24"/>
      <c r="B2982" s="19"/>
      <c r="C2982" s="19"/>
      <c r="D2982" s="19"/>
      <c r="E2982" s="19"/>
      <c r="F2982" s="19"/>
      <c r="G2982" s="19"/>
      <c r="H2982" s="19"/>
      <c r="I2982" s="19"/>
      <c r="J2982" s="19"/>
      <c r="K2982" s="19"/>
      <c r="L2982" s="25"/>
      <c r="M2982" s="25"/>
      <c r="N2982" s="25"/>
      <c r="O2982" s="25"/>
      <c r="P2982" s="25"/>
      <c r="Q2982" s="19"/>
      <c r="R2982" s="19"/>
      <c r="S2982" s="19"/>
      <c r="T2982" s="19"/>
      <c r="U2982" s="25"/>
      <c r="V2982" s="19"/>
      <c r="W2982" s="19"/>
      <c r="X2982" s="19"/>
      <c r="Y2982" s="19"/>
      <c r="Z2982" s="19"/>
    </row>
    <row r="2983">
      <c r="A2983" s="24"/>
      <c r="B2983" s="19"/>
      <c r="C2983" s="19"/>
      <c r="D2983" s="19"/>
      <c r="E2983" s="19"/>
      <c r="F2983" s="19"/>
      <c r="G2983" s="19"/>
      <c r="H2983" s="19"/>
      <c r="I2983" s="19"/>
      <c r="J2983" s="19"/>
      <c r="K2983" s="19"/>
      <c r="L2983" s="25"/>
      <c r="M2983" s="25"/>
      <c r="N2983" s="25"/>
      <c r="O2983" s="25"/>
      <c r="P2983" s="25"/>
      <c r="Q2983" s="19"/>
      <c r="R2983" s="19"/>
      <c r="S2983" s="19"/>
      <c r="T2983" s="19"/>
      <c r="U2983" s="25"/>
      <c r="V2983" s="19"/>
      <c r="W2983" s="19"/>
      <c r="X2983" s="19"/>
      <c r="Y2983" s="19"/>
      <c r="Z2983" s="19"/>
    </row>
    <row r="2984">
      <c r="A2984" s="24"/>
      <c r="B2984" s="19"/>
      <c r="C2984" s="19"/>
      <c r="D2984" s="19"/>
      <c r="E2984" s="19"/>
      <c r="F2984" s="19"/>
      <c r="G2984" s="19"/>
      <c r="H2984" s="19"/>
      <c r="I2984" s="19"/>
      <c r="J2984" s="19"/>
      <c r="K2984" s="19"/>
      <c r="L2984" s="25"/>
      <c r="M2984" s="25"/>
      <c r="N2984" s="25"/>
      <c r="O2984" s="25"/>
      <c r="P2984" s="25"/>
      <c r="Q2984" s="19"/>
      <c r="R2984" s="19"/>
      <c r="S2984" s="19"/>
      <c r="T2984" s="19"/>
      <c r="U2984" s="25"/>
      <c r="V2984" s="19"/>
      <c r="W2984" s="19"/>
      <c r="X2984" s="19"/>
      <c r="Y2984" s="19"/>
      <c r="Z2984" s="19"/>
    </row>
    <row r="2985">
      <c r="A2985" s="24"/>
      <c r="B2985" s="19"/>
      <c r="C2985" s="19"/>
      <c r="D2985" s="19"/>
      <c r="E2985" s="19"/>
      <c r="F2985" s="19"/>
      <c r="G2985" s="19"/>
      <c r="H2985" s="19"/>
      <c r="I2985" s="19"/>
      <c r="J2985" s="19"/>
      <c r="K2985" s="19"/>
      <c r="L2985" s="25"/>
      <c r="M2985" s="25"/>
      <c r="N2985" s="25"/>
      <c r="O2985" s="25"/>
      <c r="P2985" s="25"/>
      <c r="Q2985" s="19"/>
      <c r="R2985" s="19"/>
      <c r="S2985" s="19"/>
      <c r="T2985" s="19"/>
      <c r="U2985" s="25"/>
      <c r="V2985" s="19"/>
      <c r="W2985" s="19"/>
      <c r="X2985" s="19"/>
      <c r="Y2985" s="19"/>
      <c r="Z2985" s="19"/>
    </row>
    <row r="2986">
      <c r="A2986" s="24"/>
      <c r="B2986" s="19"/>
      <c r="C2986" s="19"/>
      <c r="D2986" s="19"/>
      <c r="E2986" s="19"/>
      <c r="F2986" s="19"/>
      <c r="G2986" s="19"/>
      <c r="H2986" s="19"/>
      <c r="I2986" s="19"/>
      <c r="J2986" s="19"/>
      <c r="K2986" s="19"/>
      <c r="L2986" s="25"/>
      <c r="M2986" s="25"/>
      <c r="N2986" s="25"/>
      <c r="O2986" s="25"/>
      <c r="P2986" s="25"/>
      <c r="Q2986" s="19"/>
      <c r="R2986" s="19"/>
      <c r="S2986" s="19"/>
      <c r="T2986" s="19"/>
      <c r="U2986" s="25"/>
      <c r="V2986" s="19"/>
      <c r="W2986" s="19"/>
      <c r="X2986" s="19"/>
      <c r="Y2986" s="19"/>
      <c r="Z2986" s="19"/>
    </row>
    <row r="2987">
      <c r="A2987" s="24"/>
      <c r="B2987" s="19"/>
      <c r="C2987" s="19"/>
      <c r="D2987" s="19"/>
      <c r="E2987" s="19"/>
      <c r="F2987" s="19"/>
      <c r="G2987" s="19"/>
      <c r="H2987" s="19"/>
      <c r="I2987" s="19"/>
      <c r="J2987" s="19"/>
      <c r="K2987" s="19"/>
      <c r="L2987" s="25"/>
      <c r="M2987" s="25"/>
      <c r="N2987" s="25"/>
      <c r="O2987" s="25"/>
      <c r="P2987" s="25"/>
      <c r="Q2987" s="19"/>
      <c r="R2987" s="19"/>
      <c r="S2987" s="19"/>
      <c r="T2987" s="19"/>
      <c r="U2987" s="25"/>
      <c r="V2987" s="19"/>
      <c r="W2987" s="19"/>
      <c r="X2987" s="19"/>
      <c r="Y2987" s="19"/>
      <c r="Z2987" s="19"/>
    </row>
    <row r="2988">
      <c r="A2988" s="24"/>
      <c r="B2988" s="19"/>
      <c r="C2988" s="19"/>
      <c r="D2988" s="19"/>
      <c r="E2988" s="19"/>
      <c r="F2988" s="19"/>
      <c r="G2988" s="19"/>
      <c r="H2988" s="19"/>
      <c r="I2988" s="19"/>
      <c r="J2988" s="19"/>
      <c r="K2988" s="19"/>
      <c r="L2988" s="25"/>
      <c r="M2988" s="25"/>
      <c r="N2988" s="25"/>
      <c r="O2988" s="25"/>
      <c r="P2988" s="25"/>
      <c r="Q2988" s="19"/>
      <c r="R2988" s="19"/>
      <c r="S2988" s="19"/>
      <c r="T2988" s="19"/>
      <c r="U2988" s="25"/>
      <c r="V2988" s="19"/>
      <c r="W2988" s="19"/>
      <c r="X2988" s="19"/>
      <c r="Y2988" s="19"/>
      <c r="Z2988" s="19"/>
    </row>
    <row r="2989">
      <c r="A2989" s="24"/>
      <c r="B2989" s="19"/>
      <c r="C2989" s="19"/>
      <c r="D2989" s="19"/>
      <c r="E2989" s="19"/>
      <c r="F2989" s="19"/>
      <c r="G2989" s="19"/>
      <c r="H2989" s="19"/>
      <c r="I2989" s="19"/>
      <c r="J2989" s="19"/>
      <c r="K2989" s="19"/>
      <c r="L2989" s="25"/>
      <c r="M2989" s="25"/>
      <c r="N2989" s="25"/>
      <c r="O2989" s="25"/>
      <c r="P2989" s="25"/>
      <c r="Q2989" s="19"/>
      <c r="R2989" s="19"/>
      <c r="S2989" s="19"/>
      <c r="T2989" s="19"/>
      <c r="U2989" s="25"/>
      <c r="V2989" s="19"/>
      <c r="W2989" s="19"/>
      <c r="X2989" s="19"/>
      <c r="Y2989" s="19"/>
      <c r="Z2989" s="19"/>
    </row>
    <row r="2990">
      <c r="A2990" s="24"/>
      <c r="B2990" s="19"/>
      <c r="C2990" s="19"/>
      <c r="D2990" s="19"/>
      <c r="E2990" s="19"/>
      <c r="F2990" s="19"/>
      <c r="G2990" s="19"/>
      <c r="H2990" s="19"/>
      <c r="I2990" s="19"/>
      <c r="J2990" s="19"/>
      <c r="K2990" s="19"/>
      <c r="L2990" s="25"/>
      <c r="M2990" s="25"/>
      <c r="N2990" s="25"/>
      <c r="O2990" s="25"/>
      <c r="P2990" s="25"/>
      <c r="Q2990" s="19"/>
      <c r="R2990" s="19"/>
      <c r="S2990" s="19"/>
      <c r="T2990" s="19"/>
      <c r="U2990" s="25"/>
      <c r="V2990" s="19"/>
      <c r="W2990" s="19"/>
      <c r="X2990" s="19"/>
      <c r="Y2990" s="19"/>
      <c r="Z2990" s="19"/>
    </row>
    <row r="2991">
      <c r="A2991" s="24"/>
      <c r="B2991" s="19"/>
      <c r="C2991" s="19"/>
      <c r="D2991" s="19"/>
      <c r="E2991" s="19"/>
      <c r="F2991" s="19"/>
      <c r="G2991" s="19"/>
      <c r="H2991" s="19"/>
      <c r="I2991" s="19"/>
      <c r="J2991" s="19"/>
      <c r="K2991" s="19"/>
      <c r="L2991" s="25"/>
      <c r="M2991" s="25"/>
      <c r="N2991" s="25"/>
      <c r="O2991" s="25"/>
      <c r="P2991" s="25"/>
      <c r="Q2991" s="19"/>
      <c r="R2991" s="19"/>
      <c r="S2991" s="19"/>
      <c r="T2991" s="19"/>
      <c r="U2991" s="25"/>
      <c r="V2991" s="19"/>
      <c r="W2991" s="19"/>
      <c r="X2991" s="19"/>
      <c r="Y2991" s="19"/>
      <c r="Z2991" s="19"/>
    </row>
    <row r="2992">
      <c r="A2992" s="24"/>
      <c r="B2992" s="19"/>
      <c r="C2992" s="19"/>
      <c r="D2992" s="19"/>
      <c r="E2992" s="19"/>
      <c r="F2992" s="19"/>
      <c r="G2992" s="19"/>
      <c r="H2992" s="19"/>
      <c r="I2992" s="19"/>
      <c r="J2992" s="19"/>
      <c r="K2992" s="19"/>
      <c r="L2992" s="25"/>
      <c r="M2992" s="25"/>
      <c r="N2992" s="25"/>
      <c r="O2992" s="25"/>
      <c r="P2992" s="25"/>
      <c r="Q2992" s="19"/>
      <c r="R2992" s="19"/>
      <c r="S2992" s="19"/>
      <c r="T2992" s="19"/>
      <c r="U2992" s="25"/>
      <c r="V2992" s="19"/>
      <c r="W2992" s="19"/>
      <c r="X2992" s="19"/>
      <c r="Y2992" s="19"/>
      <c r="Z2992" s="19"/>
    </row>
    <row r="2993">
      <c r="A2993" s="24"/>
      <c r="B2993" s="19"/>
      <c r="C2993" s="19"/>
      <c r="D2993" s="19"/>
      <c r="E2993" s="19"/>
      <c r="F2993" s="19"/>
      <c r="G2993" s="19"/>
      <c r="H2993" s="19"/>
      <c r="I2993" s="19"/>
      <c r="J2993" s="19"/>
      <c r="K2993" s="19"/>
      <c r="L2993" s="25"/>
      <c r="M2993" s="25"/>
      <c r="N2993" s="25"/>
      <c r="O2993" s="25"/>
      <c r="P2993" s="25"/>
      <c r="Q2993" s="19"/>
      <c r="R2993" s="19"/>
      <c r="S2993" s="19"/>
      <c r="T2993" s="19"/>
      <c r="U2993" s="25"/>
      <c r="V2993" s="19"/>
      <c r="W2993" s="19"/>
      <c r="X2993" s="19"/>
      <c r="Y2993" s="19"/>
      <c r="Z2993" s="19"/>
    </row>
    <row r="2994">
      <c r="A2994" s="24"/>
      <c r="B2994" s="19"/>
      <c r="C2994" s="19"/>
      <c r="D2994" s="19"/>
      <c r="E2994" s="19"/>
      <c r="F2994" s="19"/>
      <c r="G2994" s="19"/>
      <c r="H2994" s="19"/>
      <c r="I2994" s="19"/>
      <c r="J2994" s="19"/>
      <c r="K2994" s="19"/>
      <c r="L2994" s="25"/>
      <c r="M2994" s="25"/>
      <c r="N2994" s="25"/>
      <c r="O2994" s="25"/>
      <c r="P2994" s="25"/>
      <c r="Q2994" s="19"/>
      <c r="R2994" s="19"/>
      <c r="S2994" s="19"/>
      <c r="T2994" s="19"/>
      <c r="U2994" s="25"/>
      <c r="V2994" s="19"/>
      <c r="W2994" s="19"/>
      <c r="X2994" s="19"/>
      <c r="Y2994" s="19"/>
      <c r="Z2994" s="19"/>
    </row>
    <row r="2995">
      <c r="A2995" s="24"/>
      <c r="B2995" s="19"/>
      <c r="C2995" s="19"/>
      <c r="D2995" s="19"/>
      <c r="E2995" s="19"/>
      <c r="F2995" s="19"/>
      <c r="G2995" s="19"/>
      <c r="H2995" s="19"/>
      <c r="I2995" s="19"/>
      <c r="J2995" s="19"/>
      <c r="K2995" s="19"/>
      <c r="L2995" s="25"/>
      <c r="M2995" s="25"/>
      <c r="N2995" s="25"/>
      <c r="O2995" s="25"/>
      <c r="P2995" s="25"/>
      <c r="Q2995" s="19"/>
      <c r="R2995" s="19"/>
      <c r="S2995" s="19"/>
      <c r="T2995" s="19"/>
      <c r="U2995" s="25"/>
      <c r="V2995" s="19"/>
      <c r="W2995" s="19"/>
      <c r="X2995" s="19"/>
      <c r="Y2995" s="19"/>
      <c r="Z2995" s="19"/>
    </row>
    <row r="2996">
      <c r="A2996" s="24"/>
      <c r="B2996" s="19"/>
      <c r="C2996" s="19"/>
      <c r="D2996" s="19"/>
      <c r="E2996" s="19"/>
      <c r="F2996" s="19"/>
      <c r="G2996" s="19"/>
      <c r="H2996" s="19"/>
      <c r="I2996" s="19"/>
      <c r="J2996" s="19"/>
      <c r="K2996" s="19"/>
      <c r="L2996" s="25"/>
      <c r="M2996" s="25"/>
      <c r="N2996" s="25"/>
      <c r="O2996" s="25"/>
      <c r="P2996" s="25"/>
      <c r="Q2996" s="19"/>
      <c r="R2996" s="19"/>
      <c r="S2996" s="19"/>
      <c r="T2996" s="19"/>
      <c r="U2996" s="25"/>
      <c r="V2996" s="19"/>
      <c r="W2996" s="19"/>
      <c r="X2996" s="19"/>
      <c r="Y2996" s="19"/>
      <c r="Z2996" s="19"/>
    </row>
    <row r="2997">
      <c r="A2997" s="24"/>
      <c r="B2997" s="19"/>
      <c r="C2997" s="19"/>
      <c r="D2997" s="19"/>
      <c r="E2997" s="19"/>
      <c r="F2997" s="19"/>
      <c r="G2997" s="19"/>
      <c r="H2997" s="19"/>
      <c r="I2997" s="19"/>
      <c r="J2997" s="19"/>
      <c r="K2997" s="19"/>
      <c r="L2997" s="25"/>
      <c r="M2997" s="25"/>
      <c r="N2997" s="25"/>
      <c r="O2997" s="25"/>
      <c r="P2997" s="25"/>
      <c r="Q2997" s="19"/>
      <c r="R2997" s="19"/>
      <c r="S2997" s="19"/>
      <c r="T2997" s="19"/>
      <c r="U2997" s="25"/>
      <c r="V2997" s="19"/>
      <c r="W2997" s="19"/>
      <c r="X2997" s="19"/>
      <c r="Y2997" s="19"/>
      <c r="Z2997" s="19"/>
    </row>
    <row r="2998">
      <c r="A2998" s="24"/>
      <c r="B2998" s="19"/>
      <c r="C2998" s="19"/>
      <c r="D2998" s="19"/>
      <c r="E2998" s="19"/>
      <c r="F2998" s="19"/>
      <c r="G2998" s="19"/>
      <c r="H2998" s="19"/>
      <c r="I2998" s="19"/>
      <c r="J2998" s="19"/>
      <c r="K2998" s="19"/>
      <c r="L2998" s="25"/>
      <c r="M2998" s="25"/>
      <c r="N2998" s="25"/>
      <c r="O2998" s="25"/>
      <c r="P2998" s="25"/>
      <c r="Q2998" s="19"/>
      <c r="R2998" s="19"/>
      <c r="S2998" s="19"/>
      <c r="T2998" s="19"/>
      <c r="U2998" s="25"/>
      <c r="V2998" s="19"/>
      <c r="W2998" s="19"/>
      <c r="X2998" s="19"/>
      <c r="Y2998" s="19"/>
      <c r="Z2998" s="19"/>
    </row>
    <row r="2999">
      <c r="A2999" s="24"/>
      <c r="B2999" s="19"/>
      <c r="C2999" s="19"/>
      <c r="D2999" s="19"/>
      <c r="E2999" s="19"/>
      <c r="F2999" s="19"/>
      <c r="G2999" s="19"/>
      <c r="H2999" s="19"/>
      <c r="I2999" s="19"/>
      <c r="J2999" s="19"/>
      <c r="K2999" s="19"/>
      <c r="L2999" s="25"/>
      <c r="M2999" s="25"/>
      <c r="N2999" s="25"/>
      <c r="O2999" s="25"/>
      <c r="P2999" s="25"/>
      <c r="Q2999" s="19"/>
      <c r="R2999" s="19"/>
      <c r="S2999" s="19"/>
      <c r="T2999" s="19"/>
      <c r="U2999" s="25"/>
      <c r="V2999" s="19"/>
      <c r="W2999" s="19"/>
      <c r="X2999" s="19"/>
      <c r="Y2999" s="19"/>
      <c r="Z2999" s="19"/>
    </row>
    <row r="3000">
      <c r="A3000" s="24"/>
      <c r="B3000" s="19"/>
      <c r="C3000" s="19"/>
      <c r="D3000" s="19"/>
      <c r="E3000" s="19"/>
      <c r="F3000" s="19"/>
      <c r="G3000" s="19"/>
      <c r="H3000" s="19"/>
      <c r="I3000" s="19"/>
      <c r="J3000" s="19"/>
      <c r="K3000" s="19"/>
      <c r="L3000" s="25"/>
      <c r="M3000" s="25"/>
      <c r="N3000" s="25"/>
      <c r="O3000" s="25"/>
      <c r="P3000" s="25"/>
      <c r="Q3000" s="19"/>
      <c r="R3000" s="19"/>
      <c r="S3000" s="19"/>
      <c r="T3000" s="19"/>
      <c r="U3000" s="25"/>
      <c r="V3000" s="19"/>
      <c r="W3000" s="19"/>
      <c r="X3000" s="19"/>
      <c r="Y3000" s="19"/>
      <c r="Z3000" s="19"/>
    </row>
    <row r="3001">
      <c r="A3001" s="24"/>
      <c r="B3001" s="19"/>
      <c r="C3001" s="19"/>
      <c r="D3001" s="19"/>
      <c r="E3001" s="19"/>
      <c r="F3001" s="19"/>
      <c r="G3001" s="19"/>
      <c r="H3001" s="19"/>
      <c r="I3001" s="19"/>
      <c r="J3001" s="19"/>
      <c r="K3001" s="19"/>
      <c r="L3001" s="25"/>
      <c r="M3001" s="25"/>
      <c r="N3001" s="25"/>
      <c r="O3001" s="25"/>
      <c r="P3001" s="25"/>
      <c r="Q3001" s="19"/>
      <c r="R3001" s="19"/>
      <c r="S3001" s="19"/>
      <c r="T3001" s="19"/>
      <c r="U3001" s="25"/>
      <c r="V3001" s="19"/>
      <c r="W3001" s="19"/>
      <c r="X3001" s="19"/>
      <c r="Y3001" s="19"/>
      <c r="Z3001" s="19"/>
    </row>
    <row r="3002">
      <c r="A3002" s="24"/>
      <c r="B3002" s="19"/>
      <c r="C3002" s="19"/>
      <c r="D3002" s="19"/>
      <c r="E3002" s="19"/>
      <c r="F3002" s="19"/>
      <c r="G3002" s="19"/>
      <c r="H3002" s="19"/>
      <c r="I3002" s="19"/>
      <c r="J3002" s="19"/>
      <c r="K3002" s="19"/>
      <c r="L3002" s="25"/>
      <c r="M3002" s="25"/>
      <c r="N3002" s="25"/>
      <c r="O3002" s="25"/>
      <c r="P3002" s="25"/>
      <c r="Q3002" s="19"/>
      <c r="R3002" s="19"/>
      <c r="S3002" s="19"/>
      <c r="T3002" s="19"/>
      <c r="U3002" s="25"/>
      <c r="V3002" s="19"/>
      <c r="W3002" s="19"/>
      <c r="X3002" s="19"/>
      <c r="Y3002" s="19"/>
      <c r="Z3002" s="19"/>
    </row>
    <row r="3003">
      <c r="A3003" s="24"/>
      <c r="B3003" s="19"/>
      <c r="C3003" s="19"/>
      <c r="D3003" s="19"/>
      <c r="E3003" s="19"/>
      <c r="F3003" s="19"/>
      <c r="G3003" s="19"/>
      <c r="H3003" s="19"/>
      <c r="I3003" s="19"/>
      <c r="J3003" s="19"/>
      <c r="K3003" s="19"/>
      <c r="L3003" s="25"/>
      <c r="M3003" s="25"/>
      <c r="N3003" s="25"/>
      <c r="O3003" s="25"/>
      <c r="P3003" s="25"/>
      <c r="Q3003" s="19"/>
      <c r="R3003" s="19"/>
      <c r="S3003" s="19"/>
      <c r="T3003" s="19"/>
      <c r="U3003" s="25"/>
      <c r="V3003" s="19"/>
      <c r="W3003" s="19"/>
      <c r="X3003" s="19"/>
      <c r="Y3003" s="19"/>
      <c r="Z3003" s="19"/>
    </row>
    <row r="3004">
      <c r="A3004" s="24"/>
      <c r="B3004" s="19"/>
      <c r="C3004" s="19"/>
      <c r="D3004" s="19"/>
      <c r="E3004" s="19"/>
      <c r="F3004" s="19"/>
      <c r="G3004" s="19"/>
      <c r="H3004" s="19"/>
      <c r="I3004" s="19"/>
      <c r="J3004" s="19"/>
      <c r="K3004" s="19"/>
      <c r="L3004" s="25"/>
      <c r="M3004" s="25"/>
      <c r="N3004" s="25"/>
      <c r="O3004" s="25"/>
      <c r="P3004" s="25"/>
      <c r="Q3004" s="19"/>
      <c r="R3004" s="19"/>
      <c r="S3004" s="19"/>
      <c r="T3004" s="19"/>
      <c r="U3004" s="25"/>
      <c r="V3004" s="19"/>
      <c r="W3004" s="19"/>
      <c r="X3004" s="19"/>
      <c r="Y3004" s="19"/>
      <c r="Z3004" s="19"/>
    </row>
    <row r="3005">
      <c r="A3005" s="24"/>
      <c r="B3005" s="19"/>
      <c r="C3005" s="19"/>
      <c r="D3005" s="19"/>
      <c r="E3005" s="19"/>
      <c r="F3005" s="19"/>
      <c r="G3005" s="19"/>
      <c r="H3005" s="19"/>
      <c r="I3005" s="19"/>
      <c r="J3005" s="19"/>
      <c r="K3005" s="19"/>
      <c r="L3005" s="25"/>
      <c r="M3005" s="25"/>
      <c r="N3005" s="25"/>
      <c r="O3005" s="25"/>
      <c r="P3005" s="25"/>
      <c r="Q3005" s="19"/>
      <c r="R3005" s="19"/>
      <c r="S3005" s="19"/>
      <c r="T3005" s="19"/>
      <c r="U3005" s="25"/>
      <c r="V3005" s="19"/>
      <c r="W3005" s="19"/>
      <c r="X3005" s="19"/>
      <c r="Y3005" s="19"/>
      <c r="Z3005" s="19"/>
    </row>
    <row r="3006">
      <c r="A3006" s="24"/>
      <c r="B3006" s="19"/>
      <c r="C3006" s="19"/>
      <c r="D3006" s="19"/>
      <c r="E3006" s="19"/>
      <c r="F3006" s="19"/>
      <c r="G3006" s="19"/>
      <c r="H3006" s="19"/>
      <c r="I3006" s="19"/>
      <c r="J3006" s="19"/>
      <c r="K3006" s="19"/>
      <c r="L3006" s="25"/>
      <c r="M3006" s="25"/>
      <c r="N3006" s="25"/>
      <c r="O3006" s="25"/>
      <c r="P3006" s="25"/>
      <c r="Q3006" s="19"/>
      <c r="R3006" s="19"/>
      <c r="S3006" s="19"/>
      <c r="T3006" s="19"/>
      <c r="U3006" s="25"/>
      <c r="V3006" s="19"/>
      <c r="W3006" s="19"/>
      <c r="X3006" s="19"/>
      <c r="Y3006" s="19"/>
      <c r="Z3006" s="19"/>
    </row>
    <row r="3007">
      <c r="A3007" s="24"/>
      <c r="B3007" s="19"/>
      <c r="C3007" s="19"/>
      <c r="D3007" s="19"/>
      <c r="E3007" s="19"/>
      <c r="F3007" s="19"/>
      <c r="G3007" s="19"/>
      <c r="H3007" s="19"/>
      <c r="I3007" s="19"/>
      <c r="J3007" s="19"/>
      <c r="K3007" s="19"/>
      <c r="L3007" s="25"/>
      <c r="M3007" s="25"/>
      <c r="N3007" s="25"/>
      <c r="O3007" s="25"/>
      <c r="P3007" s="25"/>
      <c r="Q3007" s="19"/>
      <c r="R3007" s="19"/>
      <c r="S3007" s="19"/>
      <c r="T3007" s="19"/>
      <c r="U3007" s="25"/>
      <c r="V3007" s="19"/>
      <c r="W3007" s="19"/>
      <c r="X3007" s="19"/>
      <c r="Y3007" s="19"/>
      <c r="Z3007" s="19"/>
    </row>
    <row r="3008">
      <c r="A3008" s="24"/>
      <c r="B3008" s="19"/>
      <c r="C3008" s="19"/>
      <c r="D3008" s="19"/>
      <c r="E3008" s="19"/>
      <c r="F3008" s="19"/>
      <c r="G3008" s="19"/>
      <c r="H3008" s="19"/>
      <c r="I3008" s="19"/>
      <c r="J3008" s="19"/>
      <c r="K3008" s="19"/>
      <c r="L3008" s="25"/>
      <c r="M3008" s="25"/>
      <c r="N3008" s="25"/>
      <c r="O3008" s="25"/>
      <c r="P3008" s="25"/>
      <c r="Q3008" s="19"/>
      <c r="R3008" s="19"/>
      <c r="S3008" s="19"/>
      <c r="T3008" s="19"/>
      <c r="U3008" s="25"/>
      <c r="V3008" s="19"/>
      <c r="W3008" s="19"/>
      <c r="X3008" s="19"/>
      <c r="Y3008" s="19"/>
      <c r="Z3008" s="19"/>
    </row>
    <row r="3009">
      <c r="A3009" s="24"/>
      <c r="B3009" s="19"/>
      <c r="C3009" s="19"/>
      <c r="D3009" s="19"/>
      <c r="E3009" s="19"/>
      <c r="F3009" s="19"/>
      <c r="G3009" s="19"/>
      <c r="H3009" s="19"/>
      <c r="I3009" s="19"/>
      <c r="J3009" s="19"/>
      <c r="K3009" s="19"/>
      <c r="L3009" s="25"/>
      <c r="M3009" s="25"/>
      <c r="N3009" s="25"/>
      <c r="O3009" s="25"/>
      <c r="P3009" s="25"/>
      <c r="Q3009" s="19"/>
      <c r="R3009" s="19"/>
      <c r="S3009" s="19"/>
      <c r="T3009" s="19"/>
      <c r="U3009" s="25"/>
      <c r="V3009" s="19"/>
      <c r="W3009" s="19"/>
      <c r="X3009" s="19"/>
      <c r="Y3009" s="19"/>
      <c r="Z3009" s="19"/>
    </row>
    <row r="3010">
      <c r="A3010" s="24"/>
      <c r="B3010" s="19"/>
      <c r="C3010" s="19"/>
      <c r="D3010" s="19"/>
      <c r="E3010" s="19"/>
      <c r="F3010" s="19"/>
      <c r="G3010" s="19"/>
      <c r="H3010" s="19"/>
      <c r="I3010" s="19"/>
      <c r="J3010" s="19"/>
      <c r="K3010" s="19"/>
      <c r="L3010" s="25"/>
      <c r="M3010" s="25"/>
      <c r="N3010" s="25"/>
      <c r="O3010" s="25"/>
      <c r="P3010" s="25"/>
      <c r="Q3010" s="19"/>
      <c r="R3010" s="19"/>
      <c r="S3010" s="19"/>
      <c r="T3010" s="19"/>
      <c r="U3010" s="25"/>
      <c r="V3010" s="19"/>
      <c r="W3010" s="19"/>
      <c r="X3010" s="19"/>
      <c r="Y3010" s="19"/>
      <c r="Z3010" s="19"/>
    </row>
    <row r="3011">
      <c r="A3011" s="24"/>
      <c r="B3011" s="19"/>
      <c r="C3011" s="19"/>
      <c r="D3011" s="19"/>
      <c r="E3011" s="19"/>
      <c r="F3011" s="19"/>
      <c r="G3011" s="19"/>
      <c r="H3011" s="19"/>
      <c r="I3011" s="19"/>
      <c r="J3011" s="19"/>
      <c r="K3011" s="19"/>
      <c r="L3011" s="25"/>
      <c r="M3011" s="25"/>
      <c r="N3011" s="25"/>
      <c r="O3011" s="25"/>
      <c r="P3011" s="25"/>
      <c r="Q3011" s="19"/>
      <c r="R3011" s="19"/>
      <c r="S3011" s="19"/>
      <c r="T3011" s="19"/>
      <c r="U3011" s="25"/>
      <c r="V3011" s="19"/>
      <c r="W3011" s="19"/>
      <c r="X3011" s="19"/>
      <c r="Y3011" s="19"/>
      <c r="Z3011" s="19"/>
    </row>
    <row r="3012">
      <c r="A3012" s="24"/>
      <c r="B3012" s="19"/>
      <c r="C3012" s="19"/>
      <c r="D3012" s="19"/>
      <c r="E3012" s="19"/>
      <c r="F3012" s="19"/>
      <c r="G3012" s="19"/>
      <c r="H3012" s="19"/>
      <c r="I3012" s="19"/>
      <c r="J3012" s="19"/>
      <c r="K3012" s="19"/>
      <c r="L3012" s="25"/>
      <c r="M3012" s="25"/>
      <c r="N3012" s="25"/>
      <c r="O3012" s="25"/>
      <c r="P3012" s="25"/>
      <c r="Q3012" s="19"/>
      <c r="R3012" s="19"/>
      <c r="S3012" s="19"/>
      <c r="T3012" s="19"/>
      <c r="U3012" s="25"/>
      <c r="V3012" s="19"/>
      <c r="W3012" s="19"/>
      <c r="X3012" s="19"/>
      <c r="Y3012" s="19"/>
      <c r="Z3012" s="19"/>
    </row>
    <row r="3013">
      <c r="A3013" s="24"/>
      <c r="B3013" s="19"/>
      <c r="C3013" s="19"/>
      <c r="D3013" s="19"/>
      <c r="E3013" s="19"/>
      <c r="F3013" s="19"/>
      <c r="G3013" s="19"/>
      <c r="H3013" s="19"/>
      <c r="I3013" s="19"/>
      <c r="J3013" s="19"/>
      <c r="K3013" s="19"/>
      <c r="L3013" s="25"/>
      <c r="M3013" s="25"/>
      <c r="N3013" s="25"/>
      <c r="O3013" s="25"/>
      <c r="P3013" s="25"/>
      <c r="Q3013" s="19"/>
      <c r="R3013" s="19"/>
      <c r="S3013" s="19"/>
      <c r="T3013" s="19"/>
      <c r="U3013" s="25"/>
      <c r="V3013" s="19"/>
      <c r="W3013" s="19"/>
      <c r="X3013" s="19"/>
      <c r="Y3013" s="19"/>
      <c r="Z3013" s="19"/>
    </row>
    <row r="3014">
      <c r="A3014" s="24"/>
      <c r="B3014" s="19"/>
      <c r="C3014" s="19"/>
      <c r="D3014" s="19"/>
      <c r="E3014" s="19"/>
      <c r="F3014" s="19"/>
      <c r="G3014" s="19"/>
      <c r="H3014" s="19"/>
      <c r="I3014" s="19"/>
      <c r="J3014" s="19"/>
      <c r="K3014" s="19"/>
      <c r="L3014" s="25"/>
      <c r="M3014" s="25"/>
      <c r="N3014" s="25"/>
      <c r="O3014" s="25"/>
      <c r="P3014" s="25"/>
      <c r="Q3014" s="19"/>
      <c r="R3014" s="19"/>
      <c r="S3014" s="19"/>
      <c r="T3014" s="19"/>
      <c r="U3014" s="25"/>
      <c r="V3014" s="19"/>
      <c r="W3014" s="19"/>
      <c r="X3014" s="19"/>
      <c r="Y3014" s="19"/>
      <c r="Z3014" s="19"/>
    </row>
    <row r="3015">
      <c r="A3015" s="24"/>
      <c r="B3015" s="19"/>
      <c r="C3015" s="19"/>
      <c r="D3015" s="19"/>
      <c r="E3015" s="19"/>
      <c r="F3015" s="19"/>
      <c r="G3015" s="19"/>
      <c r="H3015" s="19"/>
      <c r="I3015" s="19"/>
      <c r="J3015" s="19"/>
      <c r="K3015" s="19"/>
      <c r="L3015" s="25"/>
      <c r="M3015" s="25"/>
      <c r="N3015" s="25"/>
      <c r="O3015" s="25"/>
      <c r="P3015" s="25"/>
      <c r="Q3015" s="19"/>
      <c r="R3015" s="19"/>
      <c r="S3015" s="19"/>
      <c r="T3015" s="19"/>
      <c r="U3015" s="25"/>
      <c r="V3015" s="19"/>
      <c r="W3015" s="19"/>
      <c r="X3015" s="19"/>
      <c r="Y3015" s="19"/>
      <c r="Z3015" s="19"/>
    </row>
    <row r="3016">
      <c r="A3016" s="24"/>
      <c r="B3016" s="19"/>
      <c r="C3016" s="19"/>
      <c r="D3016" s="19"/>
      <c r="E3016" s="19"/>
      <c r="F3016" s="19"/>
      <c r="G3016" s="19"/>
      <c r="H3016" s="19"/>
      <c r="I3016" s="19"/>
      <c r="J3016" s="19"/>
      <c r="K3016" s="19"/>
      <c r="L3016" s="25"/>
      <c r="M3016" s="25"/>
      <c r="N3016" s="25"/>
      <c r="O3016" s="25"/>
      <c r="P3016" s="25"/>
      <c r="Q3016" s="19"/>
      <c r="R3016" s="19"/>
      <c r="S3016" s="19"/>
      <c r="T3016" s="19"/>
      <c r="U3016" s="25"/>
      <c r="V3016" s="19"/>
      <c r="W3016" s="19"/>
      <c r="X3016" s="19"/>
      <c r="Y3016" s="19"/>
      <c r="Z3016" s="19"/>
    </row>
    <row r="3017">
      <c r="A3017" s="24"/>
      <c r="B3017" s="19"/>
      <c r="C3017" s="19"/>
      <c r="D3017" s="19"/>
      <c r="E3017" s="19"/>
      <c r="F3017" s="19"/>
      <c r="G3017" s="19"/>
      <c r="H3017" s="19"/>
      <c r="I3017" s="19"/>
      <c r="J3017" s="19"/>
      <c r="K3017" s="19"/>
      <c r="L3017" s="25"/>
      <c r="M3017" s="25"/>
      <c r="N3017" s="25"/>
      <c r="O3017" s="25"/>
      <c r="P3017" s="25"/>
      <c r="Q3017" s="19"/>
      <c r="R3017" s="19"/>
      <c r="S3017" s="19"/>
      <c r="T3017" s="19"/>
      <c r="U3017" s="25"/>
      <c r="V3017" s="19"/>
      <c r="W3017" s="19"/>
      <c r="X3017" s="19"/>
      <c r="Y3017" s="19"/>
      <c r="Z3017" s="19"/>
    </row>
    <row r="3018">
      <c r="A3018" s="24"/>
      <c r="B3018" s="19"/>
      <c r="C3018" s="19"/>
      <c r="D3018" s="19"/>
      <c r="E3018" s="19"/>
      <c r="F3018" s="19"/>
      <c r="G3018" s="19"/>
      <c r="H3018" s="19"/>
      <c r="I3018" s="19"/>
      <c r="J3018" s="19"/>
      <c r="K3018" s="19"/>
      <c r="L3018" s="25"/>
      <c r="M3018" s="25"/>
      <c r="N3018" s="25"/>
      <c r="O3018" s="25"/>
      <c r="P3018" s="25"/>
      <c r="Q3018" s="19"/>
      <c r="R3018" s="19"/>
      <c r="S3018" s="19"/>
      <c r="T3018" s="19"/>
      <c r="U3018" s="25"/>
      <c r="V3018" s="19"/>
      <c r="W3018" s="19"/>
      <c r="X3018" s="19"/>
      <c r="Y3018" s="19"/>
      <c r="Z3018" s="19"/>
    </row>
    <row r="3019">
      <c r="A3019" s="24"/>
      <c r="B3019" s="19"/>
      <c r="C3019" s="19"/>
      <c r="D3019" s="19"/>
      <c r="E3019" s="19"/>
      <c r="F3019" s="19"/>
      <c r="G3019" s="19"/>
      <c r="H3019" s="19"/>
      <c r="I3019" s="19"/>
      <c r="J3019" s="19"/>
      <c r="K3019" s="19"/>
      <c r="L3019" s="25"/>
      <c r="M3019" s="25"/>
      <c r="N3019" s="25"/>
      <c r="O3019" s="25"/>
      <c r="P3019" s="25"/>
      <c r="Q3019" s="19"/>
      <c r="R3019" s="19"/>
      <c r="S3019" s="19"/>
      <c r="T3019" s="19"/>
      <c r="U3019" s="25"/>
      <c r="V3019" s="19"/>
      <c r="W3019" s="19"/>
      <c r="X3019" s="19"/>
      <c r="Y3019" s="19"/>
      <c r="Z3019" s="19"/>
    </row>
    <row r="3020">
      <c r="A3020" s="24"/>
      <c r="B3020" s="19"/>
      <c r="C3020" s="19"/>
      <c r="D3020" s="19"/>
      <c r="E3020" s="19"/>
      <c r="F3020" s="19"/>
      <c r="G3020" s="19"/>
      <c r="H3020" s="19"/>
      <c r="I3020" s="19"/>
      <c r="J3020" s="19"/>
      <c r="K3020" s="19"/>
      <c r="L3020" s="25"/>
      <c r="M3020" s="25"/>
      <c r="N3020" s="25"/>
      <c r="O3020" s="25"/>
      <c r="P3020" s="25"/>
      <c r="Q3020" s="19"/>
      <c r="R3020" s="19"/>
      <c r="S3020" s="19"/>
      <c r="T3020" s="19"/>
      <c r="U3020" s="25"/>
      <c r="V3020" s="19"/>
      <c r="W3020" s="19"/>
      <c r="X3020" s="19"/>
      <c r="Y3020" s="19"/>
      <c r="Z3020" s="19"/>
    </row>
    <row r="3021">
      <c r="A3021" s="24"/>
      <c r="B3021" s="19"/>
      <c r="C3021" s="19"/>
      <c r="D3021" s="19"/>
      <c r="E3021" s="19"/>
      <c r="F3021" s="19"/>
      <c r="G3021" s="19"/>
      <c r="H3021" s="19"/>
      <c r="I3021" s="19"/>
      <c r="J3021" s="19"/>
      <c r="K3021" s="19"/>
      <c r="L3021" s="25"/>
      <c r="M3021" s="25"/>
      <c r="N3021" s="25"/>
      <c r="O3021" s="25"/>
      <c r="P3021" s="25"/>
      <c r="Q3021" s="19"/>
      <c r="R3021" s="19"/>
      <c r="S3021" s="19"/>
      <c r="T3021" s="19"/>
      <c r="U3021" s="25"/>
      <c r="V3021" s="19"/>
      <c r="W3021" s="19"/>
      <c r="X3021" s="19"/>
      <c r="Y3021" s="19"/>
      <c r="Z3021" s="19"/>
    </row>
    <row r="3022">
      <c r="A3022" s="24"/>
      <c r="B3022" s="19"/>
      <c r="C3022" s="19"/>
      <c r="D3022" s="19"/>
      <c r="E3022" s="19"/>
      <c r="F3022" s="19"/>
      <c r="G3022" s="19"/>
      <c r="H3022" s="19"/>
      <c r="I3022" s="19"/>
      <c r="J3022" s="19"/>
      <c r="K3022" s="19"/>
      <c r="L3022" s="25"/>
      <c r="M3022" s="25"/>
      <c r="N3022" s="25"/>
      <c r="O3022" s="25"/>
      <c r="P3022" s="25"/>
      <c r="Q3022" s="19"/>
      <c r="R3022" s="19"/>
      <c r="S3022" s="19"/>
      <c r="T3022" s="19"/>
      <c r="U3022" s="25"/>
      <c r="V3022" s="19"/>
      <c r="W3022" s="19"/>
      <c r="X3022" s="19"/>
      <c r="Y3022" s="19"/>
      <c r="Z3022" s="19"/>
    </row>
    <row r="3023">
      <c r="A3023" s="24"/>
      <c r="B3023" s="19"/>
      <c r="C3023" s="19"/>
      <c r="D3023" s="19"/>
      <c r="E3023" s="19"/>
      <c r="F3023" s="19"/>
      <c r="G3023" s="19"/>
      <c r="H3023" s="19"/>
      <c r="I3023" s="19"/>
      <c r="J3023" s="19"/>
      <c r="K3023" s="19"/>
      <c r="L3023" s="25"/>
      <c r="M3023" s="25"/>
      <c r="N3023" s="25"/>
      <c r="O3023" s="25"/>
      <c r="P3023" s="25"/>
      <c r="Q3023" s="19"/>
      <c r="R3023" s="19"/>
      <c r="S3023" s="19"/>
      <c r="T3023" s="19"/>
      <c r="U3023" s="25"/>
      <c r="V3023" s="19"/>
      <c r="W3023" s="19"/>
      <c r="X3023" s="19"/>
      <c r="Y3023" s="19"/>
      <c r="Z3023" s="19"/>
    </row>
    <row r="3024">
      <c r="A3024" s="24"/>
      <c r="B3024" s="19"/>
      <c r="C3024" s="19"/>
      <c r="D3024" s="19"/>
      <c r="E3024" s="19"/>
      <c r="F3024" s="19"/>
      <c r="G3024" s="19"/>
      <c r="H3024" s="19"/>
      <c r="I3024" s="19"/>
      <c r="J3024" s="19"/>
      <c r="K3024" s="19"/>
      <c r="L3024" s="25"/>
      <c r="M3024" s="25"/>
      <c r="N3024" s="25"/>
      <c r="O3024" s="25"/>
      <c r="P3024" s="25"/>
      <c r="Q3024" s="19"/>
      <c r="R3024" s="19"/>
      <c r="S3024" s="19"/>
      <c r="T3024" s="19"/>
      <c r="U3024" s="25"/>
      <c r="V3024" s="19"/>
      <c r="W3024" s="19"/>
      <c r="X3024" s="19"/>
      <c r="Y3024" s="19"/>
      <c r="Z3024" s="19"/>
    </row>
    <row r="3025">
      <c r="A3025" s="24"/>
      <c r="B3025" s="19"/>
      <c r="C3025" s="19"/>
      <c r="D3025" s="19"/>
      <c r="E3025" s="19"/>
      <c r="F3025" s="19"/>
      <c r="G3025" s="19"/>
      <c r="H3025" s="19"/>
      <c r="I3025" s="19"/>
      <c r="J3025" s="19"/>
      <c r="K3025" s="19"/>
      <c r="L3025" s="25"/>
      <c r="M3025" s="25"/>
      <c r="N3025" s="25"/>
      <c r="O3025" s="25"/>
      <c r="P3025" s="25"/>
      <c r="Q3025" s="19"/>
      <c r="R3025" s="19"/>
      <c r="S3025" s="19"/>
      <c r="T3025" s="19"/>
      <c r="U3025" s="25"/>
      <c r="V3025" s="19"/>
      <c r="W3025" s="19"/>
      <c r="X3025" s="19"/>
      <c r="Y3025" s="19"/>
      <c r="Z3025" s="19"/>
    </row>
    <row r="3026">
      <c r="A3026" s="24"/>
      <c r="B3026" s="19"/>
      <c r="C3026" s="19"/>
      <c r="D3026" s="19"/>
      <c r="E3026" s="19"/>
      <c r="F3026" s="19"/>
      <c r="G3026" s="19"/>
      <c r="H3026" s="19"/>
      <c r="I3026" s="19"/>
      <c r="J3026" s="19"/>
      <c r="K3026" s="19"/>
      <c r="L3026" s="25"/>
      <c r="M3026" s="25"/>
      <c r="N3026" s="25"/>
      <c r="O3026" s="25"/>
      <c r="P3026" s="25"/>
      <c r="Q3026" s="19"/>
      <c r="R3026" s="19"/>
      <c r="S3026" s="19"/>
      <c r="T3026" s="19"/>
      <c r="U3026" s="25"/>
      <c r="V3026" s="19"/>
      <c r="W3026" s="19"/>
      <c r="X3026" s="19"/>
      <c r="Y3026" s="19"/>
      <c r="Z3026" s="19"/>
    </row>
    <row r="3027">
      <c r="A3027" s="24"/>
      <c r="B3027" s="19"/>
      <c r="C3027" s="19"/>
      <c r="D3027" s="19"/>
      <c r="E3027" s="19"/>
      <c r="F3027" s="19"/>
      <c r="G3027" s="19"/>
      <c r="H3027" s="19"/>
      <c r="I3027" s="19"/>
      <c r="J3027" s="19"/>
      <c r="K3027" s="19"/>
      <c r="L3027" s="25"/>
      <c r="M3027" s="25"/>
      <c r="N3027" s="25"/>
      <c r="O3027" s="25"/>
      <c r="P3027" s="25"/>
      <c r="Q3027" s="19"/>
      <c r="R3027" s="19"/>
      <c r="S3027" s="19"/>
      <c r="T3027" s="19"/>
      <c r="U3027" s="25"/>
      <c r="V3027" s="19"/>
      <c r="W3027" s="19"/>
      <c r="X3027" s="19"/>
      <c r="Y3027" s="19"/>
      <c r="Z3027" s="19"/>
    </row>
    <row r="3028">
      <c r="A3028" s="24"/>
      <c r="B3028" s="19"/>
      <c r="C3028" s="19"/>
      <c r="D3028" s="19"/>
      <c r="E3028" s="19"/>
      <c r="F3028" s="19"/>
      <c r="G3028" s="19"/>
      <c r="H3028" s="19"/>
      <c r="I3028" s="19"/>
      <c r="J3028" s="19"/>
      <c r="K3028" s="19"/>
      <c r="L3028" s="25"/>
      <c r="M3028" s="25"/>
      <c r="N3028" s="25"/>
      <c r="O3028" s="25"/>
      <c r="P3028" s="25"/>
      <c r="Q3028" s="19"/>
      <c r="R3028" s="19"/>
      <c r="S3028" s="19"/>
      <c r="T3028" s="19"/>
      <c r="U3028" s="25"/>
      <c r="V3028" s="19"/>
      <c r="W3028" s="19"/>
      <c r="X3028" s="19"/>
      <c r="Y3028" s="19"/>
      <c r="Z3028" s="19"/>
    </row>
    <row r="3029">
      <c r="A3029" s="24"/>
      <c r="B3029" s="19"/>
      <c r="C3029" s="19"/>
      <c r="D3029" s="19"/>
      <c r="E3029" s="19"/>
      <c r="F3029" s="19"/>
      <c r="G3029" s="19"/>
      <c r="H3029" s="19"/>
      <c r="I3029" s="19"/>
      <c r="J3029" s="19"/>
      <c r="K3029" s="19"/>
      <c r="L3029" s="25"/>
      <c r="M3029" s="25"/>
      <c r="N3029" s="25"/>
      <c r="O3029" s="25"/>
      <c r="P3029" s="25"/>
      <c r="Q3029" s="19"/>
      <c r="R3029" s="19"/>
      <c r="S3029" s="19"/>
      <c r="T3029" s="19"/>
      <c r="U3029" s="25"/>
      <c r="V3029" s="19"/>
      <c r="W3029" s="19"/>
      <c r="X3029" s="19"/>
      <c r="Y3029" s="19"/>
      <c r="Z3029" s="19"/>
    </row>
    <row r="3030">
      <c r="A3030" s="24"/>
      <c r="B3030" s="19"/>
      <c r="C3030" s="19"/>
      <c r="D3030" s="19"/>
      <c r="E3030" s="19"/>
      <c r="F3030" s="19"/>
      <c r="G3030" s="19"/>
      <c r="H3030" s="19"/>
      <c r="I3030" s="19"/>
      <c r="J3030" s="19"/>
      <c r="K3030" s="19"/>
      <c r="L3030" s="25"/>
      <c r="M3030" s="25"/>
      <c r="N3030" s="25"/>
      <c r="O3030" s="25"/>
      <c r="P3030" s="25"/>
      <c r="Q3030" s="19"/>
      <c r="R3030" s="19"/>
      <c r="S3030" s="19"/>
      <c r="T3030" s="19"/>
      <c r="U3030" s="25"/>
      <c r="V3030" s="19"/>
      <c r="W3030" s="19"/>
      <c r="X3030" s="19"/>
      <c r="Y3030" s="19"/>
      <c r="Z3030" s="19"/>
    </row>
    <row r="3031">
      <c r="A3031" s="24"/>
      <c r="B3031" s="19"/>
      <c r="C3031" s="19"/>
      <c r="D3031" s="19"/>
      <c r="E3031" s="19"/>
      <c r="F3031" s="19"/>
      <c r="G3031" s="19"/>
      <c r="H3031" s="19"/>
      <c r="I3031" s="19"/>
      <c r="J3031" s="19"/>
      <c r="K3031" s="19"/>
      <c r="L3031" s="25"/>
      <c r="M3031" s="25"/>
      <c r="N3031" s="25"/>
      <c r="O3031" s="25"/>
      <c r="P3031" s="25"/>
      <c r="Q3031" s="19"/>
      <c r="R3031" s="19"/>
      <c r="S3031" s="19"/>
      <c r="T3031" s="19"/>
      <c r="U3031" s="25"/>
      <c r="V3031" s="19"/>
      <c r="W3031" s="19"/>
      <c r="X3031" s="19"/>
      <c r="Y3031" s="19"/>
      <c r="Z3031" s="19"/>
    </row>
    <row r="3032">
      <c r="A3032" s="24"/>
      <c r="B3032" s="19"/>
      <c r="C3032" s="19"/>
      <c r="D3032" s="19"/>
      <c r="E3032" s="19"/>
      <c r="F3032" s="19"/>
      <c r="G3032" s="19"/>
      <c r="H3032" s="19"/>
      <c r="I3032" s="19"/>
      <c r="J3032" s="19"/>
      <c r="K3032" s="19"/>
      <c r="L3032" s="25"/>
      <c r="M3032" s="25"/>
      <c r="N3032" s="25"/>
      <c r="O3032" s="25"/>
      <c r="P3032" s="25"/>
      <c r="Q3032" s="19"/>
      <c r="R3032" s="19"/>
      <c r="S3032" s="19"/>
      <c r="T3032" s="19"/>
      <c r="U3032" s="25"/>
      <c r="V3032" s="19"/>
      <c r="W3032" s="19"/>
      <c r="X3032" s="19"/>
      <c r="Y3032" s="19"/>
      <c r="Z3032" s="19"/>
    </row>
    <row r="3033">
      <c r="A3033" s="24"/>
      <c r="B3033" s="19"/>
      <c r="C3033" s="19"/>
      <c r="D3033" s="19"/>
      <c r="E3033" s="19"/>
      <c r="F3033" s="19"/>
      <c r="G3033" s="19"/>
      <c r="H3033" s="19"/>
      <c r="I3033" s="19"/>
      <c r="J3033" s="19"/>
      <c r="K3033" s="19"/>
      <c r="L3033" s="25"/>
      <c r="M3033" s="25"/>
      <c r="N3033" s="25"/>
      <c r="O3033" s="25"/>
      <c r="P3033" s="25"/>
      <c r="Q3033" s="19"/>
      <c r="R3033" s="19"/>
      <c r="S3033" s="19"/>
      <c r="T3033" s="19"/>
      <c r="U3033" s="25"/>
      <c r="V3033" s="19"/>
      <c r="W3033" s="19"/>
      <c r="X3033" s="19"/>
      <c r="Y3033" s="19"/>
      <c r="Z3033" s="19"/>
    </row>
    <row r="3034">
      <c r="A3034" s="24"/>
      <c r="B3034" s="19"/>
      <c r="C3034" s="19"/>
      <c r="D3034" s="19"/>
      <c r="E3034" s="19"/>
      <c r="F3034" s="19"/>
      <c r="G3034" s="19"/>
      <c r="H3034" s="19"/>
      <c r="I3034" s="19"/>
      <c r="J3034" s="19"/>
      <c r="K3034" s="19"/>
      <c r="L3034" s="25"/>
      <c r="M3034" s="25"/>
      <c r="N3034" s="25"/>
      <c r="O3034" s="25"/>
      <c r="P3034" s="25"/>
      <c r="Q3034" s="19"/>
      <c r="R3034" s="19"/>
      <c r="S3034" s="19"/>
      <c r="T3034" s="19"/>
      <c r="U3034" s="25"/>
      <c r="V3034" s="19"/>
      <c r="W3034" s="19"/>
      <c r="X3034" s="19"/>
      <c r="Y3034" s="19"/>
      <c r="Z3034" s="19"/>
    </row>
    <row r="3035">
      <c r="A3035" s="24"/>
      <c r="B3035" s="19"/>
      <c r="C3035" s="19"/>
      <c r="D3035" s="19"/>
      <c r="E3035" s="19"/>
      <c r="F3035" s="19"/>
      <c r="G3035" s="19"/>
      <c r="H3035" s="19"/>
      <c r="I3035" s="19"/>
      <c r="J3035" s="19"/>
      <c r="K3035" s="19"/>
      <c r="L3035" s="25"/>
      <c r="M3035" s="25"/>
      <c r="N3035" s="25"/>
      <c r="O3035" s="25"/>
      <c r="P3035" s="25"/>
      <c r="Q3035" s="19"/>
      <c r="R3035" s="19"/>
      <c r="S3035" s="19"/>
      <c r="T3035" s="19"/>
      <c r="U3035" s="25"/>
      <c r="V3035" s="19"/>
      <c r="W3035" s="19"/>
      <c r="X3035" s="19"/>
      <c r="Y3035" s="19"/>
      <c r="Z3035" s="19"/>
    </row>
    <row r="3036">
      <c r="A3036" s="24"/>
      <c r="B3036" s="19"/>
      <c r="C3036" s="19"/>
      <c r="D3036" s="19"/>
      <c r="E3036" s="19"/>
      <c r="F3036" s="19"/>
      <c r="G3036" s="19"/>
      <c r="H3036" s="19"/>
      <c r="I3036" s="19"/>
      <c r="J3036" s="19"/>
      <c r="K3036" s="19"/>
      <c r="L3036" s="25"/>
      <c r="M3036" s="25"/>
      <c r="N3036" s="25"/>
      <c r="O3036" s="25"/>
      <c r="P3036" s="25"/>
      <c r="Q3036" s="19"/>
      <c r="R3036" s="19"/>
      <c r="S3036" s="19"/>
      <c r="T3036" s="19"/>
      <c r="U3036" s="25"/>
      <c r="V3036" s="19"/>
      <c r="W3036" s="19"/>
      <c r="X3036" s="19"/>
      <c r="Y3036" s="19"/>
      <c r="Z3036" s="19"/>
    </row>
    <row r="3037">
      <c r="A3037" s="24"/>
      <c r="B3037" s="19"/>
      <c r="C3037" s="19"/>
      <c r="D3037" s="19"/>
      <c r="E3037" s="19"/>
      <c r="F3037" s="19"/>
      <c r="G3037" s="19"/>
      <c r="H3037" s="19"/>
      <c r="I3037" s="19"/>
      <c r="J3037" s="19"/>
      <c r="K3037" s="19"/>
      <c r="L3037" s="25"/>
      <c r="M3037" s="25"/>
      <c r="N3037" s="25"/>
      <c r="O3037" s="25"/>
      <c r="P3037" s="25"/>
      <c r="Q3037" s="19"/>
      <c r="R3037" s="19"/>
      <c r="S3037" s="19"/>
      <c r="T3037" s="19"/>
      <c r="U3037" s="25"/>
      <c r="V3037" s="19"/>
      <c r="W3037" s="19"/>
      <c r="X3037" s="19"/>
      <c r="Y3037" s="19"/>
      <c r="Z3037" s="19"/>
    </row>
    <row r="3038">
      <c r="A3038" s="24"/>
      <c r="B3038" s="19"/>
      <c r="C3038" s="19"/>
      <c r="D3038" s="19"/>
      <c r="E3038" s="19"/>
      <c r="F3038" s="19"/>
      <c r="G3038" s="19"/>
      <c r="H3038" s="19"/>
      <c r="I3038" s="19"/>
      <c r="J3038" s="19"/>
      <c r="K3038" s="19"/>
      <c r="L3038" s="25"/>
      <c r="M3038" s="25"/>
      <c r="N3038" s="25"/>
      <c r="O3038" s="25"/>
      <c r="P3038" s="25"/>
      <c r="Q3038" s="19"/>
      <c r="R3038" s="19"/>
      <c r="S3038" s="19"/>
      <c r="T3038" s="19"/>
      <c r="U3038" s="25"/>
      <c r="V3038" s="19"/>
      <c r="W3038" s="19"/>
      <c r="X3038" s="19"/>
      <c r="Y3038" s="19"/>
      <c r="Z3038" s="19"/>
    </row>
    <row r="3039">
      <c r="A3039" s="24"/>
      <c r="B3039" s="19"/>
      <c r="C3039" s="19"/>
      <c r="D3039" s="19"/>
      <c r="E3039" s="19"/>
      <c r="F3039" s="19"/>
      <c r="G3039" s="19"/>
      <c r="H3039" s="19"/>
      <c r="I3039" s="19"/>
      <c r="J3039" s="19"/>
      <c r="K3039" s="19"/>
      <c r="L3039" s="25"/>
      <c r="M3039" s="25"/>
      <c r="N3039" s="25"/>
      <c r="O3039" s="25"/>
      <c r="P3039" s="25"/>
      <c r="Q3039" s="19"/>
      <c r="R3039" s="19"/>
      <c r="S3039" s="19"/>
      <c r="T3039" s="19"/>
      <c r="U3039" s="25"/>
      <c r="V3039" s="19"/>
      <c r="W3039" s="19"/>
      <c r="X3039" s="19"/>
      <c r="Y3039" s="19"/>
      <c r="Z3039" s="19"/>
    </row>
    <row r="3040">
      <c r="A3040" s="24"/>
      <c r="B3040" s="19"/>
      <c r="C3040" s="19"/>
      <c r="D3040" s="19"/>
      <c r="E3040" s="19"/>
      <c r="F3040" s="19"/>
      <c r="G3040" s="19"/>
      <c r="H3040" s="19"/>
      <c r="I3040" s="19"/>
      <c r="J3040" s="19"/>
      <c r="K3040" s="19"/>
      <c r="L3040" s="25"/>
      <c r="M3040" s="25"/>
      <c r="N3040" s="25"/>
      <c r="O3040" s="25"/>
      <c r="P3040" s="25"/>
      <c r="Q3040" s="19"/>
      <c r="R3040" s="19"/>
      <c r="S3040" s="19"/>
      <c r="T3040" s="19"/>
      <c r="U3040" s="25"/>
      <c r="V3040" s="19"/>
      <c r="W3040" s="19"/>
      <c r="X3040" s="19"/>
      <c r="Y3040" s="19"/>
      <c r="Z3040" s="19"/>
    </row>
    <row r="3041">
      <c r="A3041" s="24"/>
      <c r="B3041" s="19"/>
      <c r="C3041" s="19"/>
      <c r="D3041" s="19"/>
      <c r="E3041" s="19"/>
      <c r="F3041" s="19"/>
      <c r="G3041" s="19"/>
      <c r="H3041" s="19"/>
      <c r="I3041" s="19"/>
      <c r="J3041" s="19"/>
      <c r="K3041" s="19"/>
      <c r="L3041" s="25"/>
      <c r="M3041" s="25"/>
      <c r="N3041" s="25"/>
      <c r="O3041" s="25"/>
      <c r="P3041" s="25"/>
      <c r="Q3041" s="19"/>
      <c r="R3041" s="19"/>
      <c r="S3041" s="19"/>
      <c r="T3041" s="19"/>
      <c r="U3041" s="25"/>
      <c r="V3041" s="19"/>
      <c r="W3041" s="19"/>
      <c r="X3041" s="19"/>
      <c r="Y3041" s="19"/>
      <c r="Z3041" s="19"/>
    </row>
    <row r="3042">
      <c r="A3042" s="24"/>
      <c r="B3042" s="19"/>
      <c r="C3042" s="19"/>
      <c r="D3042" s="19"/>
      <c r="E3042" s="19"/>
      <c r="F3042" s="19"/>
      <c r="G3042" s="19"/>
      <c r="H3042" s="19"/>
      <c r="I3042" s="19"/>
      <c r="J3042" s="19"/>
      <c r="K3042" s="19"/>
      <c r="L3042" s="25"/>
      <c r="M3042" s="25"/>
      <c r="N3042" s="25"/>
      <c r="O3042" s="25"/>
      <c r="P3042" s="25"/>
      <c r="Q3042" s="19"/>
      <c r="R3042" s="19"/>
      <c r="S3042" s="19"/>
      <c r="T3042" s="19"/>
      <c r="U3042" s="25"/>
      <c r="V3042" s="19"/>
      <c r="W3042" s="19"/>
      <c r="X3042" s="19"/>
      <c r="Y3042" s="19"/>
      <c r="Z3042" s="19"/>
    </row>
    <row r="3043">
      <c r="A3043" s="24"/>
      <c r="B3043" s="19"/>
      <c r="C3043" s="19"/>
      <c r="D3043" s="19"/>
      <c r="E3043" s="19"/>
      <c r="F3043" s="19"/>
      <c r="G3043" s="19"/>
      <c r="H3043" s="19"/>
      <c r="I3043" s="19"/>
      <c r="J3043" s="19"/>
      <c r="K3043" s="19"/>
      <c r="L3043" s="25"/>
      <c r="M3043" s="25"/>
      <c r="N3043" s="25"/>
      <c r="O3043" s="25"/>
      <c r="P3043" s="25"/>
      <c r="Q3043" s="19"/>
      <c r="R3043" s="19"/>
      <c r="S3043" s="19"/>
      <c r="T3043" s="19"/>
      <c r="U3043" s="25"/>
      <c r="V3043" s="19"/>
      <c r="W3043" s="19"/>
      <c r="X3043" s="19"/>
      <c r="Y3043" s="19"/>
      <c r="Z3043" s="19"/>
    </row>
    <row r="3044">
      <c r="A3044" s="24"/>
      <c r="B3044" s="19"/>
      <c r="C3044" s="19"/>
      <c r="D3044" s="19"/>
      <c r="E3044" s="19"/>
      <c r="F3044" s="19"/>
      <c r="G3044" s="19"/>
      <c r="H3044" s="19"/>
      <c r="I3044" s="19"/>
      <c r="J3044" s="19"/>
      <c r="K3044" s="19"/>
      <c r="L3044" s="25"/>
      <c r="M3044" s="25"/>
      <c r="N3044" s="25"/>
      <c r="O3044" s="25"/>
      <c r="P3044" s="25"/>
      <c r="Q3044" s="19"/>
      <c r="R3044" s="19"/>
      <c r="S3044" s="19"/>
      <c r="T3044" s="19"/>
      <c r="U3044" s="25"/>
      <c r="V3044" s="19"/>
      <c r="W3044" s="19"/>
      <c r="X3044" s="19"/>
      <c r="Y3044" s="19"/>
      <c r="Z3044" s="19"/>
    </row>
    <row r="3045">
      <c r="A3045" s="24"/>
      <c r="B3045" s="19"/>
      <c r="C3045" s="19"/>
      <c r="D3045" s="19"/>
      <c r="E3045" s="19"/>
      <c r="F3045" s="19"/>
      <c r="G3045" s="19"/>
      <c r="H3045" s="19"/>
      <c r="I3045" s="19"/>
      <c r="J3045" s="19"/>
      <c r="K3045" s="19"/>
      <c r="L3045" s="25"/>
      <c r="M3045" s="25"/>
      <c r="N3045" s="25"/>
      <c r="O3045" s="25"/>
      <c r="P3045" s="25"/>
      <c r="Q3045" s="19"/>
      <c r="R3045" s="19"/>
      <c r="S3045" s="19"/>
      <c r="T3045" s="19"/>
      <c r="U3045" s="25"/>
      <c r="V3045" s="19"/>
      <c r="W3045" s="19"/>
      <c r="X3045" s="19"/>
      <c r="Y3045" s="19"/>
      <c r="Z3045" s="19"/>
    </row>
    <row r="3046">
      <c r="A3046" s="24"/>
      <c r="B3046" s="19"/>
      <c r="C3046" s="19"/>
      <c r="D3046" s="19"/>
      <c r="E3046" s="19"/>
      <c r="F3046" s="19"/>
      <c r="G3046" s="19"/>
      <c r="H3046" s="19"/>
      <c r="I3046" s="19"/>
      <c r="J3046" s="19"/>
      <c r="K3046" s="19"/>
      <c r="L3046" s="25"/>
      <c r="M3046" s="25"/>
      <c r="N3046" s="25"/>
      <c r="O3046" s="25"/>
      <c r="P3046" s="25"/>
      <c r="Q3046" s="19"/>
      <c r="R3046" s="19"/>
      <c r="S3046" s="19"/>
      <c r="T3046" s="19"/>
      <c r="U3046" s="25"/>
      <c r="V3046" s="19"/>
      <c r="W3046" s="19"/>
      <c r="X3046" s="19"/>
      <c r="Y3046" s="19"/>
      <c r="Z3046" s="19"/>
    </row>
    <row r="3047">
      <c r="A3047" s="24"/>
      <c r="B3047" s="19"/>
      <c r="C3047" s="19"/>
      <c r="D3047" s="19"/>
      <c r="E3047" s="19"/>
      <c r="F3047" s="19"/>
      <c r="G3047" s="19"/>
      <c r="H3047" s="19"/>
      <c r="I3047" s="19"/>
      <c r="J3047" s="19"/>
      <c r="K3047" s="19"/>
      <c r="L3047" s="25"/>
      <c r="M3047" s="25"/>
      <c r="N3047" s="25"/>
      <c r="O3047" s="25"/>
      <c r="P3047" s="25"/>
      <c r="Q3047" s="19"/>
      <c r="R3047" s="19"/>
      <c r="S3047" s="19"/>
      <c r="T3047" s="19"/>
      <c r="U3047" s="25"/>
      <c r="V3047" s="19"/>
      <c r="W3047" s="19"/>
      <c r="X3047" s="19"/>
      <c r="Y3047" s="19"/>
      <c r="Z3047" s="19"/>
    </row>
    <row r="3048">
      <c r="A3048" s="24"/>
      <c r="B3048" s="19"/>
      <c r="C3048" s="19"/>
      <c r="D3048" s="19"/>
      <c r="E3048" s="19"/>
      <c r="F3048" s="19"/>
      <c r="G3048" s="19"/>
      <c r="H3048" s="19"/>
      <c r="I3048" s="19"/>
      <c r="J3048" s="19"/>
      <c r="K3048" s="19"/>
      <c r="L3048" s="25"/>
      <c r="M3048" s="25"/>
      <c r="N3048" s="25"/>
      <c r="O3048" s="25"/>
      <c r="P3048" s="25"/>
      <c r="Q3048" s="19"/>
      <c r="R3048" s="19"/>
      <c r="S3048" s="19"/>
      <c r="T3048" s="19"/>
      <c r="U3048" s="25"/>
      <c r="V3048" s="19"/>
      <c r="W3048" s="19"/>
      <c r="X3048" s="19"/>
      <c r="Y3048" s="19"/>
      <c r="Z3048" s="19"/>
    </row>
    <row r="3049">
      <c r="A3049" s="24"/>
      <c r="B3049" s="19"/>
      <c r="C3049" s="19"/>
      <c r="D3049" s="19"/>
      <c r="E3049" s="19"/>
      <c r="F3049" s="19"/>
      <c r="G3049" s="19"/>
      <c r="H3049" s="19"/>
      <c r="I3049" s="19"/>
      <c r="J3049" s="19"/>
      <c r="K3049" s="19"/>
      <c r="L3049" s="25"/>
      <c r="M3049" s="25"/>
      <c r="N3049" s="25"/>
      <c r="O3049" s="25"/>
      <c r="P3049" s="25"/>
      <c r="Q3049" s="19"/>
      <c r="R3049" s="19"/>
      <c r="S3049" s="19"/>
      <c r="T3049" s="19"/>
      <c r="U3049" s="25"/>
      <c r="V3049" s="19"/>
      <c r="W3049" s="19"/>
      <c r="X3049" s="19"/>
      <c r="Y3049" s="19"/>
      <c r="Z3049" s="19"/>
    </row>
    <row r="3050">
      <c r="A3050" s="24"/>
      <c r="B3050" s="19"/>
      <c r="C3050" s="19"/>
      <c r="D3050" s="19"/>
      <c r="E3050" s="19"/>
      <c r="F3050" s="19"/>
      <c r="G3050" s="19"/>
      <c r="H3050" s="19"/>
      <c r="I3050" s="19"/>
      <c r="J3050" s="19"/>
      <c r="K3050" s="19"/>
      <c r="L3050" s="25"/>
      <c r="M3050" s="25"/>
      <c r="N3050" s="25"/>
      <c r="O3050" s="25"/>
      <c r="P3050" s="25"/>
      <c r="Q3050" s="19"/>
      <c r="R3050" s="19"/>
      <c r="S3050" s="19"/>
      <c r="T3050" s="19"/>
      <c r="U3050" s="25"/>
      <c r="V3050" s="19"/>
      <c r="W3050" s="19"/>
      <c r="X3050" s="19"/>
      <c r="Y3050" s="19"/>
      <c r="Z3050" s="19"/>
    </row>
    <row r="3051">
      <c r="A3051" s="24"/>
      <c r="B3051" s="19"/>
      <c r="C3051" s="19"/>
      <c r="D3051" s="19"/>
      <c r="E3051" s="19"/>
      <c r="F3051" s="19"/>
      <c r="G3051" s="19"/>
      <c r="H3051" s="19"/>
      <c r="I3051" s="19"/>
      <c r="J3051" s="19"/>
      <c r="K3051" s="19"/>
      <c r="L3051" s="25"/>
      <c r="M3051" s="25"/>
      <c r="N3051" s="25"/>
      <c r="O3051" s="25"/>
      <c r="P3051" s="25"/>
      <c r="Q3051" s="19"/>
      <c r="R3051" s="19"/>
      <c r="S3051" s="19"/>
      <c r="T3051" s="19"/>
      <c r="U3051" s="25"/>
      <c r="V3051" s="19"/>
      <c r="W3051" s="19"/>
      <c r="X3051" s="19"/>
      <c r="Y3051" s="19"/>
      <c r="Z3051" s="19"/>
    </row>
    <row r="3052">
      <c r="A3052" s="24"/>
      <c r="B3052" s="19"/>
      <c r="C3052" s="19"/>
      <c r="D3052" s="19"/>
      <c r="E3052" s="19"/>
      <c r="F3052" s="19"/>
      <c r="G3052" s="19"/>
      <c r="H3052" s="19"/>
      <c r="I3052" s="19"/>
      <c r="J3052" s="19"/>
      <c r="K3052" s="19"/>
      <c r="L3052" s="25"/>
      <c r="M3052" s="25"/>
      <c r="N3052" s="25"/>
      <c r="O3052" s="25"/>
      <c r="P3052" s="25"/>
      <c r="Q3052" s="19"/>
      <c r="R3052" s="19"/>
      <c r="S3052" s="19"/>
      <c r="T3052" s="19"/>
      <c r="U3052" s="25"/>
      <c r="V3052" s="19"/>
      <c r="W3052" s="19"/>
      <c r="X3052" s="19"/>
      <c r="Y3052" s="19"/>
      <c r="Z3052" s="19"/>
    </row>
    <row r="3053">
      <c r="A3053" s="24"/>
      <c r="B3053" s="19"/>
      <c r="C3053" s="19"/>
      <c r="D3053" s="19"/>
      <c r="E3053" s="19"/>
      <c r="F3053" s="19"/>
      <c r="G3053" s="19"/>
      <c r="H3053" s="19"/>
      <c r="I3053" s="19"/>
      <c r="J3053" s="19"/>
      <c r="K3053" s="19"/>
      <c r="L3053" s="25"/>
      <c r="M3053" s="25"/>
      <c r="N3053" s="25"/>
      <c r="O3053" s="25"/>
      <c r="P3053" s="25"/>
      <c r="Q3053" s="19"/>
      <c r="R3053" s="19"/>
      <c r="S3053" s="19"/>
      <c r="T3053" s="19"/>
      <c r="U3053" s="25"/>
      <c r="V3053" s="19"/>
      <c r="W3053" s="19"/>
      <c r="X3053" s="19"/>
      <c r="Y3053" s="19"/>
      <c r="Z3053" s="19"/>
    </row>
    <row r="3054">
      <c r="A3054" s="24"/>
      <c r="B3054" s="19"/>
      <c r="C3054" s="19"/>
      <c r="D3054" s="19"/>
      <c r="E3054" s="19"/>
      <c r="F3054" s="19"/>
      <c r="G3054" s="19"/>
      <c r="H3054" s="19"/>
      <c r="I3054" s="19"/>
      <c r="J3054" s="19"/>
      <c r="K3054" s="19"/>
      <c r="L3054" s="25"/>
      <c r="M3054" s="25"/>
      <c r="N3054" s="25"/>
      <c r="O3054" s="25"/>
      <c r="P3054" s="25"/>
      <c r="Q3054" s="19"/>
      <c r="R3054" s="19"/>
      <c r="S3054" s="19"/>
      <c r="T3054" s="19"/>
      <c r="U3054" s="25"/>
      <c r="V3054" s="19"/>
      <c r="W3054" s="19"/>
      <c r="X3054" s="19"/>
      <c r="Y3054" s="19"/>
      <c r="Z3054" s="19"/>
    </row>
    <row r="3055">
      <c r="A3055" s="24"/>
      <c r="B3055" s="19"/>
      <c r="C3055" s="19"/>
      <c r="D3055" s="19"/>
      <c r="E3055" s="19"/>
      <c r="F3055" s="19"/>
      <c r="G3055" s="19"/>
      <c r="H3055" s="19"/>
      <c r="I3055" s="19"/>
      <c r="J3055" s="19"/>
      <c r="K3055" s="19"/>
      <c r="L3055" s="25"/>
      <c r="M3055" s="25"/>
      <c r="N3055" s="25"/>
      <c r="O3055" s="25"/>
      <c r="P3055" s="25"/>
      <c r="Q3055" s="19"/>
      <c r="R3055" s="19"/>
      <c r="S3055" s="19"/>
      <c r="T3055" s="19"/>
      <c r="U3055" s="25"/>
      <c r="V3055" s="19"/>
      <c r="W3055" s="19"/>
      <c r="X3055" s="19"/>
      <c r="Y3055" s="19"/>
      <c r="Z3055" s="19"/>
    </row>
    <row r="3056">
      <c r="A3056" s="24"/>
      <c r="B3056" s="19"/>
      <c r="C3056" s="19"/>
      <c r="D3056" s="19"/>
      <c r="E3056" s="19"/>
      <c r="F3056" s="19"/>
      <c r="G3056" s="19"/>
      <c r="H3056" s="19"/>
      <c r="I3056" s="19"/>
      <c r="J3056" s="19"/>
      <c r="K3056" s="19"/>
      <c r="L3056" s="25"/>
      <c r="M3056" s="25"/>
      <c r="N3056" s="25"/>
      <c r="O3056" s="25"/>
      <c r="P3056" s="25"/>
      <c r="Q3056" s="19"/>
      <c r="R3056" s="19"/>
      <c r="S3056" s="19"/>
      <c r="T3056" s="19"/>
      <c r="U3056" s="25"/>
      <c r="V3056" s="19"/>
      <c r="W3056" s="19"/>
      <c r="X3056" s="19"/>
      <c r="Y3056" s="19"/>
      <c r="Z3056" s="19"/>
    </row>
    <row r="3057">
      <c r="A3057" s="24"/>
      <c r="B3057" s="19"/>
      <c r="C3057" s="19"/>
      <c r="D3057" s="19"/>
      <c r="E3057" s="19"/>
      <c r="F3057" s="19"/>
      <c r="G3057" s="19"/>
      <c r="H3057" s="19"/>
      <c r="I3057" s="19"/>
      <c r="J3057" s="19"/>
      <c r="K3057" s="19"/>
      <c r="L3057" s="25"/>
      <c r="M3057" s="25"/>
      <c r="N3057" s="25"/>
      <c r="O3057" s="25"/>
      <c r="P3057" s="25"/>
      <c r="Q3057" s="19"/>
      <c r="R3057" s="19"/>
      <c r="S3057" s="19"/>
      <c r="T3057" s="19"/>
      <c r="U3057" s="25"/>
      <c r="V3057" s="19"/>
      <c r="W3057" s="19"/>
      <c r="X3057" s="19"/>
      <c r="Y3057" s="19"/>
      <c r="Z3057" s="19"/>
    </row>
    <row r="3058">
      <c r="A3058" s="24"/>
      <c r="B3058" s="19"/>
      <c r="C3058" s="19"/>
      <c r="D3058" s="19"/>
      <c r="E3058" s="19"/>
      <c r="F3058" s="19"/>
      <c r="G3058" s="19"/>
      <c r="H3058" s="19"/>
      <c r="I3058" s="19"/>
      <c r="J3058" s="19"/>
      <c r="K3058" s="19"/>
      <c r="L3058" s="25"/>
      <c r="M3058" s="25"/>
      <c r="N3058" s="25"/>
      <c r="O3058" s="25"/>
      <c r="P3058" s="25"/>
      <c r="Q3058" s="19"/>
      <c r="R3058" s="19"/>
      <c r="S3058" s="19"/>
      <c r="T3058" s="19"/>
      <c r="U3058" s="25"/>
      <c r="V3058" s="19"/>
      <c r="W3058" s="19"/>
      <c r="X3058" s="19"/>
      <c r="Y3058" s="19"/>
      <c r="Z3058" s="19"/>
    </row>
    <row r="3059">
      <c r="A3059" s="24"/>
      <c r="B3059" s="19"/>
      <c r="C3059" s="19"/>
      <c r="D3059" s="19"/>
      <c r="E3059" s="19"/>
      <c r="F3059" s="19"/>
      <c r="G3059" s="19"/>
      <c r="H3059" s="19"/>
      <c r="I3059" s="19"/>
      <c r="J3059" s="19"/>
      <c r="K3059" s="19"/>
      <c r="L3059" s="25"/>
      <c r="M3059" s="25"/>
      <c r="N3059" s="25"/>
      <c r="O3059" s="25"/>
      <c r="P3059" s="25"/>
      <c r="Q3059" s="19"/>
      <c r="R3059" s="19"/>
      <c r="S3059" s="19"/>
      <c r="T3059" s="19"/>
      <c r="U3059" s="25"/>
      <c r="V3059" s="19"/>
      <c r="W3059" s="19"/>
      <c r="X3059" s="19"/>
      <c r="Y3059" s="19"/>
      <c r="Z3059" s="19"/>
    </row>
    <row r="3060">
      <c r="A3060" s="24"/>
      <c r="B3060" s="19"/>
      <c r="C3060" s="19"/>
      <c r="D3060" s="19"/>
      <c r="E3060" s="19"/>
      <c r="F3060" s="19"/>
      <c r="G3060" s="19"/>
      <c r="H3060" s="19"/>
      <c r="I3060" s="19"/>
      <c r="J3060" s="19"/>
      <c r="K3060" s="19"/>
      <c r="L3060" s="25"/>
      <c r="M3060" s="25"/>
      <c r="N3060" s="25"/>
      <c r="O3060" s="25"/>
      <c r="P3060" s="25"/>
      <c r="Q3060" s="19"/>
      <c r="R3060" s="19"/>
      <c r="S3060" s="19"/>
      <c r="T3060" s="19"/>
      <c r="U3060" s="25"/>
      <c r="V3060" s="19"/>
      <c r="W3060" s="19"/>
      <c r="X3060" s="19"/>
      <c r="Y3060" s="19"/>
      <c r="Z3060" s="19"/>
    </row>
    <row r="3061">
      <c r="A3061" s="24"/>
      <c r="B3061" s="19"/>
      <c r="C3061" s="19"/>
      <c r="D3061" s="19"/>
      <c r="E3061" s="19"/>
      <c r="F3061" s="19"/>
      <c r="G3061" s="19"/>
      <c r="H3061" s="19"/>
      <c r="I3061" s="19"/>
      <c r="J3061" s="19"/>
      <c r="K3061" s="19"/>
      <c r="L3061" s="25"/>
      <c r="M3061" s="25"/>
      <c r="N3061" s="25"/>
      <c r="O3061" s="25"/>
      <c r="P3061" s="25"/>
      <c r="Q3061" s="19"/>
      <c r="R3061" s="19"/>
      <c r="S3061" s="19"/>
      <c r="T3061" s="19"/>
      <c r="U3061" s="25"/>
      <c r="V3061" s="19"/>
      <c r="W3061" s="19"/>
      <c r="X3061" s="19"/>
      <c r="Y3061" s="19"/>
      <c r="Z3061" s="19"/>
    </row>
    <row r="3062">
      <c r="A3062" s="24"/>
      <c r="B3062" s="19"/>
      <c r="C3062" s="19"/>
      <c r="D3062" s="19"/>
      <c r="E3062" s="19"/>
      <c r="F3062" s="19"/>
      <c r="G3062" s="19"/>
      <c r="H3062" s="19"/>
      <c r="I3062" s="19"/>
      <c r="J3062" s="19"/>
      <c r="K3062" s="19"/>
      <c r="L3062" s="25"/>
      <c r="M3062" s="25"/>
      <c r="N3062" s="25"/>
      <c r="O3062" s="25"/>
      <c r="P3062" s="25"/>
      <c r="Q3062" s="19"/>
      <c r="R3062" s="19"/>
      <c r="S3062" s="19"/>
      <c r="T3062" s="19"/>
      <c r="U3062" s="25"/>
      <c r="V3062" s="19"/>
      <c r="W3062" s="19"/>
      <c r="X3062" s="19"/>
      <c r="Y3062" s="19"/>
      <c r="Z3062" s="19"/>
    </row>
    <row r="3063">
      <c r="A3063" s="24"/>
      <c r="B3063" s="19"/>
      <c r="C3063" s="19"/>
      <c r="D3063" s="19"/>
      <c r="E3063" s="19"/>
      <c r="F3063" s="19"/>
      <c r="G3063" s="19"/>
      <c r="H3063" s="19"/>
      <c r="I3063" s="19"/>
      <c r="J3063" s="19"/>
      <c r="K3063" s="19"/>
      <c r="L3063" s="25"/>
      <c r="M3063" s="25"/>
      <c r="N3063" s="25"/>
      <c r="O3063" s="25"/>
      <c r="P3063" s="25"/>
      <c r="Q3063" s="19"/>
      <c r="R3063" s="19"/>
      <c r="S3063" s="19"/>
      <c r="T3063" s="19"/>
      <c r="U3063" s="25"/>
      <c r="V3063" s="19"/>
      <c r="W3063" s="19"/>
      <c r="X3063" s="19"/>
      <c r="Y3063" s="19"/>
      <c r="Z3063" s="19"/>
    </row>
    <row r="3064">
      <c r="A3064" s="24"/>
      <c r="B3064" s="19"/>
      <c r="C3064" s="19"/>
      <c r="D3064" s="19"/>
      <c r="E3064" s="19"/>
      <c r="F3064" s="19"/>
      <c r="G3064" s="19"/>
      <c r="H3064" s="19"/>
      <c r="I3064" s="19"/>
      <c r="J3064" s="19"/>
      <c r="K3064" s="19"/>
      <c r="L3064" s="25"/>
      <c r="M3064" s="25"/>
      <c r="N3064" s="25"/>
      <c r="O3064" s="25"/>
      <c r="P3064" s="25"/>
      <c r="Q3064" s="19"/>
      <c r="R3064" s="19"/>
      <c r="S3064" s="19"/>
      <c r="T3064" s="19"/>
      <c r="U3064" s="25"/>
      <c r="V3064" s="19"/>
      <c r="W3064" s="19"/>
      <c r="X3064" s="19"/>
      <c r="Y3064" s="19"/>
      <c r="Z3064" s="19"/>
    </row>
    <row r="3065">
      <c r="A3065" s="24"/>
      <c r="B3065" s="19"/>
      <c r="C3065" s="19"/>
      <c r="D3065" s="19"/>
      <c r="E3065" s="19"/>
      <c r="F3065" s="19"/>
      <c r="G3065" s="19"/>
      <c r="H3065" s="19"/>
      <c r="I3065" s="19"/>
      <c r="J3065" s="19"/>
      <c r="K3065" s="19"/>
      <c r="L3065" s="25"/>
      <c r="M3065" s="25"/>
      <c r="N3065" s="25"/>
      <c r="O3065" s="25"/>
      <c r="P3065" s="25"/>
      <c r="Q3065" s="19"/>
      <c r="R3065" s="19"/>
      <c r="S3065" s="19"/>
      <c r="T3065" s="19"/>
      <c r="U3065" s="25"/>
      <c r="V3065" s="19"/>
      <c r="W3065" s="19"/>
      <c r="X3065" s="19"/>
      <c r="Y3065" s="19"/>
      <c r="Z3065" s="19"/>
    </row>
    <row r="3066">
      <c r="A3066" s="24"/>
      <c r="B3066" s="19"/>
      <c r="C3066" s="19"/>
      <c r="D3066" s="19"/>
      <c r="E3066" s="19"/>
      <c r="F3066" s="19"/>
      <c r="G3066" s="19"/>
      <c r="H3066" s="19"/>
      <c r="I3066" s="19"/>
      <c r="J3066" s="19"/>
      <c r="K3066" s="19"/>
      <c r="L3066" s="25"/>
      <c r="M3066" s="25"/>
      <c r="N3066" s="25"/>
      <c r="O3066" s="25"/>
      <c r="P3066" s="25"/>
      <c r="Q3066" s="19"/>
      <c r="R3066" s="19"/>
      <c r="S3066" s="19"/>
      <c r="T3066" s="19"/>
      <c r="U3066" s="25"/>
      <c r="V3066" s="19"/>
      <c r="W3066" s="19"/>
      <c r="X3066" s="19"/>
      <c r="Y3066" s="19"/>
      <c r="Z3066" s="19"/>
    </row>
    <row r="3067">
      <c r="A3067" s="24"/>
      <c r="B3067" s="19"/>
      <c r="C3067" s="19"/>
      <c r="D3067" s="19"/>
      <c r="E3067" s="19"/>
      <c r="F3067" s="19"/>
      <c r="G3067" s="19"/>
      <c r="H3067" s="19"/>
      <c r="I3067" s="19"/>
      <c r="J3067" s="19"/>
      <c r="K3067" s="19"/>
      <c r="L3067" s="25"/>
      <c r="M3067" s="25"/>
      <c r="N3067" s="25"/>
      <c r="O3067" s="25"/>
      <c r="P3067" s="25"/>
      <c r="Q3067" s="19"/>
      <c r="R3067" s="19"/>
      <c r="S3067" s="19"/>
      <c r="T3067" s="19"/>
      <c r="U3067" s="25"/>
      <c r="V3067" s="19"/>
      <c r="W3067" s="19"/>
      <c r="X3067" s="19"/>
      <c r="Y3067" s="19"/>
      <c r="Z3067" s="19"/>
    </row>
    <row r="3068">
      <c r="A3068" s="24"/>
      <c r="B3068" s="19"/>
      <c r="C3068" s="19"/>
      <c r="D3068" s="19"/>
      <c r="E3068" s="19"/>
      <c r="F3068" s="19"/>
      <c r="G3068" s="19"/>
      <c r="H3068" s="19"/>
      <c r="I3068" s="19"/>
      <c r="J3068" s="19"/>
      <c r="K3068" s="19"/>
      <c r="L3068" s="25"/>
      <c r="M3068" s="25"/>
      <c r="N3068" s="25"/>
      <c r="O3068" s="25"/>
      <c r="P3068" s="25"/>
      <c r="Q3068" s="19"/>
      <c r="R3068" s="19"/>
      <c r="S3068" s="19"/>
      <c r="T3068" s="19"/>
      <c r="U3068" s="25"/>
      <c r="V3068" s="19"/>
      <c r="W3068" s="19"/>
      <c r="X3068" s="19"/>
      <c r="Y3068" s="19"/>
      <c r="Z3068" s="19"/>
    </row>
    <row r="3069">
      <c r="A3069" s="24"/>
      <c r="B3069" s="19"/>
      <c r="C3069" s="19"/>
      <c r="D3069" s="19"/>
      <c r="E3069" s="19"/>
      <c r="F3069" s="19"/>
      <c r="G3069" s="19"/>
      <c r="H3069" s="19"/>
      <c r="I3069" s="19"/>
      <c r="J3069" s="19"/>
      <c r="K3069" s="19"/>
      <c r="L3069" s="25"/>
      <c r="M3069" s="25"/>
      <c r="N3069" s="25"/>
      <c r="O3069" s="25"/>
      <c r="P3069" s="25"/>
      <c r="Q3069" s="19"/>
      <c r="R3069" s="19"/>
      <c r="S3069" s="19"/>
      <c r="T3069" s="19"/>
      <c r="U3069" s="25"/>
      <c r="V3069" s="19"/>
      <c r="W3069" s="19"/>
      <c r="X3069" s="19"/>
      <c r="Y3069" s="19"/>
      <c r="Z3069" s="19"/>
    </row>
    <row r="3070">
      <c r="A3070" s="24"/>
      <c r="B3070" s="19"/>
      <c r="C3070" s="19"/>
      <c r="D3070" s="19"/>
      <c r="E3070" s="19"/>
      <c r="F3070" s="19"/>
      <c r="G3070" s="19"/>
      <c r="H3070" s="19"/>
      <c r="I3070" s="19"/>
      <c r="J3070" s="19"/>
      <c r="K3070" s="19"/>
      <c r="L3070" s="25"/>
      <c r="M3070" s="25"/>
      <c r="N3070" s="25"/>
      <c r="O3070" s="25"/>
      <c r="P3070" s="25"/>
      <c r="Q3070" s="19"/>
      <c r="R3070" s="19"/>
      <c r="S3070" s="19"/>
      <c r="T3070" s="19"/>
      <c r="U3070" s="25"/>
      <c r="V3070" s="19"/>
      <c r="W3070" s="19"/>
      <c r="X3070" s="19"/>
      <c r="Y3070" s="19"/>
      <c r="Z3070" s="19"/>
    </row>
    <row r="3071">
      <c r="A3071" s="24"/>
      <c r="B3071" s="19"/>
      <c r="C3071" s="19"/>
      <c r="D3071" s="19"/>
      <c r="E3071" s="19"/>
      <c r="F3071" s="19"/>
      <c r="G3071" s="19"/>
      <c r="H3071" s="19"/>
      <c r="I3071" s="19"/>
      <c r="J3071" s="19"/>
      <c r="K3071" s="19"/>
      <c r="L3071" s="25"/>
      <c r="M3071" s="25"/>
      <c r="N3071" s="25"/>
      <c r="O3071" s="25"/>
      <c r="P3071" s="25"/>
      <c r="Q3071" s="19"/>
      <c r="R3071" s="19"/>
      <c r="S3071" s="19"/>
      <c r="T3071" s="19"/>
      <c r="U3071" s="25"/>
      <c r="V3071" s="19"/>
      <c r="W3071" s="19"/>
      <c r="X3071" s="19"/>
      <c r="Y3071" s="19"/>
      <c r="Z3071" s="19"/>
    </row>
    <row r="3072">
      <c r="A3072" s="24"/>
      <c r="B3072" s="19"/>
      <c r="C3072" s="19"/>
      <c r="D3072" s="19"/>
      <c r="E3072" s="19"/>
      <c r="F3072" s="19"/>
      <c r="G3072" s="19"/>
      <c r="H3072" s="19"/>
      <c r="I3072" s="19"/>
      <c r="J3072" s="19"/>
      <c r="K3072" s="19"/>
      <c r="L3072" s="25"/>
      <c r="M3072" s="25"/>
      <c r="N3072" s="25"/>
      <c r="O3072" s="25"/>
      <c r="P3072" s="25"/>
      <c r="Q3072" s="19"/>
      <c r="R3072" s="19"/>
      <c r="S3072" s="19"/>
      <c r="T3072" s="19"/>
      <c r="U3072" s="25"/>
      <c r="V3072" s="19"/>
      <c r="W3072" s="19"/>
      <c r="X3072" s="19"/>
      <c r="Y3072" s="19"/>
      <c r="Z3072" s="19"/>
    </row>
    <row r="3073">
      <c r="A3073" s="24"/>
      <c r="B3073" s="19"/>
      <c r="C3073" s="19"/>
      <c r="D3073" s="19"/>
      <c r="E3073" s="19"/>
      <c r="F3073" s="19"/>
      <c r="G3073" s="19"/>
      <c r="H3073" s="19"/>
      <c r="I3073" s="19"/>
      <c r="J3073" s="19"/>
      <c r="K3073" s="19"/>
      <c r="L3073" s="25"/>
      <c r="M3073" s="25"/>
      <c r="N3073" s="25"/>
      <c r="O3073" s="25"/>
      <c r="P3073" s="25"/>
      <c r="Q3073" s="19"/>
      <c r="R3073" s="19"/>
      <c r="S3073" s="19"/>
      <c r="T3073" s="19"/>
      <c r="U3073" s="25"/>
      <c r="V3073" s="19"/>
      <c r="W3073" s="19"/>
      <c r="X3073" s="19"/>
      <c r="Y3073" s="19"/>
      <c r="Z3073" s="19"/>
    </row>
    <row r="3074">
      <c r="A3074" s="24"/>
      <c r="B3074" s="19"/>
      <c r="C3074" s="19"/>
      <c r="D3074" s="19"/>
      <c r="E3074" s="19"/>
      <c r="F3074" s="19"/>
      <c r="G3074" s="19"/>
      <c r="H3074" s="19"/>
      <c r="I3074" s="19"/>
      <c r="J3074" s="19"/>
      <c r="K3074" s="19"/>
      <c r="L3074" s="25"/>
      <c r="M3074" s="25"/>
      <c r="N3074" s="25"/>
      <c r="O3074" s="25"/>
      <c r="P3074" s="25"/>
      <c r="Q3074" s="19"/>
      <c r="R3074" s="19"/>
      <c r="S3074" s="19"/>
      <c r="T3074" s="19"/>
      <c r="U3074" s="25"/>
      <c r="V3074" s="19"/>
      <c r="W3074" s="19"/>
      <c r="X3074" s="19"/>
      <c r="Y3074" s="19"/>
      <c r="Z3074" s="19"/>
    </row>
    <row r="3075">
      <c r="A3075" s="24"/>
      <c r="B3075" s="19"/>
      <c r="C3075" s="19"/>
      <c r="D3075" s="19"/>
      <c r="E3075" s="19"/>
      <c r="F3075" s="19"/>
      <c r="G3075" s="19"/>
      <c r="H3075" s="19"/>
      <c r="I3075" s="19"/>
      <c r="J3075" s="19"/>
      <c r="K3075" s="19"/>
      <c r="L3075" s="25"/>
      <c r="M3075" s="25"/>
      <c r="N3075" s="25"/>
      <c r="O3075" s="25"/>
      <c r="P3075" s="25"/>
      <c r="Q3075" s="19"/>
      <c r="R3075" s="19"/>
      <c r="S3075" s="19"/>
      <c r="T3075" s="19"/>
      <c r="U3075" s="25"/>
      <c r="V3075" s="19"/>
      <c r="W3075" s="19"/>
      <c r="X3075" s="19"/>
      <c r="Y3075" s="19"/>
      <c r="Z3075" s="19"/>
    </row>
    <row r="3076">
      <c r="A3076" s="24"/>
      <c r="B3076" s="19"/>
      <c r="C3076" s="19"/>
      <c r="D3076" s="19"/>
      <c r="E3076" s="19"/>
      <c r="F3076" s="19"/>
      <c r="G3076" s="19"/>
      <c r="H3076" s="19"/>
      <c r="I3076" s="19"/>
      <c r="J3076" s="19"/>
      <c r="K3076" s="19"/>
      <c r="L3076" s="25"/>
      <c r="M3076" s="25"/>
      <c r="N3076" s="25"/>
      <c r="O3076" s="25"/>
      <c r="P3076" s="25"/>
      <c r="Q3076" s="19"/>
      <c r="R3076" s="19"/>
      <c r="S3076" s="19"/>
      <c r="T3076" s="19"/>
      <c r="U3076" s="25"/>
      <c r="V3076" s="19"/>
      <c r="W3076" s="19"/>
      <c r="X3076" s="19"/>
      <c r="Y3076" s="19"/>
      <c r="Z3076" s="19"/>
    </row>
    <row r="3077">
      <c r="A3077" s="24"/>
      <c r="B3077" s="19"/>
      <c r="C3077" s="19"/>
      <c r="D3077" s="19"/>
      <c r="E3077" s="19"/>
      <c r="F3077" s="19"/>
      <c r="G3077" s="19"/>
      <c r="H3077" s="19"/>
      <c r="I3077" s="19"/>
      <c r="J3077" s="19"/>
      <c r="K3077" s="19"/>
      <c r="L3077" s="25"/>
      <c r="M3077" s="25"/>
      <c r="N3077" s="25"/>
      <c r="O3077" s="25"/>
      <c r="P3077" s="25"/>
      <c r="Q3077" s="19"/>
      <c r="R3077" s="19"/>
      <c r="S3077" s="19"/>
      <c r="T3077" s="19"/>
      <c r="U3077" s="25"/>
      <c r="V3077" s="19"/>
      <c r="W3077" s="19"/>
      <c r="X3077" s="19"/>
      <c r="Y3077" s="19"/>
      <c r="Z3077" s="19"/>
    </row>
    <row r="3078">
      <c r="A3078" s="24"/>
      <c r="B3078" s="19"/>
      <c r="C3078" s="19"/>
      <c r="D3078" s="19"/>
      <c r="E3078" s="19"/>
      <c r="F3078" s="19"/>
      <c r="G3078" s="19"/>
      <c r="H3078" s="19"/>
      <c r="I3078" s="19"/>
      <c r="J3078" s="19"/>
      <c r="K3078" s="19"/>
      <c r="L3078" s="25"/>
      <c r="M3078" s="25"/>
      <c r="N3078" s="25"/>
      <c r="O3078" s="25"/>
      <c r="P3078" s="25"/>
      <c r="Q3078" s="19"/>
      <c r="R3078" s="19"/>
      <c r="S3078" s="19"/>
      <c r="T3078" s="19"/>
      <c r="U3078" s="25"/>
      <c r="V3078" s="19"/>
      <c r="W3078" s="19"/>
      <c r="X3078" s="19"/>
      <c r="Y3078" s="19"/>
      <c r="Z3078" s="19"/>
    </row>
    <row r="3079">
      <c r="A3079" s="24"/>
      <c r="B3079" s="19"/>
      <c r="C3079" s="19"/>
      <c r="D3079" s="19"/>
      <c r="E3079" s="19"/>
      <c r="F3079" s="19"/>
      <c r="G3079" s="19"/>
      <c r="H3079" s="19"/>
      <c r="I3079" s="19"/>
      <c r="J3079" s="19"/>
      <c r="K3079" s="19"/>
      <c r="L3079" s="25"/>
      <c r="M3079" s="25"/>
      <c r="N3079" s="25"/>
      <c r="O3079" s="25"/>
      <c r="P3079" s="25"/>
      <c r="Q3079" s="19"/>
      <c r="R3079" s="19"/>
      <c r="S3079" s="19"/>
      <c r="T3079" s="19"/>
      <c r="U3079" s="25"/>
      <c r="V3079" s="19"/>
      <c r="W3079" s="19"/>
      <c r="X3079" s="19"/>
      <c r="Y3079" s="19"/>
      <c r="Z3079" s="19"/>
    </row>
    <row r="3080">
      <c r="A3080" s="24"/>
      <c r="B3080" s="19"/>
      <c r="C3080" s="19"/>
      <c r="D3080" s="19"/>
      <c r="E3080" s="19"/>
      <c r="F3080" s="19"/>
      <c r="G3080" s="19"/>
      <c r="H3080" s="19"/>
      <c r="I3080" s="19"/>
      <c r="J3080" s="19"/>
      <c r="K3080" s="19"/>
      <c r="L3080" s="25"/>
      <c r="M3080" s="25"/>
      <c r="N3080" s="25"/>
      <c r="O3080" s="25"/>
      <c r="P3080" s="25"/>
      <c r="Q3080" s="19"/>
      <c r="R3080" s="19"/>
      <c r="S3080" s="19"/>
      <c r="T3080" s="19"/>
      <c r="U3080" s="25"/>
      <c r="V3080" s="19"/>
      <c r="W3080" s="19"/>
      <c r="X3080" s="19"/>
      <c r="Y3080" s="19"/>
      <c r="Z3080" s="19"/>
    </row>
    <row r="3081">
      <c r="A3081" s="24"/>
      <c r="B3081" s="19"/>
      <c r="C3081" s="19"/>
      <c r="D3081" s="19"/>
      <c r="E3081" s="19"/>
      <c r="F3081" s="19"/>
      <c r="G3081" s="19"/>
      <c r="H3081" s="19"/>
      <c r="I3081" s="19"/>
      <c r="J3081" s="19"/>
      <c r="K3081" s="19"/>
      <c r="L3081" s="25"/>
      <c r="M3081" s="25"/>
      <c r="N3081" s="25"/>
      <c r="O3081" s="25"/>
      <c r="P3081" s="25"/>
      <c r="Q3081" s="19"/>
      <c r="R3081" s="19"/>
      <c r="S3081" s="19"/>
      <c r="T3081" s="19"/>
      <c r="U3081" s="25"/>
      <c r="V3081" s="19"/>
      <c r="W3081" s="19"/>
      <c r="X3081" s="19"/>
      <c r="Y3081" s="19"/>
      <c r="Z3081" s="19"/>
    </row>
    <row r="3082">
      <c r="A3082" s="24"/>
      <c r="B3082" s="19"/>
      <c r="C3082" s="19"/>
      <c r="D3082" s="19"/>
      <c r="E3082" s="19"/>
      <c r="F3082" s="19"/>
      <c r="G3082" s="19"/>
      <c r="H3082" s="19"/>
      <c r="I3082" s="19"/>
      <c r="J3082" s="19"/>
      <c r="K3082" s="19"/>
      <c r="L3082" s="25"/>
      <c r="M3082" s="25"/>
      <c r="N3082" s="25"/>
      <c r="O3082" s="25"/>
      <c r="P3082" s="25"/>
      <c r="Q3082" s="19"/>
      <c r="R3082" s="19"/>
      <c r="S3082" s="19"/>
      <c r="T3082" s="19"/>
      <c r="U3082" s="25"/>
      <c r="V3082" s="19"/>
      <c r="W3082" s="19"/>
      <c r="X3082" s="19"/>
      <c r="Y3082" s="19"/>
      <c r="Z3082" s="19"/>
    </row>
    <row r="3083">
      <c r="A3083" s="24"/>
      <c r="B3083" s="19"/>
      <c r="C3083" s="19"/>
      <c r="D3083" s="19"/>
      <c r="E3083" s="19"/>
      <c r="F3083" s="19"/>
      <c r="G3083" s="19"/>
      <c r="H3083" s="19"/>
      <c r="I3083" s="19"/>
      <c r="J3083" s="19"/>
      <c r="K3083" s="19"/>
      <c r="L3083" s="25"/>
      <c r="M3083" s="25"/>
      <c r="N3083" s="25"/>
      <c r="O3083" s="25"/>
      <c r="P3083" s="25"/>
      <c r="Q3083" s="19"/>
      <c r="R3083" s="19"/>
      <c r="S3083" s="19"/>
      <c r="T3083" s="19"/>
      <c r="U3083" s="25"/>
      <c r="V3083" s="19"/>
      <c r="W3083" s="19"/>
      <c r="X3083" s="19"/>
      <c r="Y3083" s="19"/>
      <c r="Z3083" s="19"/>
    </row>
    <row r="3084">
      <c r="A3084" s="24"/>
      <c r="B3084" s="19"/>
      <c r="C3084" s="19"/>
      <c r="D3084" s="19"/>
      <c r="E3084" s="19"/>
      <c r="F3084" s="19"/>
      <c r="G3084" s="19"/>
      <c r="H3084" s="19"/>
      <c r="I3084" s="19"/>
      <c r="J3084" s="19"/>
      <c r="K3084" s="19"/>
      <c r="L3084" s="25"/>
      <c r="M3084" s="25"/>
      <c r="N3084" s="25"/>
      <c r="O3084" s="25"/>
      <c r="P3084" s="25"/>
      <c r="Q3084" s="19"/>
      <c r="R3084" s="19"/>
      <c r="S3084" s="19"/>
      <c r="T3084" s="19"/>
      <c r="U3084" s="25"/>
      <c r="V3084" s="19"/>
      <c r="W3084" s="19"/>
      <c r="X3084" s="19"/>
      <c r="Y3084" s="19"/>
      <c r="Z3084" s="19"/>
    </row>
    <row r="3085">
      <c r="A3085" s="24"/>
      <c r="B3085" s="19"/>
      <c r="C3085" s="19"/>
      <c r="D3085" s="19"/>
      <c r="E3085" s="19"/>
      <c r="F3085" s="19"/>
      <c r="G3085" s="19"/>
      <c r="H3085" s="19"/>
      <c r="I3085" s="19"/>
      <c r="J3085" s="19"/>
      <c r="K3085" s="19"/>
      <c r="L3085" s="25"/>
      <c r="M3085" s="25"/>
      <c r="N3085" s="25"/>
      <c r="O3085" s="25"/>
      <c r="P3085" s="25"/>
      <c r="Q3085" s="19"/>
      <c r="R3085" s="19"/>
      <c r="S3085" s="19"/>
      <c r="T3085" s="19"/>
      <c r="U3085" s="25"/>
      <c r="V3085" s="19"/>
      <c r="W3085" s="19"/>
      <c r="X3085" s="19"/>
      <c r="Y3085" s="19"/>
      <c r="Z3085" s="19"/>
    </row>
    <row r="3086">
      <c r="A3086" s="24"/>
      <c r="B3086" s="19"/>
      <c r="C3086" s="19"/>
      <c r="D3086" s="19"/>
      <c r="E3086" s="19"/>
      <c r="F3086" s="19"/>
      <c r="G3086" s="19"/>
      <c r="H3086" s="19"/>
      <c r="I3086" s="19"/>
      <c r="J3086" s="19"/>
      <c r="K3086" s="19"/>
      <c r="L3086" s="25"/>
      <c r="M3086" s="25"/>
      <c r="N3086" s="25"/>
      <c r="O3086" s="25"/>
      <c r="P3086" s="25"/>
      <c r="Q3086" s="19"/>
      <c r="R3086" s="19"/>
      <c r="S3086" s="19"/>
      <c r="T3086" s="19"/>
      <c r="U3086" s="25"/>
      <c r="V3086" s="19"/>
      <c r="W3086" s="19"/>
      <c r="X3086" s="19"/>
      <c r="Y3086" s="19"/>
      <c r="Z3086" s="19"/>
    </row>
    <row r="3087">
      <c r="A3087" s="24"/>
      <c r="B3087" s="19"/>
      <c r="C3087" s="19"/>
      <c r="D3087" s="19"/>
      <c r="E3087" s="19"/>
      <c r="F3087" s="19"/>
      <c r="G3087" s="19"/>
      <c r="H3087" s="19"/>
      <c r="I3087" s="19"/>
      <c r="J3087" s="19"/>
      <c r="K3087" s="19"/>
      <c r="L3087" s="25"/>
      <c r="M3087" s="25"/>
      <c r="N3087" s="25"/>
      <c r="O3087" s="25"/>
      <c r="P3087" s="25"/>
      <c r="Q3087" s="19"/>
      <c r="R3087" s="19"/>
      <c r="S3087" s="19"/>
      <c r="T3087" s="19"/>
      <c r="U3087" s="25"/>
      <c r="V3087" s="19"/>
      <c r="W3087" s="19"/>
      <c r="X3087" s="19"/>
      <c r="Y3087" s="19"/>
      <c r="Z3087" s="19"/>
    </row>
    <row r="3088">
      <c r="A3088" s="24"/>
      <c r="B3088" s="19"/>
      <c r="C3088" s="19"/>
      <c r="D3088" s="19"/>
      <c r="E3088" s="19"/>
      <c r="F3088" s="19"/>
      <c r="G3088" s="19"/>
      <c r="H3088" s="19"/>
      <c r="I3088" s="19"/>
      <c r="J3088" s="19"/>
      <c r="K3088" s="19"/>
      <c r="L3088" s="25"/>
      <c r="M3088" s="25"/>
      <c r="N3088" s="25"/>
      <c r="O3088" s="25"/>
      <c r="P3088" s="25"/>
      <c r="Q3088" s="19"/>
      <c r="R3088" s="19"/>
      <c r="S3088" s="19"/>
      <c r="T3088" s="19"/>
      <c r="U3088" s="25"/>
      <c r="V3088" s="19"/>
      <c r="W3088" s="19"/>
      <c r="X3088" s="19"/>
      <c r="Y3088" s="19"/>
      <c r="Z3088" s="19"/>
    </row>
    <row r="3089">
      <c r="A3089" s="24"/>
      <c r="B3089" s="19"/>
      <c r="C3089" s="19"/>
      <c r="D3089" s="19"/>
      <c r="E3089" s="19"/>
      <c r="F3089" s="19"/>
      <c r="G3089" s="19"/>
      <c r="H3089" s="19"/>
      <c r="I3089" s="19"/>
      <c r="J3089" s="19"/>
      <c r="K3089" s="19"/>
      <c r="L3089" s="25"/>
      <c r="M3089" s="25"/>
      <c r="N3089" s="25"/>
      <c r="O3089" s="25"/>
      <c r="P3089" s="25"/>
      <c r="Q3089" s="19"/>
      <c r="R3089" s="19"/>
      <c r="S3089" s="19"/>
      <c r="T3089" s="19"/>
      <c r="U3089" s="25"/>
      <c r="V3089" s="19"/>
      <c r="W3089" s="19"/>
      <c r="X3089" s="19"/>
      <c r="Y3089" s="19"/>
      <c r="Z3089" s="19"/>
    </row>
    <row r="3090">
      <c r="A3090" s="24"/>
      <c r="B3090" s="19"/>
      <c r="C3090" s="19"/>
      <c r="D3090" s="19"/>
      <c r="E3090" s="19"/>
      <c r="F3090" s="19"/>
      <c r="G3090" s="19"/>
      <c r="H3090" s="19"/>
      <c r="I3090" s="19"/>
      <c r="J3090" s="19"/>
      <c r="K3090" s="19"/>
      <c r="L3090" s="25"/>
      <c r="M3090" s="25"/>
      <c r="N3090" s="25"/>
      <c r="O3090" s="25"/>
      <c r="P3090" s="25"/>
      <c r="Q3090" s="19"/>
      <c r="R3090" s="19"/>
      <c r="S3090" s="19"/>
      <c r="T3090" s="19"/>
      <c r="U3090" s="25"/>
      <c r="V3090" s="19"/>
      <c r="W3090" s="19"/>
      <c r="X3090" s="19"/>
      <c r="Y3090" s="19"/>
      <c r="Z3090" s="19"/>
    </row>
    <row r="3091">
      <c r="A3091" s="24"/>
      <c r="B3091" s="19"/>
      <c r="C3091" s="19"/>
      <c r="D3091" s="19"/>
      <c r="E3091" s="19"/>
      <c r="F3091" s="19"/>
      <c r="G3091" s="19"/>
      <c r="H3091" s="19"/>
      <c r="I3091" s="19"/>
      <c r="J3091" s="19"/>
      <c r="K3091" s="19"/>
      <c r="L3091" s="25"/>
      <c r="M3091" s="25"/>
      <c r="N3091" s="25"/>
      <c r="O3091" s="25"/>
      <c r="P3091" s="25"/>
      <c r="Q3091" s="19"/>
      <c r="R3091" s="19"/>
      <c r="S3091" s="19"/>
      <c r="T3091" s="19"/>
      <c r="U3091" s="25"/>
      <c r="V3091" s="19"/>
      <c r="W3091" s="19"/>
      <c r="X3091" s="19"/>
      <c r="Y3091" s="19"/>
      <c r="Z3091" s="19"/>
    </row>
    <row r="3092">
      <c r="A3092" s="24"/>
      <c r="B3092" s="19"/>
      <c r="C3092" s="19"/>
      <c r="D3092" s="19"/>
      <c r="E3092" s="19"/>
      <c r="F3092" s="19"/>
      <c r="G3092" s="19"/>
      <c r="H3092" s="19"/>
      <c r="I3092" s="19"/>
      <c r="J3092" s="19"/>
      <c r="K3092" s="19"/>
      <c r="L3092" s="25"/>
      <c r="M3092" s="25"/>
      <c r="N3092" s="25"/>
      <c r="O3092" s="25"/>
      <c r="P3092" s="25"/>
      <c r="Q3092" s="19"/>
      <c r="R3092" s="19"/>
      <c r="S3092" s="19"/>
      <c r="T3092" s="19"/>
      <c r="U3092" s="25"/>
      <c r="V3092" s="19"/>
      <c r="W3092" s="19"/>
      <c r="X3092" s="19"/>
      <c r="Y3092" s="19"/>
      <c r="Z3092" s="19"/>
    </row>
    <row r="3093">
      <c r="A3093" s="24"/>
      <c r="B3093" s="19"/>
      <c r="C3093" s="19"/>
      <c r="D3093" s="19"/>
      <c r="E3093" s="19"/>
      <c r="F3093" s="19"/>
      <c r="G3093" s="19"/>
      <c r="H3093" s="19"/>
      <c r="I3093" s="19"/>
      <c r="J3093" s="19"/>
      <c r="K3093" s="19"/>
      <c r="L3093" s="25"/>
      <c r="M3093" s="25"/>
      <c r="N3093" s="25"/>
      <c r="O3093" s="25"/>
      <c r="P3093" s="25"/>
      <c r="Q3093" s="19"/>
      <c r="R3093" s="19"/>
      <c r="S3093" s="19"/>
      <c r="T3093" s="19"/>
      <c r="U3093" s="25"/>
      <c r="V3093" s="19"/>
      <c r="W3093" s="19"/>
      <c r="X3093" s="19"/>
      <c r="Y3093" s="19"/>
      <c r="Z3093" s="19"/>
    </row>
    <row r="3094">
      <c r="A3094" s="24"/>
      <c r="B3094" s="19"/>
      <c r="C3094" s="19"/>
      <c r="D3094" s="19"/>
      <c r="E3094" s="19"/>
      <c r="F3094" s="19"/>
      <c r="G3094" s="19"/>
      <c r="H3094" s="19"/>
      <c r="I3094" s="19"/>
      <c r="J3094" s="19"/>
      <c r="K3094" s="19"/>
      <c r="L3094" s="25"/>
      <c r="M3094" s="25"/>
      <c r="N3094" s="25"/>
      <c r="O3094" s="25"/>
      <c r="P3094" s="25"/>
      <c r="Q3094" s="19"/>
      <c r="R3094" s="19"/>
      <c r="S3094" s="19"/>
      <c r="T3094" s="19"/>
      <c r="U3094" s="25"/>
      <c r="V3094" s="19"/>
      <c r="W3094" s="19"/>
      <c r="X3094" s="19"/>
      <c r="Y3094" s="19"/>
      <c r="Z3094" s="19"/>
    </row>
    <row r="3095">
      <c r="A3095" s="24"/>
      <c r="B3095" s="19"/>
      <c r="C3095" s="19"/>
      <c r="D3095" s="19"/>
      <c r="E3095" s="19"/>
      <c r="F3095" s="19"/>
      <c r="G3095" s="19"/>
      <c r="H3095" s="19"/>
      <c r="I3095" s="19"/>
      <c r="J3095" s="19"/>
      <c r="K3095" s="19"/>
      <c r="L3095" s="25"/>
      <c r="M3095" s="25"/>
      <c r="N3095" s="25"/>
      <c r="O3095" s="25"/>
      <c r="P3095" s="25"/>
      <c r="Q3095" s="19"/>
      <c r="R3095" s="19"/>
      <c r="S3095" s="19"/>
      <c r="T3095" s="19"/>
      <c r="U3095" s="25"/>
      <c r="V3095" s="19"/>
      <c r="W3095" s="19"/>
      <c r="X3095" s="19"/>
      <c r="Y3095" s="19"/>
      <c r="Z3095" s="19"/>
    </row>
    <row r="3096">
      <c r="A3096" s="24"/>
      <c r="B3096" s="19"/>
      <c r="C3096" s="19"/>
      <c r="D3096" s="19"/>
      <c r="E3096" s="19"/>
      <c r="F3096" s="19"/>
      <c r="G3096" s="19"/>
      <c r="H3096" s="19"/>
      <c r="I3096" s="19"/>
      <c r="J3096" s="19"/>
      <c r="K3096" s="19"/>
      <c r="L3096" s="25"/>
      <c r="M3096" s="25"/>
      <c r="N3096" s="25"/>
      <c r="O3096" s="25"/>
      <c r="P3096" s="25"/>
      <c r="Q3096" s="19"/>
      <c r="R3096" s="19"/>
      <c r="S3096" s="19"/>
      <c r="T3096" s="19"/>
      <c r="U3096" s="25"/>
      <c r="V3096" s="19"/>
      <c r="W3096" s="19"/>
      <c r="X3096" s="19"/>
      <c r="Y3096" s="19"/>
      <c r="Z3096" s="19"/>
    </row>
    <row r="3097">
      <c r="A3097" s="24"/>
      <c r="B3097" s="19"/>
      <c r="C3097" s="19"/>
      <c r="D3097" s="19"/>
      <c r="E3097" s="19"/>
      <c r="F3097" s="19"/>
      <c r="G3097" s="19"/>
      <c r="H3097" s="19"/>
      <c r="I3097" s="19"/>
      <c r="J3097" s="19"/>
      <c r="K3097" s="19"/>
      <c r="L3097" s="25"/>
      <c r="M3097" s="25"/>
      <c r="N3097" s="25"/>
      <c r="O3097" s="25"/>
      <c r="P3097" s="25"/>
      <c r="Q3097" s="19"/>
      <c r="R3097" s="19"/>
      <c r="S3097" s="19"/>
      <c r="T3097" s="19"/>
      <c r="U3097" s="25"/>
      <c r="V3097" s="19"/>
      <c r="W3097" s="19"/>
      <c r="X3097" s="19"/>
      <c r="Y3097" s="19"/>
      <c r="Z3097" s="19"/>
    </row>
    <row r="3098">
      <c r="A3098" s="24"/>
      <c r="B3098" s="19"/>
      <c r="C3098" s="19"/>
      <c r="D3098" s="19"/>
      <c r="E3098" s="19"/>
      <c r="F3098" s="19"/>
      <c r="G3098" s="19"/>
      <c r="H3098" s="19"/>
      <c r="I3098" s="19"/>
      <c r="J3098" s="19"/>
      <c r="K3098" s="19"/>
      <c r="L3098" s="25"/>
      <c r="M3098" s="25"/>
      <c r="N3098" s="25"/>
      <c r="O3098" s="25"/>
      <c r="P3098" s="25"/>
      <c r="Q3098" s="19"/>
      <c r="R3098" s="19"/>
      <c r="S3098" s="19"/>
      <c r="T3098" s="19"/>
      <c r="U3098" s="25"/>
      <c r="V3098" s="19"/>
      <c r="W3098" s="19"/>
      <c r="X3098" s="19"/>
      <c r="Y3098" s="19"/>
      <c r="Z3098" s="19"/>
    </row>
    <row r="3099">
      <c r="A3099" s="24"/>
      <c r="B3099" s="19"/>
      <c r="C3099" s="19"/>
      <c r="D3099" s="19"/>
      <c r="E3099" s="19"/>
      <c r="F3099" s="19"/>
      <c r="G3099" s="19"/>
      <c r="H3099" s="19"/>
      <c r="I3099" s="19"/>
      <c r="J3099" s="19"/>
      <c r="K3099" s="19"/>
      <c r="L3099" s="25"/>
      <c r="M3099" s="25"/>
      <c r="N3099" s="25"/>
      <c r="O3099" s="25"/>
      <c r="P3099" s="25"/>
      <c r="Q3099" s="19"/>
      <c r="R3099" s="19"/>
      <c r="S3099" s="19"/>
      <c r="T3099" s="19"/>
      <c r="U3099" s="25"/>
      <c r="V3099" s="19"/>
      <c r="W3099" s="19"/>
      <c r="X3099" s="19"/>
      <c r="Y3099" s="19"/>
      <c r="Z3099" s="19"/>
    </row>
    <row r="3100">
      <c r="A3100" s="24"/>
      <c r="B3100" s="19"/>
      <c r="C3100" s="19"/>
      <c r="D3100" s="19"/>
      <c r="E3100" s="19"/>
      <c r="F3100" s="19"/>
      <c r="G3100" s="19"/>
      <c r="H3100" s="19"/>
      <c r="I3100" s="19"/>
      <c r="J3100" s="19"/>
      <c r="K3100" s="19"/>
      <c r="L3100" s="25"/>
      <c r="M3100" s="25"/>
      <c r="N3100" s="25"/>
      <c r="O3100" s="25"/>
      <c r="P3100" s="25"/>
      <c r="Q3100" s="19"/>
      <c r="R3100" s="19"/>
      <c r="S3100" s="19"/>
      <c r="T3100" s="19"/>
      <c r="U3100" s="25"/>
      <c r="V3100" s="19"/>
      <c r="W3100" s="19"/>
      <c r="X3100" s="19"/>
      <c r="Y3100" s="19"/>
      <c r="Z3100" s="19"/>
    </row>
    <row r="3101">
      <c r="A3101" s="24"/>
      <c r="B3101" s="19"/>
      <c r="C3101" s="19"/>
      <c r="D3101" s="19"/>
      <c r="E3101" s="19"/>
      <c r="F3101" s="19"/>
      <c r="G3101" s="19"/>
      <c r="H3101" s="19"/>
      <c r="I3101" s="19"/>
      <c r="J3101" s="19"/>
      <c r="K3101" s="19"/>
      <c r="L3101" s="25"/>
      <c r="M3101" s="25"/>
      <c r="N3101" s="25"/>
      <c r="O3101" s="25"/>
      <c r="P3101" s="25"/>
      <c r="Q3101" s="19"/>
      <c r="R3101" s="19"/>
      <c r="S3101" s="19"/>
      <c r="T3101" s="19"/>
      <c r="U3101" s="25"/>
      <c r="V3101" s="19"/>
      <c r="W3101" s="19"/>
      <c r="X3101" s="19"/>
      <c r="Y3101" s="19"/>
      <c r="Z3101" s="19"/>
    </row>
    <row r="3102">
      <c r="A3102" s="24"/>
      <c r="B3102" s="19"/>
      <c r="C3102" s="19"/>
      <c r="D3102" s="19"/>
      <c r="E3102" s="19"/>
      <c r="F3102" s="19"/>
      <c r="G3102" s="19"/>
      <c r="H3102" s="19"/>
      <c r="I3102" s="19"/>
      <c r="J3102" s="19"/>
      <c r="K3102" s="19"/>
      <c r="L3102" s="25"/>
      <c r="M3102" s="25"/>
      <c r="N3102" s="25"/>
      <c r="O3102" s="25"/>
      <c r="P3102" s="25"/>
      <c r="Q3102" s="19"/>
      <c r="R3102" s="19"/>
      <c r="S3102" s="19"/>
      <c r="T3102" s="19"/>
      <c r="U3102" s="25"/>
      <c r="V3102" s="19"/>
      <c r="W3102" s="19"/>
      <c r="X3102" s="19"/>
      <c r="Y3102" s="19"/>
      <c r="Z3102" s="19"/>
    </row>
    <row r="3103">
      <c r="A3103" s="24"/>
      <c r="B3103" s="19"/>
      <c r="C3103" s="19"/>
      <c r="D3103" s="19"/>
      <c r="E3103" s="19"/>
      <c r="F3103" s="19"/>
      <c r="G3103" s="19"/>
      <c r="H3103" s="19"/>
      <c r="I3103" s="19"/>
      <c r="J3103" s="19"/>
      <c r="K3103" s="19"/>
      <c r="L3103" s="25"/>
      <c r="M3103" s="25"/>
      <c r="N3103" s="25"/>
      <c r="O3103" s="25"/>
      <c r="P3103" s="25"/>
      <c r="Q3103" s="19"/>
      <c r="R3103" s="19"/>
      <c r="S3103" s="19"/>
      <c r="T3103" s="19"/>
      <c r="U3103" s="25"/>
      <c r="V3103" s="19"/>
      <c r="W3103" s="19"/>
      <c r="X3103" s="19"/>
      <c r="Y3103" s="19"/>
      <c r="Z3103" s="19"/>
    </row>
    <row r="3104">
      <c r="A3104" s="24"/>
      <c r="B3104" s="19"/>
      <c r="C3104" s="19"/>
      <c r="D3104" s="19"/>
      <c r="E3104" s="19"/>
      <c r="F3104" s="19"/>
      <c r="G3104" s="19"/>
      <c r="H3104" s="19"/>
      <c r="I3104" s="19"/>
      <c r="J3104" s="19"/>
      <c r="K3104" s="19"/>
      <c r="L3104" s="25"/>
      <c r="M3104" s="25"/>
      <c r="N3104" s="25"/>
      <c r="O3104" s="25"/>
      <c r="P3104" s="25"/>
      <c r="Q3104" s="19"/>
      <c r="R3104" s="19"/>
      <c r="S3104" s="19"/>
      <c r="T3104" s="19"/>
      <c r="U3104" s="25"/>
      <c r="V3104" s="19"/>
      <c r="W3104" s="19"/>
      <c r="X3104" s="19"/>
      <c r="Y3104" s="19"/>
      <c r="Z3104" s="19"/>
    </row>
    <row r="3105">
      <c r="A3105" s="24"/>
      <c r="B3105" s="19"/>
      <c r="C3105" s="19"/>
      <c r="D3105" s="19"/>
      <c r="E3105" s="19"/>
      <c r="F3105" s="19"/>
      <c r="G3105" s="19"/>
      <c r="H3105" s="19"/>
      <c r="I3105" s="19"/>
      <c r="J3105" s="19"/>
      <c r="K3105" s="19"/>
      <c r="L3105" s="25"/>
      <c r="M3105" s="25"/>
      <c r="N3105" s="25"/>
      <c r="O3105" s="25"/>
      <c r="P3105" s="25"/>
      <c r="Q3105" s="19"/>
      <c r="R3105" s="19"/>
      <c r="S3105" s="19"/>
      <c r="T3105" s="19"/>
      <c r="U3105" s="25"/>
      <c r="V3105" s="19"/>
      <c r="W3105" s="19"/>
      <c r="X3105" s="19"/>
      <c r="Y3105" s="19"/>
      <c r="Z3105" s="19"/>
    </row>
    <row r="3106">
      <c r="A3106" s="24"/>
      <c r="B3106" s="19"/>
      <c r="C3106" s="19"/>
      <c r="D3106" s="19"/>
      <c r="E3106" s="19"/>
      <c r="F3106" s="19"/>
      <c r="G3106" s="19"/>
      <c r="H3106" s="19"/>
      <c r="I3106" s="19"/>
      <c r="J3106" s="19"/>
      <c r="K3106" s="19"/>
      <c r="L3106" s="25"/>
      <c r="M3106" s="25"/>
      <c r="N3106" s="25"/>
      <c r="O3106" s="25"/>
      <c r="P3106" s="25"/>
      <c r="Q3106" s="19"/>
      <c r="R3106" s="19"/>
      <c r="S3106" s="19"/>
      <c r="T3106" s="19"/>
      <c r="U3106" s="25"/>
      <c r="V3106" s="19"/>
      <c r="W3106" s="19"/>
      <c r="X3106" s="19"/>
      <c r="Y3106" s="19"/>
      <c r="Z3106" s="19"/>
    </row>
    <row r="3107">
      <c r="A3107" s="24"/>
      <c r="B3107" s="19"/>
      <c r="C3107" s="19"/>
      <c r="D3107" s="19"/>
      <c r="E3107" s="19"/>
      <c r="F3107" s="19"/>
      <c r="G3107" s="19"/>
      <c r="H3107" s="19"/>
      <c r="I3107" s="19"/>
      <c r="J3107" s="19"/>
      <c r="K3107" s="19"/>
      <c r="L3107" s="25"/>
      <c r="M3107" s="25"/>
      <c r="N3107" s="25"/>
      <c r="O3107" s="25"/>
      <c r="P3107" s="25"/>
      <c r="Q3107" s="19"/>
      <c r="R3107" s="19"/>
      <c r="S3107" s="19"/>
      <c r="T3107" s="19"/>
      <c r="U3107" s="25"/>
      <c r="V3107" s="19"/>
      <c r="W3107" s="19"/>
      <c r="X3107" s="19"/>
      <c r="Y3107" s="19"/>
      <c r="Z3107" s="19"/>
    </row>
    <row r="3108">
      <c r="A3108" s="24"/>
      <c r="B3108" s="19"/>
      <c r="C3108" s="19"/>
      <c r="D3108" s="19"/>
      <c r="E3108" s="19"/>
      <c r="F3108" s="19"/>
      <c r="G3108" s="19"/>
      <c r="H3108" s="19"/>
      <c r="I3108" s="19"/>
      <c r="J3108" s="19"/>
      <c r="K3108" s="19"/>
      <c r="L3108" s="25"/>
      <c r="M3108" s="25"/>
      <c r="N3108" s="25"/>
      <c r="O3108" s="25"/>
      <c r="P3108" s="25"/>
      <c r="Q3108" s="19"/>
      <c r="R3108" s="19"/>
      <c r="S3108" s="19"/>
      <c r="T3108" s="19"/>
      <c r="U3108" s="25"/>
      <c r="V3108" s="19"/>
      <c r="W3108" s="19"/>
      <c r="X3108" s="19"/>
      <c r="Y3108" s="19"/>
      <c r="Z3108" s="19"/>
    </row>
    <row r="3109">
      <c r="A3109" s="24"/>
      <c r="B3109" s="19"/>
      <c r="C3109" s="19"/>
      <c r="D3109" s="19"/>
      <c r="E3109" s="19"/>
      <c r="F3109" s="19"/>
      <c r="G3109" s="19"/>
      <c r="H3109" s="19"/>
      <c r="I3109" s="19"/>
      <c r="J3109" s="19"/>
      <c r="K3109" s="19"/>
      <c r="L3109" s="25"/>
      <c r="M3109" s="25"/>
      <c r="N3109" s="25"/>
      <c r="O3109" s="25"/>
      <c r="P3109" s="25"/>
      <c r="Q3109" s="19"/>
      <c r="R3109" s="19"/>
      <c r="S3109" s="19"/>
      <c r="T3109" s="19"/>
      <c r="U3109" s="25"/>
      <c r="V3109" s="19"/>
      <c r="W3109" s="19"/>
      <c r="X3109" s="19"/>
      <c r="Y3109" s="19"/>
      <c r="Z3109" s="19"/>
    </row>
    <row r="3110">
      <c r="A3110" s="24"/>
      <c r="B3110" s="19"/>
      <c r="C3110" s="19"/>
      <c r="D3110" s="19"/>
      <c r="E3110" s="19"/>
      <c r="F3110" s="19"/>
      <c r="G3110" s="19"/>
      <c r="H3110" s="19"/>
      <c r="I3110" s="19"/>
      <c r="J3110" s="19"/>
      <c r="K3110" s="19"/>
      <c r="L3110" s="25"/>
      <c r="M3110" s="25"/>
      <c r="N3110" s="25"/>
      <c r="O3110" s="25"/>
      <c r="P3110" s="25"/>
      <c r="Q3110" s="19"/>
      <c r="R3110" s="19"/>
      <c r="S3110" s="19"/>
      <c r="T3110" s="19"/>
      <c r="U3110" s="25"/>
      <c r="V3110" s="19"/>
      <c r="W3110" s="19"/>
      <c r="X3110" s="19"/>
      <c r="Y3110" s="19"/>
      <c r="Z3110" s="19"/>
    </row>
    <row r="3111">
      <c r="A3111" s="24"/>
      <c r="B3111" s="19"/>
      <c r="C3111" s="19"/>
      <c r="D3111" s="19"/>
      <c r="E3111" s="19"/>
      <c r="F3111" s="19"/>
      <c r="G3111" s="19"/>
      <c r="H3111" s="19"/>
      <c r="I3111" s="19"/>
      <c r="J3111" s="19"/>
      <c r="K3111" s="19"/>
      <c r="L3111" s="25"/>
      <c r="M3111" s="25"/>
      <c r="N3111" s="25"/>
      <c r="O3111" s="25"/>
      <c r="P3111" s="25"/>
      <c r="Q3111" s="19"/>
      <c r="R3111" s="19"/>
      <c r="S3111" s="19"/>
      <c r="T3111" s="19"/>
      <c r="U3111" s="25"/>
      <c r="V3111" s="19"/>
      <c r="W3111" s="19"/>
      <c r="X3111" s="19"/>
      <c r="Y3111" s="19"/>
      <c r="Z3111" s="19"/>
    </row>
    <row r="3112">
      <c r="A3112" s="24"/>
      <c r="B3112" s="19"/>
      <c r="C3112" s="19"/>
      <c r="D3112" s="19"/>
      <c r="E3112" s="19"/>
      <c r="F3112" s="19"/>
      <c r="G3112" s="19"/>
      <c r="H3112" s="19"/>
      <c r="I3112" s="19"/>
      <c r="J3112" s="19"/>
      <c r="K3112" s="19"/>
      <c r="L3112" s="25"/>
      <c r="M3112" s="25"/>
      <c r="N3112" s="25"/>
      <c r="O3112" s="25"/>
      <c r="P3112" s="25"/>
      <c r="Q3112" s="19"/>
      <c r="R3112" s="19"/>
      <c r="S3112" s="19"/>
      <c r="T3112" s="19"/>
      <c r="U3112" s="25"/>
      <c r="V3112" s="19"/>
      <c r="W3112" s="19"/>
      <c r="X3112" s="19"/>
      <c r="Y3112" s="19"/>
      <c r="Z3112" s="19"/>
    </row>
    <row r="3113">
      <c r="A3113" s="24"/>
      <c r="B3113" s="19"/>
      <c r="C3113" s="19"/>
      <c r="D3113" s="19"/>
      <c r="E3113" s="19"/>
      <c r="F3113" s="19"/>
      <c r="G3113" s="19"/>
      <c r="H3113" s="19"/>
      <c r="I3113" s="19"/>
      <c r="J3113" s="19"/>
      <c r="K3113" s="19"/>
      <c r="L3113" s="25"/>
      <c r="M3113" s="25"/>
      <c r="N3113" s="25"/>
      <c r="O3113" s="25"/>
      <c r="P3113" s="25"/>
      <c r="Q3113" s="19"/>
      <c r="R3113" s="19"/>
      <c r="S3113" s="19"/>
      <c r="T3113" s="19"/>
      <c r="U3113" s="25"/>
      <c r="V3113" s="19"/>
      <c r="W3113" s="19"/>
      <c r="X3113" s="19"/>
      <c r="Y3113" s="19"/>
      <c r="Z3113" s="19"/>
    </row>
    <row r="3114">
      <c r="A3114" s="24"/>
      <c r="B3114" s="19"/>
      <c r="C3114" s="19"/>
      <c r="D3114" s="19"/>
      <c r="E3114" s="19"/>
      <c r="F3114" s="19"/>
      <c r="G3114" s="19"/>
      <c r="H3114" s="19"/>
      <c r="I3114" s="19"/>
      <c r="J3114" s="19"/>
      <c r="K3114" s="19"/>
      <c r="L3114" s="25"/>
      <c r="M3114" s="25"/>
      <c r="N3114" s="25"/>
      <c r="O3114" s="25"/>
      <c r="P3114" s="25"/>
      <c r="Q3114" s="19"/>
      <c r="R3114" s="19"/>
      <c r="S3114" s="19"/>
      <c r="T3114" s="19"/>
      <c r="U3114" s="25"/>
      <c r="V3114" s="19"/>
      <c r="W3114" s="19"/>
      <c r="X3114" s="19"/>
      <c r="Y3114" s="19"/>
      <c r="Z3114" s="19"/>
    </row>
    <row r="3115">
      <c r="A3115" s="24"/>
      <c r="B3115" s="19"/>
      <c r="C3115" s="19"/>
      <c r="D3115" s="19"/>
      <c r="E3115" s="19"/>
      <c r="F3115" s="19"/>
      <c r="G3115" s="19"/>
      <c r="H3115" s="19"/>
      <c r="I3115" s="19"/>
      <c r="J3115" s="19"/>
      <c r="K3115" s="19"/>
      <c r="L3115" s="25"/>
      <c r="M3115" s="25"/>
      <c r="N3115" s="25"/>
      <c r="O3115" s="25"/>
      <c r="P3115" s="25"/>
      <c r="Q3115" s="19"/>
      <c r="R3115" s="19"/>
      <c r="S3115" s="19"/>
      <c r="T3115" s="19"/>
      <c r="U3115" s="25"/>
      <c r="V3115" s="19"/>
      <c r="W3115" s="19"/>
      <c r="X3115" s="19"/>
      <c r="Y3115" s="19"/>
      <c r="Z3115" s="19"/>
    </row>
    <row r="3116">
      <c r="A3116" s="24"/>
      <c r="B3116" s="19"/>
      <c r="C3116" s="19"/>
      <c r="D3116" s="19"/>
      <c r="E3116" s="19"/>
      <c r="F3116" s="19"/>
      <c r="G3116" s="19"/>
      <c r="H3116" s="19"/>
      <c r="I3116" s="19"/>
      <c r="J3116" s="19"/>
      <c r="K3116" s="19"/>
      <c r="L3116" s="25"/>
      <c r="M3116" s="25"/>
      <c r="N3116" s="25"/>
      <c r="O3116" s="25"/>
      <c r="P3116" s="25"/>
      <c r="Q3116" s="19"/>
      <c r="R3116" s="19"/>
      <c r="S3116" s="19"/>
      <c r="T3116" s="19"/>
      <c r="U3116" s="25"/>
      <c r="V3116" s="19"/>
      <c r="W3116" s="19"/>
      <c r="X3116" s="19"/>
      <c r="Y3116" s="19"/>
      <c r="Z3116" s="19"/>
    </row>
    <row r="3117">
      <c r="A3117" s="24"/>
      <c r="B3117" s="19"/>
      <c r="C3117" s="19"/>
      <c r="D3117" s="19"/>
      <c r="E3117" s="19"/>
      <c r="F3117" s="19"/>
      <c r="G3117" s="19"/>
      <c r="H3117" s="19"/>
      <c r="I3117" s="19"/>
      <c r="J3117" s="19"/>
      <c r="K3117" s="19"/>
      <c r="L3117" s="25"/>
      <c r="M3117" s="25"/>
      <c r="N3117" s="25"/>
      <c r="O3117" s="25"/>
      <c r="P3117" s="25"/>
      <c r="Q3117" s="19"/>
      <c r="R3117" s="19"/>
      <c r="S3117" s="19"/>
      <c r="T3117" s="19"/>
      <c r="U3117" s="25"/>
      <c r="V3117" s="19"/>
      <c r="W3117" s="19"/>
      <c r="X3117" s="19"/>
      <c r="Y3117" s="19"/>
      <c r="Z3117" s="19"/>
    </row>
    <row r="3118">
      <c r="A3118" s="24"/>
      <c r="B3118" s="19"/>
      <c r="C3118" s="19"/>
      <c r="D3118" s="19"/>
      <c r="E3118" s="19"/>
      <c r="F3118" s="19"/>
      <c r="G3118" s="19"/>
      <c r="H3118" s="19"/>
      <c r="I3118" s="19"/>
      <c r="J3118" s="19"/>
      <c r="K3118" s="19"/>
      <c r="L3118" s="25"/>
      <c r="M3118" s="25"/>
      <c r="N3118" s="25"/>
      <c r="O3118" s="25"/>
      <c r="P3118" s="25"/>
      <c r="Q3118" s="19"/>
      <c r="R3118" s="19"/>
      <c r="S3118" s="19"/>
      <c r="T3118" s="19"/>
      <c r="U3118" s="25"/>
      <c r="V3118" s="19"/>
      <c r="W3118" s="19"/>
      <c r="X3118" s="19"/>
      <c r="Y3118" s="19"/>
      <c r="Z3118" s="19"/>
    </row>
    <row r="3119">
      <c r="A3119" s="24"/>
      <c r="B3119" s="19"/>
      <c r="C3119" s="19"/>
      <c r="D3119" s="19"/>
      <c r="E3119" s="19"/>
      <c r="F3119" s="19"/>
      <c r="G3119" s="19"/>
      <c r="H3119" s="19"/>
      <c r="I3119" s="19"/>
      <c r="J3119" s="19"/>
      <c r="K3119" s="19"/>
      <c r="L3119" s="25"/>
      <c r="M3119" s="25"/>
      <c r="N3119" s="25"/>
      <c r="O3119" s="25"/>
      <c r="P3119" s="25"/>
      <c r="Q3119" s="19"/>
      <c r="R3119" s="19"/>
      <c r="S3119" s="19"/>
      <c r="T3119" s="19"/>
      <c r="U3119" s="25"/>
      <c r="V3119" s="19"/>
      <c r="W3119" s="19"/>
      <c r="X3119" s="19"/>
      <c r="Y3119" s="19"/>
      <c r="Z3119" s="19"/>
    </row>
    <row r="3120">
      <c r="A3120" s="24"/>
      <c r="B3120" s="19"/>
      <c r="C3120" s="19"/>
      <c r="D3120" s="19"/>
      <c r="E3120" s="19"/>
      <c r="F3120" s="19"/>
      <c r="G3120" s="19"/>
      <c r="H3120" s="19"/>
      <c r="I3120" s="19"/>
      <c r="J3120" s="19"/>
      <c r="K3120" s="19"/>
      <c r="L3120" s="25"/>
      <c r="M3120" s="25"/>
      <c r="N3120" s="25"/>
      <c r="O3120" s="25"/>
      <c r="P3120" s="25"/>
      <c r="Q3120" s="19"/>
      <c r="R3120" s="19"/>
      <c r="S3120" s="19"/>
      <c r="T3120" s="19"/>
      <c r="U3120" s="25"/>
      <c r="V3120" s="19"/>
      <c r="W3120" s="19"/>
      <c r="X3120" s="19"/>
      <c r="Y3120" s="19"/>
      <c r="Z3120" s="19"/>
    </row>
    <row r="3121">
      <c r="A3121" s="24"/>
      <c r="B3121" s="19"/>
      <c r="C3121" s="19"/>
      <c r="D3121" s="19"/>
      <c r="E3121" s="19"/>
      <c r="F3121" s="19"/>
      <c r="G3121" s="19"/>
      <c r="H3121" s="19"/>
      <c r="I3121" s="19"/>
      <c r="J3121" s="19"/>
      <c r="K3121" s="19"/>
      <c r="L3121" s="25"/>
      <c r="M3121" s="25"/>
      <c r="N3121" s="25"/>
      <c r="O3121" s="25"/>
      <c r="P3121" s="25"/>
      <c r="Q3121" s="19"/>
      <c r="R3121" s="19"/>
      <c r="S3121" s="19"/>
      <c r="T3121" s="19"/>
      <c r="U3121" s="25"/>
      <c r="V3121" s="19"/>
      <c r="W3121" s="19"/>
      <c r="X3121" s="19"/>
      <c r="Y3121" s="19"/>
      <c r="Z3121" s="19"/>
    </row>
    <row r="3122">
      <c r="A3122" s="24"/>
      <c r="B3122" s="19"/>
      <c r="C3122" s="19"/>
      <c r="D3122" s="19"/>
      <c r="E3122" s="19"/>
      <c r="F3122" s="19"/>
      <c r="G3122" s="19"/>
      <c r="H3122" s="19"/>
      <c r="I3122" s="19"/>
      <c r="J3122" s="19"/>
      <c r="K3122" s="19"/>
      <c r="L3122" s="25"/>
      <c r="M3122" s="25"/>
      <c r="N3122" s="25"/>
      <c r="O3122" s="25"/>
      <c r="P3122" s="25"/>
      <c r="Q3122" s="19"/>
      <c r="R3122" s="19"/>
      <c r="S3122" s="19"/>
      <c r="T3122" s="19"/>
      <c r="U3122" s="25"/>
      <c r="V3122" s="19"/>
      <c r="W3122" s="19"/>
      <c r="X3122" s="19"/>
      <c r="Y3122" s="19"/>
      <c r="Z3122" s="19"/>
    </row>
    <row r="3123">
      <c r="A3123" s="24"/>
      <c r="B3123" s="19"/>
      <c r="C3123" s="19"/>
      <c r="D3123" s="19"/>
      <c r="E3123" s="19"/>
      <c r="F3123" s="19"/>
      <c r="G3123" s="19"/>
      <c r="H3123" s="19"/>
      <c r="I3123" s="19"/>
      <c r="J3123" s="19"/>
      <c r="K3123" s="19"/>
      <c r="L3123" s="25"/>
      <c r="M3123" s="25"/>
      <c r="N3123" s="25"/>
      <c r="O3123" s="25"/>
      <c r="P3123" s="25"/>
      <c r="Q3123" s="19"/>
      <c r="R3123" s="19"/>
      <c r="S3123" s="19"/>
      <c r="T3123" s="19"/>
      <c r="U3123" s="25"/>
      <c r="V3123" s="19"/>
      <c r="W3123" s="19"/>
      <c r="X3123" s="19"/>
      <c r="Y3123" s="19"/>
      <c r="Z3123" s="19"/>
    </row>
    <row r="3124">
      <c r="A3124" s="24"/>
      <c r="B3124" s="19"/>
      <c r="C3124" s="19"/>
      <c r="D3124" s="19"/>
      <c r="E3124" s="19"/>
      <c r="F3124" s="19"/>
      <c r="G3124" s="19"/>
      <c r="H3124" s="19"/>
      <c r="I3124" s="19"/>
      <c r="J3124" s="19"/>
      <c r="K3124" s="19"/>
      <c r="L3124" s="25"/>
      <c r="M3124" s="25"/>
      <c r="N3124" s="25"/>
      <c r="O3124" s="25"/>
      <c r="P3124" s="25"/>
      <c r="Q3124" s="19"/>
      <c r="R3124" s="19"/>
      <c r="S3124" s="19"/>
      <c r="T3124" s="19"/>
      <c r="U3124" s="25"/>
      <c r="V3124" s="19"/>
      <c r="W3124" s="19"/>
      <c r="X3124" s="19"/>
      <c r="Y3124" s="19"/>
      <c r="Z3124" s="19"/>
    </row>
    <row r="3125">
      <c r="A3125" s="24"/>
      <c r="B3125" s="19"/>
      <c r="C3125" s="19"/>
      <c r="D3125" s="19"/>
      <c r="E3125" s="19"/>
      <c r="F3125" s="19"/>
      <c r="G3125" s="19"/>
      <c r="H3125" s="19"/>
      <c r="I3125" s="19"/>
      <c r="J3125" s="19"/>
      <c r="K3125" s="19"/>
      <c r="L3125" s="25"/>
      <c r="M3125" s="25"/>
      <c r="N3125" s="25"/>
      <c r="O3125" s="25"/>
      <c r="P3125" s="25"/>
      <c r="Q3125" s="19"/>
      <c r="R3125" s="19"/>
      <c r="S3125" s="19"/>
      <c r="T3125" s="19"/>
      <c r="U3125" s="25"/>
      <c r="V3125" s="19"/>
      <c r="W3125" s="19"/>
      <c r="X3125" s="19"/>
      <c r="Y3125" s="19"/>
      <c r="Z3125" s="19"/>
    </row>
    <row r="3126">
      <c r="A3126" s="24"/>
      <c r="B3126" s="19"/>
      <c r="C3126" s="19"/>
      <c r="D3126" s="19"/>
      <c r="E3126" s="19"/>
      <c r="F3126" s="19"/>
      <c r="G3126" s="19"/>
      <c r="H3126" s="19"/>
      <c r="I3126" s="19"/>
      <c r="J3126" s="19"/>
      <c r="K3126" s="19"/>
      <c r="L3126" s="25"/>
      <c r="M3126" s="25"/>
      <c r="N3126" s="25"/>
      <c r="O3126" s="25"/>
      <c r="P3126" s="25"/>
      <c r="Q3126" s="19"/>
      <c r="R3126" s="19"/>
      <c r="S3126" s="19"/>
      <c r="T3126" s="19"/>
      <c r="U3126" s="25"/>
      <c r="V3126" s="19"/>
      <c r="W3126" s="19"/>
      <c r="X3126" s="19"/>
      <c r="Y3126" s="19"/>
      <c r="Z3126" s="19"/>
    </row>
    <row r="3127">
      <c r="A3127" s="24"/>
      <c r="B3127" s="19"/>
      <c r="C3127" s="19"/>
      <c r="D3127" s="19"/>
      <c r="E3127" s="19"/>
      <c r="F3127" s="19"/>
      <c r="G3127" s="19"/>
      <c r="H3127" s="19"/>
      <c r="I3127" s="19"/>
      <c r="J3127" s="19"/>
      <c r="K3127" s="19"/>
      <c r="L3127" s="25"/>
      <c r="M3127" s="25"/>
      <c r="N3127" s="25"/>
      <c r="O3127" s="25"/>
      <c r="P3127" s="25"/>
      <c r="Q3127" s="19"/>
      <c r="R3127" s="19"/>
      <c r="S3127" s="19"/>
      <c r="T3127" s="19"/>
      <c r="U3127" s="25"/>
      <c r="V3127" s="19"/>
      <c r="W3127" s="19"/>
      <c r="X3127" s="19"/>
      <c r="Y3127" s="19"/>
      <c r="Z3127" s="19"/>
    </row>
    <row r="3128">
      <c r="A3128" s="24"/>
      <c r="B3128" s="19"/>
      <c r="C3128" s="19"/>
      <c r="D3128" s="19"/>
      <c r="E3128" s="19"/>
      <c r="F3128" s="19"/>
      <c r="G3128" s="19"/>
      <c r="H3128" s="19"/>
      <c r="I3128" s="19"/>
      <c r="J3128" s="19"/>
      <c r="K3128" s="19"/>
      <c r="L3128" s="25"/>
      <c r="M3128" s="25"/>
      <c r="N3128" s="25"/>
      <c r="O3128" s="25"/>
      <c r="P3128" s="25"/>
      <c r="Q3128" s="19"/>
      <c r="R3128" s="19"/>
      <c r="S3128" s="19"/>
      <c r="T3128" s="19"/>
      <c r="U3128" s="25"/>
      <c r="V3128" s="19"/>
      <c r="W3128" s="19"/>
      <c r="X3128" s="19"/>
      <c r="Y3128" s="19"/>
      <c r="Z3128" s="19"/>
    </row>
    <row r="3129">
      <c r="A3129" s="24"/>
      <c r="B3129" s="19"/>
      <c r="C3129" s="19"/>
      <c r="D3129" s="19"/>
      <c r="E3129" s="19"/>
      <c r="F3129" s="19"/>
      <c r="G3129" s="19"/>
      <c r="H3129" s="19"/>
      <c r="I3129" s="19"/>
      <c r="J3129" s="19"/>
      <c r="K3129" s="19"/>
      <c r="L3129" s="25"/>
      <c r="M3129" s="25"/>
      <c r="N3129" s="25"/>
      <c r="O3129" s="25"/>
      <c r="P3129" s="25"/>
      <c r="Q3129" s="19"/>
      <c r="R3129" s="19"/>
      <c r="S3129" s="19"/>
      <c r="T3129" s="19"/>
      <c r="U3129" s="25"/>
      <c r="V3129" s="19"/>
      <c r="W3129" s="19"/>
      <c r="X3129" s="19"/>
      <c r="Y3129" s="19"/>
      <c r="Z3129" s="19"/>
    </row>
    <row r="3130">
      <c r="A3130" s="24"/>
      <c r="B3130" s="19"/>
      <c r="C3130" s="19"/>
      <c r="D3130" s="19"/>
      <c r="E3130" s="19"/>
      <c r="F3130" s="19"/>
      <c r="G3130" s="19"/>
      <c r="H3130" s="19"/>
      <c r="I3130" s="19"/>
      <c r="J3130" s="19"/>
      <c r="K3130" s="19"/>
      <c r="L3130" s="25"/>
      <c r="M3130" s="25"/>
      <c r="N3130" s="25"/>
      <c r="O3130" s="25"/>
      <c r="P3130" s="25"/>
      <c r="Q3130" s="19"/>
      <c r="R3130" s="19"/>
      <c r="S3130" s="19"/>
      <c r="T3130" s="19"/>
      <c r="U3130" s="25"/>
      <c r="V3130" s="19"/>
      <c r="W3130" s="19"/>
      <c r="X3130" s="19"/>
      <c r="Y3130" s="19"/>
      <c r="Z3130" s="19"/>
    </row>
    <row r="3131">
      <c r="A3131" s="24"/>
      <c r="B3131" s="19"/>
      <c r="C3131" s="19"/>
      <c r="D3131" s="19"/>
      <c r="E3131" s="19"/>
      <c r="F3131" s="19"/>
      <c r="G3131" s="19"/>
      <c r="H3131" s="19"/>
      <c r="I3131" s="19"/>
      <c r="J3131" s="19"/>
      <c r="K3131" s="19"/>
      <c r="L3131" s="25"/>
      <c r="M3131" s="25"/>
      <c r="N3131" s="25"/>
      <c r="O3131" s="25"/>
      <c r="P3131" s="25"/>
      <c r="Q3131" s="19"/>
      <c r="R3131" s="19"/>
      <c r="S3131" s="19"/>
      <c r="T3131" s="19"/>
      <c r="U3131" s="25"/>
      <c r="V3131" s="19"/>
      <c r="W3131" s="19"/>
      <c r="X3131" s="19"/>
      <c r="Y3131" s="19"/>
      <c r="Z3131" s="19"/>
    </row>
    <row r="3132">
      <c r="A3132" s="24"/>
      <c r="B3132" s="19"/>
      <c r="C3132" s="19"/>
      <c r="D3132" s="19"/>
      <c r="E3132" s="19"/>
      <c r="F3132" s="19"/>
      <c r="G3132" s="19"/>
      <c r="H3132" s="19"/>
      <c r="I3132" s="19"/>
      <c r="J3132" s="19"/>
      <c r="K3132" s="19"/>
      <c r="L3132" s="25"/>
      <c r="M3132" s="25"/>
      <c r="N3132" s="25"/>
      <c r="O3132" s="25"/>
      <c r="P3132" s="25"/>
      <c r="Q3132" s="19"/>
      <c r="R3132" s="19"/>
      <c r="S3132" s="19"/>
      <c r="T3132" s="19"/>
      <c r="U3132" s="25"/>
      <c r="V3132" s="19"/>
      <c r="W3132" s="19"/>
      <c r="X3132" s="19"/>
      <c r="Y3132" s="19"/>
      <c r="Z3132" s="19"/>
    </row>
    <row r="3133">
      <c r="A3133" s="24"/>
      <c r="B3133" s="19"/>
      <c r="C3133" s="19"/>
      <c r="D3133" s="19"/>
      <c r="E3133" s="19"/>
      <c r="F3133" s="19"/>
      <c r="G3133" s="19"/>
      <c r="H3133" s="19"/>
      <c r="I3133" s="19"/>
      <c r="J3133" s="19"/>
      <c r="K3133" s="19"/>
      <c r="L3133" s="25"/>
      <c r="M3133" s="25"/>
      <c r="N3133" s="25"/>
      <c r="O3133" s="25"/>
      <c r="P3133" s="25"/>
      <c r="Q3133" s="19"/>
      <c r="R3133" s="19"/>
      <c r="S3133" s="19"/>
      <c r="T3133" s="19"/>
      <c r="U3133" s="25"/>
      <c r="V3133" s="19"/>
      <c r="W3133" s="19"/>
      <c r="X3133" s="19"/>
      <c r="Y3133" s="19"/>
      <c r="Z3133" s="19"/>
    </row>
    <row r="3134">
      <c r="A3134" s="24"/>
      <c r="B3134" s="19"/>
      <c r="C3134" s="19"/>
      <c r="D3134" s="19"/>
      <c r="E3134" s="19"/>
      <c r="F3134" s="19"/>
      <c r="G3134" s="19"/>
      <c r="H3134" s="19"/>
      <c r="I3134" s="19"/>
      <c r="J3134" s="19"/>
      <c r="K3134" s="19"/>
      <c r="L3134" s="25"/>
      <c r="M3134" s="25"/>
      <c r="N3134" s="25"/>
      <c r="O3134" s="25"/>
      <c r="P3134" s="25"/>
      <c r="Q3134" s="19"/>
      <c r="R3134" s="19"/>
      <c r="S3134" s="19"/>
      <c r="T3134" s="19"/>
      <c r="U3134" s="25"/>
      <c r="V3134" s="19"/>
      <c r="W3134" s="19"/>
      <c r="X3134" s="19"/>
      <c r="Y3134" s="19"/>
      <c r="Z3134" s="19"/>
    </row>
    <row r="3135">
      <c r="A3135" s="24"/>
      <c r="B3135" s="19"/>
      <c r="C3135" s="19"/>
      <c r="D3135" s="19"/>
      <c r="E3135" s="19"/>
      <c r="F3135" s="19"/>
      <c r="G3135" s="19"/>
      <c r="H3135" s="19"/>
      <c r="I3135" s="19"/>
      <c r="J3135" s="19"/>
      <c r="K3135" s="19"/>
      <c r="L3135" s="25"/>
      <c r="M3135" s="25"/>
      <c r="N3135" s="25"/>
      <c r="O3135" s="25"/>
      <c r="P3135" s="25"/>
      <c r="Q3135" s="19"/>
      <c r="R3135" s="19"/>
      <c r="S3135" s="19"/>
      <c r="T3135" s="19"/>
      <c r="U3135" s="25"/>
      <c r="V3135" s="19"/>
      <c r="W3135" s="19"/>
      <c r="X3135" s="19"/>
      <c r="Y3135" s="19"/>
      <c r="Z3135" s="19"/>
    </row>
    <row r="3136">
      <c r="A3136" s="24"/>
      <c r="B3136" s="19"/>
      <c r="C3136" s="19"/>
      <c r="D3136" s="19"/>
      <c r="E3136" s="19"/>
      <c r="F3136" s="19"/>
      <c r="G3136" s="19"/>
      <c r="H3136" s="19"/>
      <c r="I3136" s="19"/>
      <c r="J3136" s="19"/>
      <c r="K3136" s="19"/>
      <c r="L3136" s="25"/>
      <c r="M3136" s="25"/>
      <c r="N3136" s="25"/>
      <c r="O3136" s="25"/>
      <c r="P3136" s="25"/>
      <c r="Q3136" s="19"/>
      <c r="R3136" s="19"/>
      <c r="S3136" s="19"/>
      <c r="T3136" s="19"/>
      <c r="U3136" s="25"/>
      <c r="V3136" s="19"/>
      <c r="W3136" s="19"/>
      <c r="X3136" s="19"/>
      <c r="Y3136" s="19"/>
      <c r="Z3136" s="19"/>
    </row>
    <row r="3137">
      <c r="A3137" s="24"/>
      <c r="B3137" s="19"/>
      <c r="C3137" s="19"/>
      <c r="D3137" s="19"/>
      <c r="E3137" s="19"/>
      <c r="F3137" s="19"/>
      <c r="G3137" s="19"/>
      <c r="H3137" s="19"/>
      <c r="I3137" s="19"/>
      <c r="J3137" s="19"/>
      <c r="K3137" s="19"/>
      <c r="L3137" s="25"/>
      <c r="M3137" s="25"/>
      <c r="N3137" s="25"/>
      <c r="O3137" s="25"/>
      <c r="P3137" s="25"/>
      <c r="Q3137" s="19"/>
      <c r="R3137" s="19"/>
      <c r="S3137" s="19"/>
      <c r="T3137" s="19"/>
      <c r="U3137" s="25"/>
      <c r="V3137" s="19"/>
      <c r="W3137" s="19"/>
      <c r="X3137" s="19"/>
      <c r="Y3137" s="19"/>
      <c r="Z3137" s="19"/>
    </row>
    <row r="3138">
      <c r="A3138" s="24"/>
      <c r="B3138" s="19"/>
      <c r="C3138" s="19"/>
      <c r="D3138" s="19"/>
      <c r="E3138" s="19"/>
      <c r="F3138" s="19"/>
      <c r="G3138" s="19"/>
      <c r="H3138" s="19"/>
      <c r="I3138" s="19"/>
      <c r="J3138" s="19"/>
      <c r="K3138" s="19"/>
      <c r="L3138" s="25"/>
      <c r="M3138" s="25"/>
      <c r="N3138" s="25"/>
      <c r="O3138" s="25"/>
      <c r="P3138" s="25"/>
      <c r="Q3138" s="19"/>
      <c r="R3138" s="19"/>
      <c r="S3138" s="19"/>
      <c r="T3138" s="19"/>
      <c r="U3138" s="25"/>
      <c r="V3138" s="19"/>
      <c r="W3138" s="19"/>
      <c r="X3138" s="19"/>
      <c r="Y3138" s="19"/>
      <c r="Z3138" s="19"/>
    </row>
    <row r="3139">
      <c r="A3139" s="24"/>
      <c r="B3139" s="19"/>
      <c r="C3139" s="19"/>
      <c r="D3139" s="19"/>
      <c r="E3139" s="19"/>
      <c r="F3139" s="19"/>
      <c r="G3139" s="19"/>
      <c r="H3139" s="19"/>
      <c r="I3139" s="19"/>
      <c r="J3139" s="19"/>
      <c r="K3139" s="19"/>
      <c r="L3139" s="25"/>
      <c r="M3139" s="25"/>
      <c r="N3139" s="25"/>
      <c r="O3139" s="25"/>
      <c r="P3139" s="25"/>
      <c r="Q3139" s="19"/>
      <c r="R3139" s="19"/>
      <c r="S3139" s="19"/>
      <c r="T3139" s="19"/>
      <c r="U3139" s="25"/>
      <c r="V3139" s="19"/>
      <c r="W3139" s="19"/>
      <c r="X3139" s="19"/>
      <c r="Y3139" s="19"/>
      <c r="Z3139" s="19"/>
    </row>
    <row r="3140">
      <c r="A3140" s="24"/>
      <c r="B3140" s="19"/>
      <c r="C3140" s="19"/>
      <c r="D3140" s="19"/>
      <c r="E3140" s="19"/>
      <c r="F3140" s="19"/>
      <c r="G3140" s="19"/>
      <c r="H3140" s="19"/>
      <c r="I3140" s="19"/>
      <c r="J3140" s="19"/>
      <c r="K3140" s="19"/>
      <c r="L3140" s="25"/>
      <c r="M3140" s="25"/>
      <c r="N3140" s="25"/>
      <c r="O3140" s="25"/>
      <c r="P3140" s="25"/>
      <c r="Q3140" s="19"/>
      <c r="R3140" s="19"/>
      <c r="S3140" s="19"/>
      <c r="T3140" s="19"/>
      <c r="U3140" s="25"/>
      <c r="V3140" s="19"/>
      <c r="W3140" s="19"/>
      <c r="X3140" s="19"/>
      <c r="Y3140" s="19"/>
      <c r="Z3140" s="19"/>
    </row>
    <row r="3141">
      <c r="A3141" s="24"/>
      <c r="B3141" s="19"/>
      <c r="C3141" s="19"/>
      <c r="D3141" s="19"/>
      <c r="E3141" s="19"/>
      <c r="F3141" s="19"/>
      <c r="G3141" s="19"/>
      <c r="H3141" s="19"/>
      <c r="I3141" s="19"/>
      <c r="J3141" s="19"/>
      <c r="K3141" s="19"/>
      <c r="L3141" s="25"/>
      <c r="M3141" s="25"/>
      <c r="N3141" s="25"/>
      <c r="O3141" s="25"/>
      <c r="P3141" s="25"/>
      <c r="Q3141" s="19"/>
      <c r="R3141" s="19"/>
      <c r="S3141" s="19"/>
      <c r="T3141" s="19"/>
      <c r="U3141" s="25"/>
      <c r="V3141" s="19"/>
      <c r="W3141" s="19"/>
      <c r="X3141" s="19"/>
      <c r="Y3141" s="19"/>
      <c r="Z3141" s="19"/>
    </row>
    <row r="3142">
      <c r="A3142" s="24"/>
      <c r="B3142" s="19"/>
      <c r="C3142" s="19"/>
      <c r="D3142" s="19"/>
      <c r="E3142" s="19"/>
      <c r="F3142" s="19"/>
      <c r="G3142" s="19"/>
      <c r="H3142" s="19"/>
      <c r="I3142" s="19"/>
      <c r="J3142" s="19"/>
      <c r="K3142" s="19"/>
      <c r="L3142" s="25"/>
      <c r="M3142" s="25"/>
      <c r="N3142" s="25"/>
      <c r="O3142" s="25"/>
      <c r="P3142" s="25"/>
      <c r="Q3142" s="19"/>
      <c r="R3142" s="19"/>
      <c r="S3142" s="19"/>
      <c r="T3142" s="19"/>
      <c r="U3142" s="25"/>
      <c r="V3142" s="19"/>
      <c r="W3142" s="19"/>
      <c r="X3142" s="19"/>
      <c r="Y3142" s="19"/>
      <c r="Z3142" s="19"/>
    </row>
    <row r="3143">
      <c r="A3143" s="24"/>
      <c r="B3143" s="19"/>
      <c r="C3143" s="19"/>
      <c r="D3143" s="19"/>
      <c r="E3143" s="19"/>
      <c r="F3143" s="19"/>
      <c r="G3143" s="19"/>
      <c r="H3143" s="19"/>
      <c r="I3143" s="19"/>
      <c r="J3143" s="19"/>
      <c r="K3143" s="19"/>
      <c r="L3143" s="25"/>
      <c r="M3143" s="25"/>
      <c r="N3143" s="25"/>
      <c r="O3143" s="25"/>
      <c r="P3143" s="25"/>
      <c r="Q3143" s="19"/>
      <c r="R3143" s="19"/>
      <c r="S3143" s="19"/>
      <c r="T3143" s="19"/>
      <c r="U3143" s="25"/>
      <c r="V3143" s="19"/>
      <c r="W3143" s="19"/>
      <c r="X3143" s="19"/>
      <c r="Y3143" s="19"/>
      <c r="Z3143" s="19"/>
    </row>
    <row r="3144">
      <c r="A3144" s="24"/>
      <c r="B3144" s="19"/>
      <c r="C3144" s="19"/>
      <c r="D3144" s="19"/>
      <c r="E3144" s="19"/>
      <c r="F3144" s="19"/>
      <c r="G3144" s="19"/>
      <c r="H3144" s="19"/>
      <c r="I3144" s="19"/>
      <c r="J3144" s="19"/>
      <c r="K3144" s="19"/>
      <c r="L3144" s="25"/>
      <c r="M3144" s="25"/>
      <c r="N3144" s="25"/>
      <c r="O3144" s="25"/>
      <c r="P3144" s="25"/>
      <c r="Q3144" s="19"/>
      <c r="R3144" s="19"/>
      <c r="S3144" s="19"/>
      <c r="T3144" s="19"/>
      <c r="U3144" s="25"/>
      <c r="V3144" s="19"/>
      <c r="W3144" s="19"/>
      <c r="X3144" s="19"/>
      <c r="Y3144" s="19"/>
      <c r="Z3144" s="19"/>
    </row>
    <row r="3145">
      <c r="A3145" s="24"/>
      <c r="B3145" s="19"/>
      <c r="C3145" s="19"/>
      <c r="D3145" s="19"/>
      <c r="E3145" s="19"/>
      <c r="F3145" s="19"/>
      <c r="G3145" s="19"/>
      <c r="H3145" s="19"/>
      <c r="I3145" s="19"/>
      <c r="J3145" s="19"/>
      <c r="K3145" s="19"/>
      <c r="L3145" s="25"/>
      <c r="M3145" s="25"/>
      <c r="N3145" s="25"/>
      <c r="O3145" s="25"/>
      <c r="P3145" s="25"/>
      <c r="Q3145" s="19"/>
      <c r="R3145" s="19"/>
      <c r="S3145" s="19"/>
      <c r="T3145" s="19"/>
      <c r="U3145" s="25"/>
      <c r="V3145" s="19"/>
      <c r="W3145" s="19"/>
      <c r="X3145" s="19"/>
      <c r="Y3145" s="19"/>
      <c r="Z3145" s="19"/>
    </row>
    <row r="3146">
      <c r="A3146" s="24"/>
      <c r="B3146" s="19"/>
      <c r="C3146" s="19"/>
      <c r="D3146" s="19"/>
      <c r="E3146" s="19"/>
      <c r="F3146" s="19"/>
      <c r="G3146" s="19"/>
      <c r="H3146" s="19"/>
      <c r="I3146" s="19"/>
      <c r="J3146" s="19"/>
      <c r="K3146" s="19"/>
      <c r="L3146" s="25"/>
      <c r="M3146" s="25"/>
      <c r="N3146" s="25"/>
      <c r="O3146" s="25"/>
      <c r="P3146" s="25"/>
      <c r="Q3146" s="19"/>
      <c r="R3146" s="19"/>
      <c r="S3146" s="19"/>
      <c r="T3146" s="19"/>
      <c r="U3146" s="25"/>
      <c r="V3146" s="19"/>
      <c r="W3146" s="19"/>
      <c r="X3146" s="19"/>
      <c r="Y3146" s="19"/>
      <c r="Z3146" s="19"/>
    </row>
    <row r="3147">
      <c r="A3147" s="24"/>
      <c r="B3147" s="19"/>
      <c r="C3147" s="19"/>
      <c r="D3147" s="19"/>
      <c r="E3147" s="19"/>
      <c r="F3147" s="19"/>
      <c r="G3147" s="19"/>
      <c r="H3147" s="19"/>
      <c r="I3147" s="19"/>
      <c r="J3147" s="19"/>
      <c r="K3147" s="19"/>
      <c r="L3147" s="25"/>
      <c r="M3147" s="25"/>
      <c r="N3147" s="25"/>
      <c r="O3147" s="25"/>
      <c r="P3147" s="25"/>
      <c r="Q3147" s="19"/>
      <c r="R3147" s="19"/>
      <c r="S3147" s="19"/>
      <c r="T3147" s="19"/>
      <c r="U3147" s="25"/>
      <c r="V3147" s="19"/>
      <c r="W3147" s="19"/>
      <c r="X3147" s="19"/>
      <c r="Y3147" s="19"/>
      <c r="Z3147" s="19"/>
    </row>
    <row r="3148">
      <c r="A3148" s="24"/>
      <c r="B3148" s="19"/>
      <c r="C3148" s="19"/>
      <c r="D3148" s="19"/>
      <c r="E3148" s="19"/>
      <c r="F3148" s="19"/>
      <c r="G3148" s="19"/>
      <c r="H3148" s="19"/>
      <c r="I3148" s="19"/>
      <c r="J3148" s="19"/>
      <c r="K3148" s="19"/>
      <c r="L3148" s="25"/>
      <c r="M3148" s="25"/>
      <c r="N3148" s="25"/>
      <c r="O3148" s="25"/>
      <c r="P3148" s="25"/>
      <c r="Q3148" s="19"/>
      <c r="R3148" s="19"/>
      <c r="S3148" s="19"/>
      <c r="T3148" s="19"/>
      <c r="U3148" s="25"/>
      <c r="V3148" s="19"/>
      <c r="W3148" s="19"/>
      <c r="X3148" s="19"/>
      <c r="Y3148" s="19"/>
      <c r="Z3148" s="19"/>
    </row>
    <row r="3149">
      <c r="A3149" s="24"/>
      <c r="B3149" s="19"/>
      <c r="C3149" s="19"/>
      <c r="D3149" s="19"/>
      <c r="E3149" s="19"/>
      <c r="F3149" s="19"/>
      <c r="G3149" s="19"/>
      <c r="H3149" s="19"/>
      <c r="I3149" s="19"/>
      <c r="J3149" s="19"/>
      <c r="K3149" s="19"/>
      <c r="L3149" s="25"/>
      <c r="M3149" s="25"/>
      <c r="N3149" s="25"/>
      <c r="O3149" s="25"/>
      <c r="P3149" s="25"/>
      <c r="Q3149" s="19"/>
      <c r="R3149" s="19"/>
      <c r="S3149" s="19"/>
      <c r="T3149" s="19"/>
      <c r="U3149" s="25"/>
      <c r="V3149" s="19"/>
      <c r="W3149" s="19"/>
      <c r="X3149" s="19"/>
      <c r="Y3149" s="19"/>
      <c r="Z3149" s="19"/>
    </row>
    <row r="3150">
      <c r="A3150" s="24"/>
      <c r="B3150" s="19"/>
      <c r="C3150" s="19"/>
      <c r="D3150" s="19"/>
      <c r="E3150" s="19"/>
      <c r="F3150" s="19"/>
      <c r="G3150" s="19"/>
      <c r="H3150" s="19"/>
      <c r="I3150" s="19"/>
      <c r="J3150" s="19"/>
      <c r="K3150" s="19"/>
      <c r="L3150" s="25"/>
      <c r="M3150" s="25"/>
      <c r="N3150" s="25"/>
      <c r="O3150" s="25"/>
      <c r="P3150" s="25"/>
      <c r="Q3150" s="19"/>
      <c r="R3150" s="19"/>
      <c r="S3150" s="19"/>
      <c r="T3150" s="19"/>
      <c r="U3150" s="25"/>
      <c r="V3150" s="19"/>
      <c r="W3150" s="19"/>
      <c r="X3150" s="19"/>
      <c r="Y3150" s="19"/>
      <c r="Z3150" s="19"/>
    </row>
    <row r="3151">
      <c r="A3151" s="24"/>
      <c r="B3151" s="19"/>
      <c r="C3151" s="19"/>
      <c r="D3151" s="19"/>
      <c r="E3151" s="19"/>
      <c r="F3151" s="19"/>
      <c r="G3151" s="19"/>
      <c r="H3151" s="19"/>
      <c r="I3151" s="19"/>
      <c r="J3151" s="19"/>
      <c r="K3151" s="19"/>
      <c r="L3151" s="25"/>
      <c r="M3151" s="25"/>
      <c r="N3151" s="25"/>
      <c r="O3151" s="25"/>
      <c r="P3151" s="25"/>
      <c r="Q3151" s="19"/>
      <c r="R3151" s="19"/>
      <c r="S3151" s="19"/>
      <c r="T3151" s="19"/>
      <c r="U3151" s="25"/>
      <c r="V3151" s="19"/>
      <c r="W3151" s="19"/>
      <c r="X3151" s="19"/>
      <c r="Y3151" s="19"/>
      <c r="Z3151" s="19"/>
    </row>
    <row r="3152">
      <c r="A3152" s="24"/>
      <c r="B3152" s="19"/>
      <c r="C3152" s="19"/>
      <c r="D3152" s="19"/>
      <c r="E3152" s="19"/>
      <c r="F3152" s="19"/>
      <c r="G3152" s="19"/>
      <c r="H3152" s="19"/>
      <c r="I3152" s="19"/>
      <c r="J3152" s="19"/>
      <c r="K3152" s="19"/>
      <c r="L3152" s="25"/>
      <c r="M3152" s="25"/>
      <c r="N3152" s="25"/>
      <c r="O3152" s="25"/>
      <c r="P3152" s="25"/>
      <c r="Q3152" s="19"/>
      <c r="R3152" s="19"/>
      <c r="S3152" s="19"/>
      <c r="T3152" s="19"/>
      <c r="U3152" s="25"/>
      <c r="V3152" s="19"/>
      <c r="W3152" s="19"/>
      <c r="X3152" s="19"/>
      <c r="Y3152" s="19"/>
      <c r="Z3152" s="19"/>
    </row>
    <row r="3153">
      <c r="A3153" s="24"/>
      <c r="B3153" s="19"/>
      <c r="C3153" s="19"/>
      <c r="D3153" s="19"/>
      <c r="E3153" s="19"/>
      <c r="F3153" s="19"/>
      <c r="G3153" s="19"/>
      <c r="H3153" s="19"/>
      <c r="I3153" s="19"/>
      <c r="J3153" s="19"/>
      <c r="K3153" s="19"/>
      <c r="L3153" s="25"/>
      <c r="M3153" s="25"/>
      <c r="N3153" s="25"/>
      <c r="O3153" s="25"/>
      <c r="P3153" s="25"/>
      <c r="Q3153" s="19"/>
      <c r="R3153" s="19"/>
      <c r="S3153" s="19"/>
      <c r="T3153" s="19"/>
      <c r="U3153" s="25"/>
      <c r="V3153" s="19"/>
      <c r="W3153" s="19"/>
      <c r="X3153" s="19"/>
      <c r="Y3153" s="19"/>
      <c r="Z3153" s="19"/>
    </row>
    <row r="3154">
      <c r="A3154" s="24"/>
      <c r="B3154" s="19"/>
      <c r="C3154" s="19"/>
      <c r="D3154" s="19"/>
      <c r="E3154" s="19"/>
      <c r="F3154" s="19"/>
      <c r="G3154" s="19"/>
      <c r="H3154" s="19"/>
      <c r="I3154" s="19"/>
      <c r="J3154" s="19"/>
      <c r="K3154" s="19"/>
      <c r="L3154" s="25"/>
      <c r="M3154" s="25"/>
      <c r="N3154" s="25"/>
      <c r="O3154" s="25"/>
      <c r="P3154" s="25"/>
      <c r="Q3154" s="19"/>
      <c r="R3154" s="19"/>
      <c r="S3154" s="19"/>
      <c r="T3154" s="19"/>
      <c r="U3154" s="25"/>
      <c r="V3154" s="19"/>
      <c r="W3154" s="19"/>
      <c r="X3154" s="19"/>
      <c r="Y3154" s="19"/>
      <c r="Z3154" s="19"/>
    </row>
    <row r="3155">
      <c r="A3155" s="24"/>
      <c r="B3155" s="19"/>
      <c r="C3155" s="19"/>
      <c r="D3155" s="19"/>
      <c r="E3155" s="19"/>
      <c r="F3155" s="19"/>
      <c r="G3155" s="19"/>
      <c r="H3155" s="19"/>
      <c r="I3155" s="19"/>
      <c r="J3155" s="19"/>
      <c r="K3155" s="19"/>
      <c r="L3155" s="25"/>
      <c r="M3155" s="25"/>
      <c r="N3155" s="25"/>
      <c r="O3155" s="25"/>
      <c r="P3155" s="25"/>
      <c r="Q3155" s="19"/>
      <c r="R3155" s="19"/>
      <c r="S3155" s="19"/>
      <c r="T3155" s="19"/>
      <c r="U3155" s="25"/>
      <c r="V3155" s="19"/>
      <c r="W3155" s="19"/>
      <c r="X3155" s="19"/>
      <c r="Y3155" s="19"/>
      <c r="Z3155" s="19"/>
    </row>
    <row r="3156">
      <c r="A3156" s="24"/>
      <c r="B3156" s="19"/>
      <c r="C3156" s="19"/>
      <c r="D3156" s="19"/>
      <c r="E3156" s="19"/>
      <c r="F3156" s="19"/>
      <c r="G3156" s="19"/>
      <c r="H3156" s="19"/>
      <c r="I3156" s="19"/>
      <c r="J3156" s="19"/>
      <c r="K3156" s="19"/>
      <c r="L3156" s="25"/>
      <c r="M3156" s="25"/>
      <c r="N3156" s="25"/>
      <c r="O3156" s="25"/>
      <c r="P3156" s="25"/>
      <c r="Q3156" s="19"/>
      <c r="R3156" s="19"/>
      <c r="S3156" s="19"/>
      <c r="T3156" s="19"/>
      <c r="U3156" s="25"/>
      <c r="V3156" s="19"/>
      <c r="W3156" s="19"/>
      <c r="X3156" s="19"/>
      <c r="Y3156" s="19"/>
      <c r="Z3156" s="19"/>
    </row>
    <row r="3157">
      <c r="A3157" s="24"/>
      <c r="B3157" s="19"/>
      <c r="C3157" s="19"/>
      <c r="D3157" s="19"/>
      <c r="E3157" s="19"/>
      <c r="F3157" s="19"/>
      <c r="G3157" s="19"/>
      <c r="H3157" s="19"/>
      <c r="I3157" s="19"/>
      <c r="J3157" s="19"/>
      <c r="K3157" s="19"/>
      <c r="L3157" s="25"/>
      <c r="M3157" s="25"/>
      <c r="N3157" s="25"/>
      <c r="O3157" s="25"/>
      <c r="P3157" s="25"/>
      <c r="Q3157" s="19"/>
      <c r="R3157" s="19"/>
      <c r="S3157" s="19"/>
      <c r="T3157" s="19"/>
      <c r="U3157" s="25"/>
      <c r="V3157" s="19"/>
      <c r="W3157" s="19"/>
      <c r="X3157" s="19"/>
      <c r="Y3157" s="19"/>
      <c r="Z3157" s="19"/>
    </row>
    <row r="3158">
      <c r="A3158" s="24"/>
      <c r="B3158" s="19"/>
      <c r="C3158" s="19"/>
      <c r="D3158" s="19"/>
      <c r="E3158" s="19"/>
      <c r="F3158" s="19"/>
      <c r="G3158" s="19"/>
      <c r="H3158" s="19"/>
      <c r="I3158" s="19"/>
      <c r="J3158" s="19"/>
      <c r="K3158" s="19"/>
      <c r="L3158" s="25"/>
      <c r="M3158" s="25"/>
      <c r="N3158" s="25"/>
      <c r="O3158" s="25"/>
      <c r="P3158" s="25"/>
      <c r="Q3158" s="19"/>
      <c r="R3158" s="19"/>
      <c r="S3158" s="19"/>
      <c r="T3158" s="19"/>
      <c r="U3158" s="25"/>
      <c r="V3158" s="19"/>
      <c r="W3158" s="19"/>
      <c r="X3158" s="19"/>
      <c r="Y3158" s="19"/>
      <c r="Z3158" s="19"/>
    </row>
    <row r="3159">
      <c r="A3159" s="24"/>
      <c r="B3159" s="19"/>
      <c r="C3159" s="19"/>
      <c r="D3159" s="19"/>
      <c r="E3159" s="19"/>
      <c r="F3159" s="19"/>
      <c r="G3159" s="19"/>
      <c r="H3159" s="19"/>
      <c r="I3159" s="19"/>
      <c r="J3159" s="19"/>
      <c r="K3159" s="19"/>
      <c r="L3159" s="25"/>
      <c r="M3159" s="25"/>
      <c r="N3159" s="25"/>
      <c r="O3159" s="25"/>
      <c r="P3159" s="25"/>
      <c r="Q3159" s="19"/>
      <c r="R3159" s="19"/>
      <c r="S3159" s="19"/>
      <c r="T3159" s="19"/>
      <c r="U3159" s="25"/>
      <c r="V3159" s="19"/>
      <c r="W3159" s="19"/>
      <c r="X3159" s="19"/>
      <c r="Y3159" s="19"/>
      <c r="Z3159" s="19"/>
    </row>
    <row r="3160">
      <c r="A3160" s="24"/>
      <c r="B3160" s="19"/>
      <c r="C3160" s="19"/>
      <c r="D3160" s="19"/>
      <c r="E3160" s="19"/>
      <c r="F3160" s="19"/>
      <c r="G3160" s="19"/>
      <c r="H3160" s="19"/>
      <c r="I3160" s="19"/>
      <c r="J3160" s="19"/>
      <c r="K3160" s="19"/>
      <c r="L3160" s="25"/>
      <c r="M3160" s="25"/>
      <c r="N3160" s="25"/>
      <c r="O3160" s="25"/>
      <c r="P3160" s="25"/>
      <c r="Q3160" s="19"/>
      <c r="R3160" s="19"/>
      <c r="S3160" s="19"/>
      <c r="T3160" s="19"/>
      <c r="U3160" s="25"/>
      <c r="V3160" s="19"/>
      <c r="W3160" s="19"/>
      <c r="X3160" s="19"/>
      <c r="Y3160" s="19"/>
      <c r="Z3160" s="19"/>
    </row>
    <row r="3161">
      <c r="A3161" s="24"/>
      <c r="B3161" s="19"/>
      <c r="C3161" s="19"/>
      <c r="D3161" s="19"/>
      <c r="E3161" s="19"/>
      <c r="F3161" s="19"/>
      <c r="G3161" s="19"/>
      <c r="H3161" s="19"/>
      <c r="I3161" s="19"/>
      <c r="J3161" s="19"/>
      <c r="K3161" s="19"/>
      <c r="L3161" s="25"/>
      <c r="M3161" s="25"/>
      <c r="N3161" s="25"/>
      <c r="O3161" s="25"/>
      <c r="P3161" s="25"/>
      <c r="Q3161" s="19"/>
      <c r="R3161" s="19"/>
      <c r="S3161" s="19"/>
      <c r="T3161" s="19"/>
      <c r="U3161" s="25"/>
      <c r="V3161" s="19"/>
      <c r="W3161" s="19"/>
      <c r="X3161" s="19"/>
      <c r="Y3161" s="19"/>
      <c r="Z3161" s="19"/>
    </row>
    <row r="3162">
      <c r="A3162" s="24"/>
      <c r="B3162" s="19"/>
      <c r="C3162" s="19"/>
      <c r="D3162" s="19"/>
      <c r="E3162" s="19"/>
      <c r="F3162" s="19"/>
      <c r="G3162" s="19"/>
      <c r="H3162" s="19"/>
      <c r="I3162" s="19"/>
      <c r="J3162" s="19"/>
      <c r="K3162" s="19"/>
      <c r="L3162" s="25"/>
      <c r="M3162" s="25"/>
      <c r="N3162" s="25"/>
      <c r="O3162" s="25"/>
      <c r="P3162" s="25"/>
      <c r="Q3162" s="19"/>
      <c r="R3162" s="19"/>
      <c r="S3162" s="19"/>
      <c r="T3162" s="19"/>
      <c r="U3162" s="25"/>
      <c r="V3162" s="19"/>
      <c r="W3162" s="19"/>
      <c r="X3162" s="19"/>
      <c r="Y3162" s="19"/>
      <c r="Z3162" s="19"/>
    </row>
    <row r="3163">
      <c r="A3163" s="24"/>
      <c r="B3163" s="19"/>
      <c r="C3163" s="19"/>
      <c r="D3163" s="19"/>
      <c r="E3163" s="19"/>
      <c r="F3163" s="19"/>
      <c r="G3163" s="19"/>
      <c r="H3163" s="19"/>
      <c r="I3163" s="19"/>
      <c r="J3163" s="19"/>
      <c r="K3163" s="19"/>
      <c r="L3163" s="25"/>
      <c r="M3163" s="25"/>
      <c r="N3163" s="25"/>
      <c r="O3163" s="25"/>
      <c r="P3163" s="25"/>
      <c r="Q3163" s="19"/>
      <c r="R3163" s="19"/>
      <c r="S3163" s="19"/>
      <c r="T3163" s="19"/>
      <c r="U3163" s="25"/>
      <c r="V3163" s="19"/>
      <c r="W3163" s="19"/>
      <c r="X3163" s="19"/>
      <c r="Y3163" s="19"/>
      <c r="Z3163" s="19"/>
    </row>
    <row r="3164">
      <c r="A3164" s="24"/>
      <c r="B3164" s="19"/>
      <c r="C3164" s="19"/>
      <c r="D3164" s="19"/>
      <c r="E3164" s="19"/>
      <c r="F3164" s="19"/>
      <c r="G3164" s="19"/>
      <c r="H3164" s="19"/>
      <c r="I3164" s="19"/>
      <c r="J3164" s="19"/>
      <c r="K3164" s="19"/>
      <c r="L3164" s="25"/>
      <c r="M3164" s="25"/>
      <c r="N3164" s="25"/>
      <c r="O3164" s="25"/>
      <c r="P3164" s="25"/>
      <c r="Q3164" s="19"/>
      <c r="R3164" s="19"/>
      <c r="S3164" s="19"/>
      <c r="T3164" s="19"/>
      <c r="U3164" s="25"/>
      <c r="V3164" s="19"/>
      <c r="W3164" s="19"/>
      <c r="X3164" s="19"/>
      <c r="Y3164" s="19"/>
      <c r="Z3164" s="19"/>
    </row>
    <row r="3165">
      <c r="A3165" s="24"/>
      <c r="B3165" s="19"/>
      <c r="C3165" s="19"/>
      <c r="D3165" s="19"/>
      <c r="E3165" s="19"/>
      <c r="F3165" s="19"/>
      <c r="G3165" s="19"/>
      <c r="H3165" s="19"/>
      <c r="I3165" s="19"/>
      <c r="J3165" s="19"/>
      <c r="K3165" s="19"/>
      <c r="L3165" s="25"/>
      <c r="M3165" s="25"/>
      <c r="N3165" s="25"/>
      <c r="O3165" s="25"/>
      <c r="P3165" s="25"/>
      <c r="Q3165" s="19"/>
      <c r="R3165" s="19"/>
      <c r="S3165" s="19"/>
      <c r="T3165" s="19"/>
      <c r="U3165" s="25"/>
      <c r="V3165" s="19"/>
      <c r="W3165" s="19"/>
      <c r="X3165" s="19"/>
      <c r="Y3165" s="19"/>
      <c r="Z3165" s="19"/>
    </row>
    <row r="3166">
      <c r="A3166" s="24"/>
      <c r="B3166" s="19"/>
      <c r="C3166" s="19"/>
      <c r="D3166" s="19"/>
      <c r="E3166" s="19"/>
      <c r="F3166" s="19"/>
      <c r="G3166" s="19"/>
      <c r="H3166" s="19"/>
      <c r="I3166" s="19"/>
      <c r="J3166" s="19"/>
      <c r="K3166" s="19"/>
      <c r="L3166" s="25"/>
      <c r="M3166" s="25"/>
      <c r="N3166" s="25"/>
      <c r="O3166" s="25"/>
      <c r="P3166" s="25"/>
      <c r="Q3166" s="19"/>
      <c r="R3166" s="19"/>
      <c r="S3166" s="19"/>
      <c r="T3166" s="19"/>
      <c r="U3166" s="25"/>
      <c r="V3166" s="19"/>
      <c r="W3166" s="19"/>
      <c r="X3166" s="19"/>
      <c r="Y3166" s="19"/>
      <c r="Z3166" s="19"/>
    </row>
    <row r="3167">
      <c r="A3167" s="24"/>
      <c r="B3167" s="19"/>
      <c r="C3167" s="19"/>
      <c r="D3167" s="19"/>
      <c r="E3167" s="19"/>
      <c r="F3167" s="19"/>
      <c r="G3167" s="19"/>
      <c r="H3167" s="19"/>
      <c r="I3167" s="19"/>
      <c r="J3167" s="19"/>
      <c r="K3167" s="19"/>
      <c r="L3167" s="25"/>
      <c r="M3167" s="25"/>
      <c r="N3167" s="25"/>
      <c r="O3167" s="25"/>
      <c r="P3167" s="25"/>
      <c r="Q3167" s="19"/>
      <c r="R3167" s="19"/>
      <c r="S3167" s="19"/>
      <c r="T3167" s="19"/>
      <c r="U3167" s="25"/>
      <c r="V3167" s="19"/>
      <c r="W3167" s="19"/>
      <c r="X3167" s="19"/>
      <c r="Y3167" s="19"/>
      <c r="Z3167" s="19"/>
    </row>
    <row r="3168">
      <c r="A3168" s="24"/>
      <c r="B3168" s="19"/>
      <c r="C3168" s="19"/>
      <c r="D3168" s="19"/>
      <c r="E3168" s="19"/>
      <c r="F3168" s="19"/>
      <c r="G3168" s="19"/>
      <c r="H3168" s="19"/>
      <c r="I3168" s="19"/>
      <c r="J3168" s="19"/>
      <c r="K3168" s="19"/>
      <c r="L3168" s="25"/>
      <c r="M3168" s="25"/>
      <c r="N3168" s="25"/>
      <c r="O3168" s="25"/>
      <c r="P3168" s="25"/>
      <c r="Q3168" s="19"/>
      <c r="R3168" s="19"/>
      <c r="S3168" s="19"/>
      <c r="T3168" s="19"/>
      <c r="U3168" s="25"/>
      <c r="V3168" s="19"/>
      <c r="W3168" s="19"/>
      <c r="X3168" s="19"/>
      <c r="Y3168" s="19"/>
      <c r="Z3168" s="19"/>
    </row>
    <row r="3169">
      <c r="A3169" s="24"/>
      <c r="B3169" s="19"/>
      <c r="C3169" s="19"/>
      <c r="D3169" s="19"/>
      <c r="E3169" s="19"/>
      <c r="F3169" s="19"/>
      <c r="G3169" s="19"/>
      <c r="H3169" s="19"/>
      <c r="I3169" s="19"/>
      <c r="J3169" s="19"/>
      <c r="K3169" s="19"/>
      <c r="L3169" s="25"/>
      <c r="M3169" s="25"/>
      <c r="N3169" s="25"/>
      <c r="O3169" s="25"/>
      <c r="P3169" s="25"/>
      <c r="Q3169" s="19"/>
      <c r="R3169" s="19"/>
      <c r="S3169" s="19"/>
      <c r="T3169" s="19"/>
      <c r="U3169" s="25"/>
      <c r="V3169" s="19"/>
      <c r="W3169" s="19"/>
      <c r="X3169" s="19"/>
      <c r="Y3169" s="19"/>
      <c r="Z3169" s="19"/>
    </row>
    <row r="3170">
      <c r="A3170" s="24"/>
      <c r="B3170" s="19"/>
      <c r="C3170" s="19"/>
      <c r="D3170" s="19"/>
      <c r="E3170" s="19"/>
      <c r="F3170" s="19"/>
      <c r="G3170" s="19"/>
      <c r="H3170" s="19"/>
      <c r="I3170" s="19"/>
      <c r="J3170" s="19"/>
      <c r="K3170" s="19"/>
      <c r="L3170" s="25"/>
      <c r="M3170" s="25"/>
      <c r="N3170" s="25"/>
      <c r="O3170" s="25"/>
      <c r="P3170" s="25"/>
      <c r="Q3170" s="19"/>
      <c r="R3170" s="19"/>
      <c r="S3170" s="19"/>
      <c r="T3170" s="19"/>
      <c r="U3170" s="25"/>
      <c r="V3170" s="19"/>
      <c r="W3170" s="19"/>
      <c r="X3170" s="19"/>
      <c r="Y3170" s="19"/>
      <c r="Z3170" s="19"/>
    </row>
    <row r="3171">
      <c r="A3171" s="24"/>
      <c r="B3171" s="19"/>
      <c r="C3171" s="19"/>
      <c r="D3171" s="19"/>
      <c r="E3171" s="19"/>
      <c r="F3171" s="19"/>
      <c r="G3171" s="19"/>
      <c r="H3171" s="19"/>
      <c r="I3171" s="19"/>
      <c r="J3171" s="19"/>
      <c r="K3171" s="19"/>
      <c r="L3171" s="25"/>
      <c r="M3171" s="25"/>
      <c r="N3171" s="25"/>
      <c r="O3171" s="25"/>
      <c r="P3171" s="25"/>
      <c r="Q3171" s="19"/>
      <c r="R3171" s="19"/>
      <c r="S3171" s="19"/>
      <c r="T3171" s="19"/>
      <c r="U3171" s="25"/>
      <c r="V3171" s="19"/>
      <c r="W3171" s="19"/>
      <c r="X3171" s="19"/>
      <c r="Y3171" s="19"/>
      <c r="Z3171" s="19"/>
    </row>
    <row r="3172">
      <c r="A3172" s="24"/>
      <c r="B3172" s="19"/>
      <c r="C3172" s="19"/>
      <c r="D3172" s="19"/>
      <c r="E3172" s="19"/>
      <c r="F3172" s="19"/>
      <c r="G3172" s="19"/>
      <c r="H3172" s="19"/>
      <c r="I3172" s="19"/>
      <c r="J3172" s="19"/>
      <c r="K3172" s="19"/>
      <c r="L3172" s="25"/>
      <c r="M3172" s="25"/>
      <c r="N3172" s="25"/>
      <c r="O3172" s="25"/>
      <c r="P3172" s="25"/>
      <c r="Q3172" s="19"/>
      <c r="R3172" s="19"/>
      <c r="S3172" s="19"/>
      <c r="T3172" s="19"/>
      <c r="U3172" s="25"/>
      <c r="V3172" s="19"/>
      <c r="W3172" s="19"/>
      <c r="X3172" s="19"/>
      <c r="Y3172" s="19"/>
      <c r="Z3172" s="19"/>
    </row>
    <row r="3173">
      <c r="A3173" s="24"/>
      <c r="B3173" s="19"/>
      <c r="C3173" s="19"/>
      <c r="D3173" s="19"/>
      <c r="E3173" s="19"/>
      <c r="F3173" s="19"/>
      <c r="G3173" s="19"/>
      <c r="H3173" s="19"/>
      <c r="I3173" s="19"/>
      <c r="J3173" s="19"/>
      <c r="K3173" s="19"/>
      <c r="L3173" s="25"/>
      <c r="M3173" s="25"/>
      <c r="N3173" s="25"/>
      <c r="O3173" s="25"/>
      <c r="P3173" s="25"/>
      <c r="Q3173" s="19"/>
      <c r="R3173" s="19"/>
      <c r="S3173" s="19"/>
      <c r="T3173" s="19"/>
      <c r="U3173" s="25"/>
      <c r="V3173" s="19"/>
      <c r="W3173" s="19"/>
      <c r="X3173" s="19"/>
      <c r="Y3173" s="19"/>
      <c r="Z3173" s="19"/>
    </row>
    <row r="3174">
      <c r="A3174" s="24"/>
      <c r="B3174" s="19"/>
      <c r="C3174" s="19"/>
      <c r="D3174" s="19"/>
      <c r="E3174" s="19"/>
      <c r="F3174" s="19"/>
      <c r="G3174" s="19"/>
      <c r="H3174" s="19"/>
      <c r="I3174" s="19"/>
      <c r="J3174" s="19"/>
      <c r="K3174" s="19"/>
      <c r="L3174" s="25"/>
      <c r="M3174" s="25"/>
      <c r="N3174" s="25"/>
      <c r="O3174" s="25"/>
      <c r="P3174" s="25"/>
      <c r="Q3174" s="19"/>
      <c r="R3174" s="19"/>
      <c r="S3174" s="19"/>
      <c r="T3174" s="19"/>
      <c r="U3174" s="25"/>
      <c r="V3174" s="19"/>
      <c r="W3174" s="19"/>
      <c r="X3174" s="19"/>
      <c r="Y3174" s="19"/>
      <c r="Z3174" s="19"/>
    </row>
    <row r="3175">
      <c r="A3175" s="24"/>
      <c r="B3175" s="19"/>
      <c r="C3175" s="19"/>
      <c r="D3175" s="19"/>
      <c r="E3175" s="19"/>
      <c r="F3175" s="19"/>
      <c r="G3175" s="19"/>
      <c r="H3175" s="19"/>
      <c r="I3175" s="19"/>
      <c r="J3175" s="19"/>
      <c r="K3175" s="19"/>
      <c r="L3175" s="25"/>
      <c r="M3175" s="25"/>
      <c r="N3175" s="25"/>
      <c r="O3175" s="25"/>
      <c r="P3175" s="25"/>
      <c r="Q3175" s="19"/>
      <c r="R3175" s="19"/>
      <c r="S3175" s="19"/>
      <c r="T3175" s="19"/>
      <c r="U3175" s="25"/>
      <c r="V3175" s="19"/>
      <c r="W3175" s="19"/>
      <c r="X3175" s="19"/>
      <c r="Y3175" s="19"/>
      <c r="Z3175" s="19"/>
    </row>
    <row r="3176">
      <c r="A3176" s="24"/>
      <c r="B3176" s="19"/>
      <c r="C3176" s="19"/>
      <c r="D3176" s="19"/>
      <c r="E3176" s="19"/>
      <c r="F3176" s="19"/>
      <c r="G3176" s="19"/>
      <c r="H3176" s="19"/>
      <c r="I3176" s="19"/>
      <c r="J3176" s="19"/>
      <c r="K3176" s="19"/>
      <c r="L3176" s="25"/>
      <c r="M3176" s="25"/>
      <c r="N3176" s="25"/>
      <c r="O3176" s="25"/>
      <c r="P3176" s="25"/>
      <c r="Q3176" s="19"/>
      <c r="R3176" s="19"/>
      <c r="S3176" s="19"/>
      <c r="T3176" s="19"/>
      <c r="U3176" s="25"/>
      <c r="V3176" s="19"/>
      <c r="W3176" s="19"/>
      <c r="X3176" s="19"/>
      <c r="Y3176" s="19"/>
      <c r="Z3176" s="19"/>
    </row>
    <row r="3177">
      <c r="A3177" s="24"/>
      <c r="B3177" s="19"/>
      <c r="C3177" s="19"/>
      <c r="D3177" s="19"/>
      <c r="E3177" s="19"/>
      <c r="F3177" s="19"/>
      <c r="G3177" s="19"/>
      <c r="H3177" s="19"/>
      <c r="I3177" s="19"/>
      <c r="J3177" s="19"/>
      <c r="K3177" s="19"/>
      <c r="L3177" s="25"/>
      <c r="M3177" s="25"/>
      <c r="N3177" s="25"/>
      <c r="O3177" s="25"/>
      <c r="P3177" s="25"/>
      <c r="Q3177" s="19"/>
      <c r="R3177" s="19"/>
      <c r="S3177" s="19"/>
      <c r="T3177" s="19"/>
      <c r="U3177" s="25"/>
      <c r="V3177" s="19"/>
      <c r="W3177" s="19"/>
      <c r="X3177" s="19"/>
      <c r="Y3177" s="19"/>
      <c r="Z3177" s="19"/>
    </row>
    <row r="3178">
      <c r="A3178" s="24"/>
      <c r="B3178" s="19"/>
      <c r="C3178" s="19"/>
      <c r="D3178" s="19"/>
      <c r="E3178" s="19"/>
      <c r="F3178" s="19"/>
      <c r="G3178" s="19"/>
      <c r="H3178" s="19"/>
      <c r="I3178" s="19"/>
      <c r="J3178" s="19"/>
      <c r="K3178" s="19"/>
      <c r="L3178" s="25"/>
      <c r="M3178" s="25"/>
      <c r="N3178" s="25"/>
      <c r="O3178" s="25"/>
      <c r="P3178" s="25"/>
      <c r="Q3178" s="19"/>
      <c r="R3178" s="19"/>
      <c r="S3178" s="19"/>
      <c r="T3178" s="19"/>
      <c r="U3178" s="25"/>
      <c r="V3178" s="19"/>
      <c r="W3178" s="19"/>
      <c r="X3178" s="19"/>
      <c r="Y3178" s="19"/>
      <c r="Z3178" s="19"/>
    </row>
    <row r="3179">
      <c r="A3179" s="24"/>
      <c r="B3179" s="19"/>
      <c r="C3179" s="19"/>
      <c r="D3179" s="19"/>
      <c r="E3179" s="19"/>
      <c r="F3179" s="19"/>
      <c r="G3179" s="19"/>
      <c r="H3179" s="19"/>
      <c r="I3179" s="19"/>
      <c r="J3179" s="19"/>
      <c r="K3179" s="19"/>
      <c r="L3179" s="25"/>
      <c r="M3179" s="25"/>
      <c r="N3179" s="25"/>
      <c r="O3179" s="25"/>
      <c r="P3179" s="25"/>
      <c r="Q3179" s="19"/>
      <c r="R3179" s="19"/>
      <c r="S3179" s="19"/>
      <c r="T3179" s="19"/>
      <c r="U3179" s="25"/>
      <c r="V3179" s="19"/>
      <c r="W3179" s="19"/>
      <c r="X3179" s="19"/>
      <c r="Y3179" s="19"/>
      <c r="Z3179" s="19"/>
    </row>
    <row r="3180">
      <c r="A3180" s="24"/>
      <c r="B3180" s="19"/>
      <c r="C3180" s="19"/>
      <c r="D3180" s="19"/>
      <c r="E3180" s="19"/>
      <c r="F3180" s="19"/>
      <c r="G3180" s="19"/>
      <c r="H3180" s="19"/>
      <c r="I3180" s="19"/>
      <c r="J3180" s="19"/>
      <c r="K3180" s="19"/>
      <c r="L3180" s="25"/>
      <c r="M3180" s="25"/>
      <c r="N3180" s="25"/>
      <c r="O3180" s="25"/>
      <c r="P3180" s="25"/>
      <c r="Q3180" s="19"/>
      <c r="R3180" s="19"/>
      <c r="S3180" s="19"/>
      <c r="T3180" s="19"/>
      <c r="U3180" s="25"/>
      <c r="V3180" s="19"/>
      <c r="W3180" s="19"/>
      <c r="X3180" s="19"/>
      <c r="Y3180" s="19"/>
      <c r="Z3180" s="19"/>
    </row>
    <row r="3181">
      <c r="A3181" s="24"/>
      <c r="B3181" s="19"/>
      <c r="C3181" s="19"/>
      <c r="D3181" s="19"/>
      <c r="E3181" s="19"/>
      <c r="F3181" s="19"/>
      <c r="G3181" s="19"/>
      <c r="H3181" s="19"/>
      <c r="I3181" s="19"/>
      <c r="J3181" s="19"/>
      <c r="K3181" s="19"/>
      <c r="L3181" s="25"/>
      <c r="M3181" s="25"/>
      <c r="N3181" s="25"/>
      <c r="O3181" s="25"/>
      <c r="P3181" s="25"/>
      <c r="Q3181" s="19"/>
      <c r="R3181" s="19"/>
      <c r="S3181" s="19"/>
      <c r="T3181" s="19"/>
      <c r="U3181" s="25"/>
      <c r="V3181" s="19"/>
      <c r="W3181" s="19"/>
      <c r="X3181" s="19"/>
      <c r="Y3181" s="19"/>
      <c r="Z3181" s="19"/>
    </row>
    <row r="3182">
      <c r="A3182" s="24"/>
      <c r="B3182" s="19"/>
      <c r="C3182" s="19"/>
      <c r="D3182" s="19"/>
      <c r="E3182" s="19"/>
      <c r="F3182" s="19"/>
      <c r="G3182" s="19"/>
      <c r="H3182" s="19"/>
      <c r="I3182" s="19"/>
      <c r="J3182" s="19"/>
      <c r="K3182" s="19"/>
      <c r="L3182" s="25"/>
      <c r="M3182" s="25"/>
      <c r="N3182" s="25"/>
      <c r="O3182" s="25"/>
      <c r="P3182" s="25"/>
      <c r="Q3182" s="19"/>
      <c r="R3182" s="19"/>
      <c r="S3182" s="19"/>
      <c r="T3182" s="19"/>
      <c r="U3182" s="25"/>
      <c r="V3182" s="19"/>
      <c r="W3182" s="19"/>
      <c r="X3182" s="19"/>
      <c r="Y3182" s="19"/>
      <c r="Z3182" s="19"/>
    </row>
    <row r="3183">
      <c r="A3183" s="24"/>
      <c r="B3183" s="19"/>
      <c r="C3183" s="19"/>
      <c r="D3183" s="19"/>
      <c r="E3183" s="19"/>
      <c r="F3183" s="19"/>
      <c r="G3183" s="19"/>
      <c r="H3183" s="19"/>
      <c r="I3183" s="19"/>
      <c r="J3183" s="19"/>
      <c r="K3183" s="19"/>
      <c r="L3183" s="25"/>
      <c r="M3183" s="25"/>
      <c r="N3183" s="25"/>
      <c r="O3183" s="25"/>
      <c r="P3183" s="25"/>
      <c r="Q3183" s="19"/>
      <c r="R3183" s="19"/>
      <c r="S3183" s="19"/>
      <c r="T3183" s="19"/>
      <c r="U3183" s="25"/>
      <c r="V3183" s="19"/>
      <c r="W3183" s="19"/>
      <c r="X3183" s="19"/>
      <c r="Y3183" s="19"/>
      <c r="Z3183" s="19"/>
    </row>
    <row r="3184">
      <c r="A3184" s="24"/>
      <c r="B3184" s="19"/>
      <c r="C3184" s="19"/>
      <c r="D3184" s="19"/>
      <c r="E3184" s="19"/>
      <c r="F3184" s="19"/>
      <c r="G3184" s="19"/>
      <c r="H3184" s="19"/>
      <c r="I3184" s="19"/>
      <c r="J3184" s="19"/>
      <c r="K3184" s="19"/>
      <c r="L3184" s="25"/>
      <c r="M3184" s="25"/>
      <c r="N3184" s="25"/>
      <c r="O3184" s="25"/>
      <c r="P3184" s="25"/>
      <c r="Q3184" s="19"/>
      <c r="R3184" s="19"/>
      <c r="S3184" s="19"/>
      <c r="T3184" s="19"/>
      <c r="U3184" s="25"/>
      <c r="V3184" s="19"/>
      <c r="W3184" s="19"/>
      <c r="X3184" s="19"/>
      <c r="Y3184" s="19"/>
      <c r="Z3184" s="19"/>
    </row>
    <row r="3185">
      <c r="A3185" s="24"/>
      <c r="B3185" s="19"/>
      <c r="C3185" s="19"/>
      <c r="D3185" s="19"/>
      <c r="E3185" s="19"/>
      <c r="F3185" s="19"/>
      <c r="G3185" s="19"/>
      <c r="H3185" s="19"/>
      <c r="I3185" s="19"/>
      <c r="J3185" s="19"/>
      <c r="K3185" s="19"/>
      <c r="L3185" s="25"/>
      <c r="M3185" s="25"/>
      <c r="N3185" s="25"/>
      <c r="O3185" s="25"/>
      <c r="P3185" s="25"/>
      <c r="Q3185" s="19"/>
      <c r="R3185" s="19"/>
      <c r="S3185" s="19"/>
      <c r="T3185" s="19"/>
      <c r="U3185" s="25"/>
      <c r="V3185" s="19"/>
      <c r="W3185" s="19"/>
      <c r="X3185" s="19"/>
      <c r="Y3185" s="19"/>
      <c r="Z3185" s="19"/>
    </row>
    <row r="3186">
      <c r="A3186" s="24"/>
      <c r="B3186" s="19"/>
      <c r="C3186" s="19"/>
      <c r="D3186" s="19"/>
      <c r="E3186" s="19"/>
      <c r="F3186" s="19"/>
      <c r="G3186" s="19"/>
      <c r="H3186" s="19"/>
      <c r="I3186" s="19"/>
      <c r="J3186" s="19"/>
      <c r="K3186" s="19"/>
      <c r="L3186" s="25"/>
      <c r="M3186" s="25"/>
      <c r="N3186" s="25"/>
      <c r="O3186" s="25"/>
      <c r="P3186" s="25"/>
      <c r="Q3186" s="19"/>
      <c r="R3186" s="19"/>
      <c r="S3186" s="19"/>
      <c r="T3186" s="19"/>
      <c r="U3186" s="25"/>
      <c r="V3186" s="19"/>
      <c r="W3186" s="19"/>
      <c r="X3186" s="19"/>
      <c r="Y3186" s="19"/>
      <c r="Z3186" s="19"/>
    </row>
    <row r="3187">
      <c r="A3187" s="24"/>
      <c r="B3187" s="19"/>
      <c r="C3187" s="19"/>
      <c r="D3187" s="19"/>
      <c r="E3187" s="19"/>
      <c r="F3187" s="19"/>
      <c r="G3187" s="19"/>
      <c r="H3187" s="19"/>
      <c r="I3187" s="19"/>
      <c r="J3187" s="19"/>
      <c r="K3187" s="19"/>
      <c r="L3187" s="25"/>
      <c r="M3187" s="25"/>
      <c r="N3187" s="25"/>
      <c r="O3187" s="25"/>
      <c r="P3187" s="25"/>
      <c r="Q3187" s="19"/>
      <c r="R3187" s="19"/>
      <c r="S3187" s="19"/>
      <c r="T3187" s="19"/>
      <c r="U3187" s="25"/>
      <c r="V3187" s="19"/>
      <c r="W3187" s="19"/>
      <c r="X3187" s="19"/>
      <c r="Y3187" s="19"/>
      <c r="Z3187" s="19"/>
    </row>
    <row r="3188">
      <c r="A3188" s="24"/>
      <c r="B3188" s="19"/>
      <c r="C3188" s="19"/>
      <c r="D3188" s="19"/>
      <c r="E3188" s="19"/>
      <c r="F3188" s="19"/>
      <c r="G3188" s="19"/>
      <c r="H3188" s="19"/>
      <c r="I3188" s="19"/>
      <c r="J3188" s="19"/>
      <c r="K3188" s="19"/>
      <c r="L3188" s="25"/>
      <c r="M3188" s="25"/>
      <c r="N3188" s="25"/>
      <c r="O3188" s="25"/>
      <c r="P3188" s="25"/>
      <c r="Q3188" s="19"/>
      <c r="R3188" s="19"/>
      <c r="S3188" s="19"/>
      <c r="T3188" s="19"/>
      <c r="U3188" s="25"/>
      <c r="V3188" s="19"/>
      <c r="W3188" s="19"/>
      <c r="X3188" s="19"/>
      <c r="Y3188" s="19"/>
      <c r="Z3188" s="19"/>
    </row>
    <row r="3189">
      <c r="A3189" s="24"/>
      <c r="B3189" s="19"/>
      <c r="C3189" s="19"/>
      <c r="D3189" s="19"/>
      <c r="E3189" s="19"/>
      <c r="F3189" s="19"/>
      <c r="G3189" s="19"/>
      <c r="H3189" s="19"/>
      <c r="I3189" s="19"/>
      <c r="J3189" s="19"/>
      <c r="K3189" s="19"/>
      <c r="L3189" s="25"/>
      <c r="M3189" s="25"/>
      <c r="N3189" s="25"/>
      <c r="O3189" s="25"/>
      <c r="P3189" s="25"/>
      <c r="Q3189" s="19"/>
      <c r="R3189" s="19"/>
      <c r="S3189" s="19"/>
      <c r="T3189" s="19"/>
      <c r="U3189" s="25"/>
      <c r="V3189" s="19"/>
      <c r="W3189" s="19"/>
      <c r="X3189" s="19"/>
      <c r="Y3189" s="19"/>
      <c r="Z3189" s="19"/>
    </row>
    <row r="3190">
      <c r="A3190" s="24"/>
      <c r="B3190" s="19"/>
      <c r="C3190" s="19"/>
      <c r="D3190" s="19"/>
      <c r="E3190" s="19"/>
      <c r="F3190" s="19"/>
      <c r="G3190" s="19"/>
      <c r="H3190" s="19"/>
      <c r="I3190" s="19"/>
      <c r="J3190" s="19"/>
      <c r="K3190" s="19"/>
      <c r="L3190" s="25"/>
      <c r="M3190" s="25"/>
      <c r="N3190" s="25"/>
      <c r="O3190" s="25"/>
      <c r="P3190" s="25"/>
      <c r="Q3190" s="19"/>
      <c r="R3190" s="19"/>
      <c r="S3190" s="19"/>
      <c r="T3190" s="19"/>
      <c r="U3190" s="25"/>
      <c r="V3190" s="19"/>
      <c r="W3190" s="19"/>
      <c r="X3190" s="19"/>
      <c r="Y3190" s="19"/>
      <c r="Z3190" s="19"/>
    </row>
    <row r="3191">
      <c r="A3191" s="24"/>
      <c r="B3191" s="19"/>
      <c r="C3191" s="19"/>
      <c r="D3191" s="19"/>
      <c r="E3191" s="19"/>
      <c r="F3191" s="19"/>
      <c r="G3191" s="19"/>
      <c r="H3191" s="19"/>
      <c r="I3191" s="19"/>
      <c r="J3191" s="19"/>
      <c r="K3191" s="19"/>
      <c r="L3191" s="25"/>
      <c r="M3191" s="25"/>
      <c r="N3191" s="25"/>
      <c r="O3191" s="25"/>
      <c r="P3191" s="25"/>
      <c r="Q3191" s="19"/>
      <c r="R3191" s="19"/>
      <c r="S3191" s="19"/>
      <c r="T3191" s="19"/>
      <c r="U3191" s="25"/>
      <c r="V3191" s="19"/>
      <c r="W3191" s="19"/>
      <c r="X3191" s="19"/>
      <c r="Y3191" s="19"/>
      <c r="Z3191" s="19"/>
    </row>
    <row r="3192">
      <c r="A3192" s="24"/>
      <c r="B3192" s="19"/>
      <c r="C3192" s="19"/>
      <c r="D3192" s="19"/>
      <c r="E3192" s="19"/>
      <c r="F3192" s="19"/>
      <c r="G3192" s="19"/>
      <c r="H3192" s="19"/>
      <c r="I3192" s="19"/>
      <c r="J3192" s="19"/>
      <c r="K3192" s="19"/>
      <c r="L3192" s="25"/>
      <c r="M3192" s="25"/>
      <c r="N3192" s="25"/>
      <c r="O3192" s="25"/>
      <c r="P3192" s="25"/>
      <c r="Q3192" s="19"/>
      <c r="R3192" s="19"/>
      <c r="S3192" s="19"/>
      <c r="T3192" s="19"/>
      <c r="U3192" s="25"/>
      <c r="V3192" s="19"/>
      <c r="W3192" s="19"/>
      <c r="X3192" s="19"/>
      <c r="Y3192" s="19"/>
      <c r="Z3192" s="19"/>
    </row>
    <row r="3193">
      <c r="A3193" s="24"/>
      <c r="B3193" s="19"/>
      <c r="C3193" s="19"/>
      <c r="D3193" s="19"/>
      <c r="E3193" s="19"/>
      <c r="F3193" s="19"/>
      <c r="G3193" s="19"/>
      <c r="H3193" s="19"/>
      <c r="I3193" s="19"/>
      <c r="J3193" s="19"/>
      <c r="K3193" s="19"/>
      <c r="L3193" s="25"/>
      <c r="M3193" s="25"/>
      <c r="N3193" s="25"/>
      <c r="O3193" s="25"/>
      <c r="P3193" s="25"/>
      <c r="Q3193" s="19"/>
      <c r="R3193" s="19"/>
      <c r="S3193" s="19"/>
      <c r="T3193" s="19"/>
      <c r="U3193" s="25"/>
      <c r="V3193" s="19"/>
      <c r="W3193" s="19"/>
      <c r="X3193" s="19"/>
      <c r="Y3193" s="19"/>
      <c r="Z3193" s="19"/>
    </row>
    <row r="3194">
      <c r="A3194" s="24"/>
      <c r="B3194" s="19"/>
      <c r="C3194" s="19"/>
      <c r="D3194" s="19"/>
      <c r="E3194" s="19"/>
      <c r="F3194" s="19"/>
      <c r="G3194" s="19"/>
      <c r="H3194" s="19"/>
      <c r="I3194" s="19"/>
      <c r="J3194" s="19"/>
      <c r="K3194" s="19"/>
      <c r="L3194" s="25"/>
      <c r="M3194" s="25"/>
      <c r="N3194" s="25"/>
      <c r="O3194" s="25"/>
      <c r="P3194" s="25"/>
      <c r="Q3194" s="19"/>
      <c r="R3194" s="19"/>
      <c r="S3194" s="19"/>
      <c r="T3194" s="19"/>
      <c r="U3194" s="25"/>
      <c r="V3194" s="19"/>
      <c r="W3194" s="19"/>
      <c r="X3194" s="19"/>
      <c r="Y3194" s="19"/>
      <c r="Z3194" s="19"/>
    </row>
    <row r="3195">
      <c r="A3195" s="24"/>
      <c r="B3195" s="19"/>
      <c r="C3195" s="19"/>
      <c r="D3195" s="19"/>
      <c r="E3195" s="19"/>
      <c r="F3195" s="19"/>
      <c r="G3195" s="19"/>
      <c r="H3195" s="19"/>
      <c r="I3195" s="19"/>
      <c r="J3195" s="19"/>
      <c r="K3195" s="19"/>
      <c r="L3195" s="25"/>
      <c r="M3195" s="25"/>
      <c r="N3195" s="25"/>
      <c r="O3195" s="25"/>
      <c r="P3195" s="25"/>
      <c r="Q3195" s="19"/>
      <c r="R3195" s="19"/>
      <c r="S3195" s="19"/>
      <c r="T3195" s="19"/>
      <c r="U3195" s="25"/>
      <c r="V3195" s="19"/>
      <c r="W3195" s="19"/>
      <c r="X3195" s="19"/>
      <c r="Y3195" s="19"/>
      <c r="Z3195" s="19"/>
    </row>
    <row r="3196">
      <c r="A3196" s="24"/>
      <c r="B3196" s="19"/>
      <c r="C3196" s="19"/>
      <c r="D3196" s="19"/>
      <c r="E3196" s="19"/>
      <c r="F3196" s="19"/>
      <c r="G3196" s="19"/>
      <c r="H3196" s="19"/>
      <c r="I3196" s="19"/>
      <c r="J3196" s="19"/>
      <c r="K3196" s="19"/>
      <c r="L3196" s="25"/>
      <c r="M3196" s="25"/>
      <c r="N3196" s="25"/>
      <c r="O3196" s="25"/>
      <c r="P3196" s="25"/>
      <c r="Q3196" s="19"/>
      <c r="R3196" s="19"/>
      <c r="S3196" s="19"/>
      <c r="T3196" s="19"/>
      <c r="U3196" s="25"/>
      <c r="V3196" s="19"/>
      <c r="W3196" s="19"/>
      <c r="X3196" s="19"/>
      <c r="Y3196" s="19"/>
      <c r="Z3196" s="19"/>
    </row>
    <row r="3197">
      <c r="A3197" s="24"/>
      <c r="B3197" s="19"/>
      <c r="C3197" s="19"/>
      <c r="D3197" s="19"/>
      <c r="E3197" s="19"/>
      <c r="F3197" s="19"/>
      <c r="G3197" s="19"/>
      <c r="H3197" s="19"/>
      <c r="I3197" s="19"/>
      <c r="J3197" s="19"/>
      <c r="K3197" s="19"/>
      <c r="L3197" s="25"/>
      <c r="M3197" s="25"/>
      <c r="N3197" s="25"/>
      <c r="O3197" s="25"/>
      <c r="P3197" s="25"/>
      <c r="Q3197" s="19"/>
      <c r="R3197" s="19"/>
      <c r="S3197" s="19"/>
      <c r="T3197" s="19"/>
      <c r="U3197" s="25"/>
      <c r="V3197" s="19"/>
      <c r="W3197" s="19"/>
      <c r="X3197" s="19"/>
      <c r="Y3197" s="19"/>
      <c r="Z3197" s="19"/>
    </row>
    <row r="3198">
      <c r="A3198" s="24"/>
      <c r="B3198" s="19"/>
      <c r="C3198" s="19"/>
      <c r="D3198" s="19"/>
      <c r="E3198" s="19"/>
      <c r="F3198" s="19"/>
      <c r="G3198" s="19"/>
      <c r="H3198" s="19"/>
      <c r="I3198" s="19"/>
      <c r="J3198" s="19"/>
      <c r="K3198" s="19"/>
      <c r="L3198" s="25"/>
      <c r="M3198" s="25"/>
      <c r="N3198" s="25"/>
      <c r="O3198" s="25"/>
      <c r="P3198" s="25"/>
      <c r="Q3198" s="19"/>
      <c r="R3198" s="19"/>
      <c r="S3198" s="19"/>
      <c r="T3198" s="19"/>
      <c r="U3198" s="25"/>
      <c r="V3198" s="19"/>
      <c r="W3198" s="19"/>
      <c r="X3198" s="19"/>
      <c r="Y3198" s="19"/>
      <c r="Z3198" s="19"/>
    </row>
    <row r="3199">
      <c r="A3199" s="24"/>
      <c r="B3199" s="19"/>
      <c r="C3199" s="19"/>
      <c r="D3199" s="19"/>
      <c r="E3199" s="19"/>
      <c r="F3199" s="19"/>
      <c r="G3199" s="19"/>
      <c r="H3199" s="19"/>
      <c r="I3199" s="19"/>
      <c r="J3199" s="19"/>
      <c r="K3199" s="19"/>
      <c r="L3199" s="25"/>
      <c r="M3199" s="25"/>
      <c r="N3199" s="25"/>
      <c r="O3199" s="25"/>
      <c r="P3199" s="25"/>
      <c r="Q3199" s="19"/>
      <c r="R3199" s="19"/>
      <c r="S3199" s="19"/>
      <c r="T3199" s="19"/>
      <c r="U3199" s="25"/>
      <c r="V3199" s="19"/>
      <c r="W3199" s="19"/>
      <c r="X3199" s="19"/>
      <c r="Y3199" s="19"/>
      <c r="Z3199" s="19"/>
    </row>
    <row r="3200">
      <c r="A3200" s="24"/>
      <c r="B3200" s="19"/>
      <c r="C3200" s="19"/>
      <c r="D3200" s="19"/>
      <c r="E3200" s="19"/>
      <c r="F3200" s="19"/>
      <c r="G3200" s="19"/>
      <c r="H3200" s="19"/>
      <c r="I3200" s="19"/>
      <c r="J3200" s="19"/>
      <c r="K3200" s="19"/>
      <c r="L3200" s="25"/>
      <c r="M3200" s="25"/>
      <c r="N3200" s="25"/>
      <c r="O3200" s="25"/>
      <c r="P3200" s="25"/>
      <c r="Q3200" s="19"/>
      <c r="R3200" s="19"/>
      <c r="S3200" s="19"/>
      <c r="T3200" s="19"/>
      <c r="U3200" s="25"/>
      <c r="V3200" s="19"/>
      <c r="W3200" s="19"/>
      <c r="X3200" s="19"/>
      <c r="Y3200" s="19"/>
      <c r="Z3200" s="19"/>
    </row>
    <row r="3201">
      <c r="A3201" s="24"/>
      <c r="B3201" s="19"/>
      <c r="C3201" s="19"/>
      <c r="D3201" s="19"/>
      <c r="E3201" s="19"/>
      <c r="F3201" s="19"/>
      <c r="G3201" s="19"/>
      <c r="H3201" s="19"/>
      <c r="I3201" s="19"/>
      <c r="J3201" s="19"/>
      <c r="K3201" s="19"/>
      <c r="L3201" s="25"/>
      <c r="M3201" s="25"/>
      <c r="N3201" s="25"/>
      <c r="O3201" s="25"/>
      <c r="P3201" s="25"/>
      <c r="Q3201" s="19"/>
      <c r="R3201" s="19"/>
      <c r="S3201" s="19"/>
      <c r="T3201" s="19"/>
      <c r="U3201" s="25"/>
      <c r="V3201" s="19"/>
      <c r="W3201" s="19"/>
      <c r="X3201" s="19"/>
      <c r="Y3201" s="19"/>
      <c r="Z3201" s="19"/>
    </row>
    <row r="3202">
      <c r="A3202" s="24"/>
      <c r="B3202" s="19"/>
      <c r="C3202" s="19"/>
      <c r="D3202" s="19"/>
      <c r="E3202" s="19"/>
      <c r="F3202" s="19"/>
      <c r="G3202" s="19"/>
      <c r="H3202" s="19"/>
      <c r="I3202" s="19"/>
      <c r="J3202" s="19"/>
      <c r="K3202" s="19"/>
      <c r="L3202" s="25"/>
      <c r="M3202" s="25"/>
      <c r="N3202" s="25"/>
      <c r="O3202" s="25"/>
      <c r="P3202" s="25"/>
      <c r="Q3202" s="19"/>
      <c r="R3202" s="19"/>
      <c r="S3202" s="19"/>
      <c r="T3202" s="19"/>
      <c r="U3202" s="25"/>
      <c r="V3202" s="19"/>
      <c r="W3202" s="19"/>
      <c r="X3202" s="19"/>
      <c r="Y3202" s="19"/>
      <c r="Z3202" s="19"/>
    </row>
    <row r="3203">
      <c r="A3203" s="24"/>
      <c r="B3203" s="19"/>
      <c r="C3203" s="19"/>
      <c r="D3203" s="19"/>
      <c r="E3203" s="19"/>
      <c r="F3203" s="19"/>
      <c r="G3203" s="19"/>
      <c r="H3203" s="19"/>
      <c r="I3203" s="19"/>
      <c r="J3203" s="19"/>
      <c r="K3203" s="19"/>
      <c r="L3203" s="25"/>
      <c r="M3203" s="25"/>
      <c r="N3203" s="25"/>
      <c r="O3203" s="25"/>
      <c r="P3203" s="25"/>
      <c r="Q3203" s="19"/>
      <c r="R3203" s="19"/>
      <c r="S3203" s="19"/>
      <c r="T3203" s="19"/>
      <c r="U3203" s="25"/>
      <c r="V3203" s="19"/>
      <c r="W3203" s="19"/>
      <c r="X3203" s="19"/>
      <c r="Y3203" s="19"/>
      <c r="Z3203" s="19"/>
    </row>
    <row r="3204">
      <c r="A3204" s="24"/>
      <c r="B3204" s="19"/>
      <c r="C3204" s="19"/>
      <c r="D3204" s="19"/>
      <c r="E3204" s="19"/>
      <c r="F3204" s="19"/>
      <c r="G3204" s="19"/>
      <c r="H3204" s="19"/>
      <c r="I3204" s="19"/>
      <c r="J3204" s="19"/>
      <c r="K3204" s="19"/>
      <c r="L3204" s="25"/>
      <c r="M3204" s="25"/>
      <c r="N3204" s="25"/>
      <c r="O3204" s="25"/>
      <c r="P3204" s="25"/>
      <c r="Q3204" s="19"/>
      <c r="R3204" s="19"/>
      <c r="S3204" s="19"/>
      <c r="T3204" s="19"/>
      <c r="U3204" s="25"/>
      <c r="V3204" s="19"/>
      <c r="W3204" s="19"/>
      <c r="X3204" s="19"/>
      <c r="Y3204" s="19"/>
      <c r="Z3204" s="19"/>
    </row>
    <row r="3205">
      <c r="A3205" s="24"/>
      <c r="B3205" s="19"/>
      <c r="C3205" s="19"/>
      <c r="D3205" s="19"/>
      <c r="E3205" s="19"/>
      <c r="F3205" s="19"/>
      <c r="G3205" s="19"/>
      <c r="H3205" s="19"/>
      <c r="I3205" s="19"/>
      <c r="J3205" s="19"/>
      <c r="K3205" s="19"/>
      <c r="L3205" s="25"/>
      <c r="M3205" s="25"/>
      <c r="N3205" s="25"/>
      <c r="O3205" s="25"/>
      <c r="P3205" s="25"/>
      <c r="Q3205" s="19"/>
      <c r="R3205" s="19"/>
      <c r="S3205" s="19"/>
      <c r="T3205" s="19"/>
      <c r="U3205" s="25"/>
      <c r="V3205" s="19"/>
      <c r="W3205" s="19"/>
      <c r="X3205" s="19"/>
      <c r="Y3205" s="19"/>
      <c r="Z3205" s="19"/>
    </row>
    <row r="3206">
      <c r="A3206" s="24"/>
      <c r="B3206" s="19"/>
      <c r="C3206" s="19"/>
      <c r="D3206" s="19"/>
      <c r="E3206" s="19"/>
      <c r="F3206" s="19"/>
      <c r="G3206" s="19"/>
      <c r="H3206" s="19"/>
      <c r="I3206" s="19"/>
      <c r="J3206" s="19"/>
      <c r="K3206" s="19"/>
      <c r="L3206" s="25"/>
      <c r="M3206" s="25"/>
      <c r="N3206" s="25"/>
      <c r="O3206" s="25"/>
      <c r="P3206" s="25"/>
      <c r="Q3206" s="19"/>
      <c r="R3206" s="19"/>
      <c r="S3206" s="19"/>
      <c r="T3206" s="19"/>
      <c r="U3206" s="25"/>
      <c r="V3206" s="19"/>
      <c r="W3206" s="19"/>
      <c r="X3206" s="19"/>
      <c r="Y3206" s="19"/>
      <c r="Z3206" s="19"/>
    </row>
    <row r="3207">
      <c r="A3207" s="24"/>
      <c r="B3207" s="19"/>
      <c r="C3207" s="19"/>
      <c r="D3207" s="19"/>
      <c r="E3207" s="19"/>
      <c r="F3207" s="19"/>
      <c r="G3207" s="19"/>
      <c r="H3207" s="19"/>
      <c r="I3207" s="19"/>
      <c r="J3207" s="19"/>
      <c r="K3207" s="19"/>
      <c r="L3207" s="25"/>
      <c r="M3207" s="25"/>
      <c r="N3207" s="25"/>
      <c r="O3207" s="25"/>
      <c r="P3207" s="25"/>
      <c r="Q3207" s="19"/>
      <c r="R3207" s="19"/>
      <c r="S3207" s="19"/>
      <c r="T3207" s="19"/>
      <c r="U3207" s="25"/>
      <c r="V3207" s="19"/>
      <c r="W3207" s="19"/>
      <c r="X3207" s="19"/>
      <c r="Y3207" s="19"/>
      <c r="Z3207" s="19"/>
    </row>
    <row r="3208">
      <c r="A3208" s="24"/>
      <c r="B3208" s="19"/>
      <c r="C3208" s="19"/>
      <c r="D3208" s="19"/>
      <c r="E3208" s="19"/>
      <c r="F3208" s="19"/>
      <c r="G3208" s="19"/>
      <c r="H3208" s="19"/>
      <c r="I3208" s="19"/>
      <c r="J3208" s="19"/>
      <c r="K3208" s="19"/>
      <c r="L3208" s="25"/>
      <c r="M3208" s="25"/>
      <c r="N3208" s="25"/>
      <c r="O3208" s="25"/>
      <c r="P3208" s="25"/>
      <c r="Q3208" s="19"/>
      <c r="R3208" s="19"/>
      <c r="S3208" s="19"/>
      <c r="T3208" s="19"/>
      <c r="U3208" s="25"/>
      <c r="V3208" s="19"/>
      <c r="W3208" s="19"/>
      <c r="X3208" s="19"/>
      <c r="Y3208" s="19"/>
      <c r="Z3208" s="19"/>
    </row>
    <row r="3209">
      <c r="A3209" s="24"/>
      <c r="B3209" s="19"/>
      <c r="C3209" s="19"/>
      <c r="D3209" s="19"/>
      <c r="E3209" s="19"/>
      <c r="F3209" s="19"/>
      <c r="G3209" s="19"/>
      <c r="H3209" s="19"/>
      <c r="I3209" s="19"/>
      <c r="J3209" s="19"/>
      <c r="K3209" s="19"/>
      <c r="L3209" s="25"/>
      <c r="M3209" s="25"/>
      <c r="N3209" s="25"/>
      <c r="O3209" s="25"/>
      <c r="P3209" s="25"/>
      <c r="Q3209" s="19"/>
      <c r="R3209" s="19"/>
      <c r="S3209" s="19"/>
      <c r="T3209" s="19"/>
      <c r="U3209" s="25"/>
      <c r="V3209" s="19"/>
      <c r="W3209" s="19"/>
      <c r="X3209" s="19"/>
      <c r="Y3209" s="19"/>
      <c r="Z3209" s="19"/>
    </row>
    <row r="3210">
      <c r="A3210" s="24"/>
      <c r="B3210" s="19"/>
      <c r="C3210" s="19"/>
      <c r="D3210" s="19"/>
      <c r="E3210" s="19"/>
      <c r="F3210" s="19"/>
      <c r="G3210" s="19"/>
      <c r="H3210" s="19"/>
      <c r="I3210" s="19"/>
      <c r="J3210" s="19"/>
      <c r="K3210" s="19"/>
      <c r="L3210" s="25"/>
      <c r="M3210" s="25"/>
      <c r="N3210" s="25"/>
      <c r="O3210" s="25"/>
      <c r="P3210" s="25"/>
      <c r="Q3210" s="19"/>
      <c r="R3210" s="19"/>
      <c r="S3210" s="19"/>
      <c r="T3210" s="19"/>
      <c r="U3210" s="25"/>
      <c r="V3210" s="19"/>
      <c r="W3210" s="19"/>
      <c r="X3210" s="19"/>
      <c r="Y3210" s="19"/>
      <c r="Z3210" s="19"/>
    </row>
    <row r="3211">
      <c r="A3211" s="24"/>
      <c r="B3211" s="19"/>
      <c r="C3211" s="19"/>
      <c r="D3211" s="19"/>
      <c r="E3211" s="19"/>
      <c r="F3211" s="19"/>
      <c r="G3211" s="19"/>
      <c r="H3211" s="19"/>
      <c r="I3211" s="19"/>
      <c r="J3211" s="19"/>
      <c r="K3211" s="19"/>
      <c r="L3211" s="25"/>
      <c r="M3211" s="25"/>
      <c r="N3211" s="25"/>
      <c r="O3211" s="25"/>
      <c r="P3211" s="25"/>
      <c r="Q3211" s="19"/>
      <c r="R3211" s="19"/>
      <c r="S3211" s="19"/>
      <c r="T3211" s="19"/>
      <c r="U3211" s="25"/>
      <c r="V3211" s="19"/>
      <c r="W3211" s="19"/>
      <c r="X3211" s="19"/>
      <c r="Y3211" s="19"/>
      <c r="Z3211" s="19"/>
    </row>
    <row r="3212">
      <c r="A3212" s="24"/>
      <c r="B3212" s="19"/>
      <c r="C3212" s="19"/>
      <c r="D3212" s="19"/>
      <c r="E3212" s="19"/>
      <c r="F3212" s="19"/>
      <c r="G3212" s="19"/>
      <c r="H3212" s="19"/>
      <c r="I3212" s="19"/>
      <c r="J3212" s="19"/>
      <c r="K3212" s="19"/>
      <c r="L3212" s="25"/>
      <c r="M3212" s="25"/>
      <c r="N3212" s="25"/>
      <c r="O3212" s="25"/>
      <c r="P3212" s="25"/>
      <c r="Q3212" s="19"/>
      <c r="R3212" s="19"/>
      <c r="S3212" s="19"/>
      <c r="T3212" s="19"/>
      <c r="U3212" s="25"/>
      <c r="V3212" s="19"/>
      <c r="W3212" s="19"/>
      <c r="X3212" s="19"/>
      <c r="Y3212" s="19"/>
      <c r="Z3212" s="19"/>
    </row>
    <row r="3213">
      <c r="A3213" s="24"/>
      <c r="B3213" s="19"/>
      <c r="C3213" s="19"/>
      <c r="D3213" s="19"/>
      <c r="E3213" s="19"/>
      <c r="F3213" s="19"/>
      <c r="G3213" s="19"/>
      <c r="H3213" s="19"/>
      <c r="I3213" s="19"/>
      <c r="J3213" s="19"/>
      <c r="K3213" s="19"/>
      <c r="L3213" s="25"/>
      <c r="M3213" s="25"/>
      <c r="N3213" s="25"/>
      <c r="O3213" s="25"/>
      <c r="P3213" s="25"/>
      <c r="Q3213" s="19"/>
      <c r="R3213" s="19"/>
      <c r="S3213" s="19"/>
      <c r="T3213" s="19"/>
      <c r="U3213" s="25"/>
      <c r="V3213" s="19"/>
      <c r="W3213" s="19"/>
      <c r="X3213" s="19"/>
      <c r="Y3213" s="19"/>
      <c r="Z3213" s="19"/>
    </row>
    <row r="3214">
      <c r="A3214" s="24"/>
      <c r="B3214" s="19"/>
      <c r="C3214" s="19"/>
      <c r="D3214" s="19"/>
      <c r="E3214" s="19"/>
      <c r="F3214" s="19"/>
      <c r="G3214" s="19"/>
      <c r="H3214" s="19"/>
      <c r="I3214" s="19"/>
      <c r="J3214" s="19"/>
      <c r="K3214" s="19"/>
      <c r="L3214" s="25"/>
      <c r="M3214" s="25"/>
      <c r="N3214" s="25"/>
      <c r="O3214" s="25"/>
      <c r="P3214" s="25"/>
      <c r="Q3214" s="19"/>
      <c r="R3214" s="19"/>
      <c r="S3214" s="19"/>
      <c r="T3214" s="19"/>
      <c r="U3214" s="25"/>
      <c r="V3214" s="19"/>
      <c r="W3214" s="19"/>
      <c r="X3214" s="19"/>
      <c r="Y3214" s="19"/>
      <c r="Z3214" s="19"/>
    </row>
    <row r="3215">
      <c r="A3215" s="24"/>
      <c r="B3215" s="19"/>
      <c r="C3215" s="19"/>
      <c r="D3215" s="19"/>
      <c r="E3215" s="19"/>
      <c r="F3215" s="19"/>
      <c r="G3215" s="19"/>
      <c r="H3215" s="19"/>
      <c r="I3215" s="19"/>
      <c r="J3215" s="19"/>
      <c r="K3215" s="19"/>
      <c r="L3215" s="25"/>
      <c r="M3215" s="25"/>
      <c r="N3215" s="25"/>
      <c r="O3215" s="25"/>
      <c r="P3215" s="25"/>
      <c r="Q3215" s="19"/>
      <c r="R3215" s="19"/>
      <c r="S3215" s="19"/>
      <c r="T3215" s="19"/>
      <c r="U3215" s="25"/>
      <c r="V3215" s="19"/>
      <c r="W3215" s="19"/>
      <c r="X3215" s="19"/>
      <c r="Y3215" s="19"/>
      <c r="Z3215" s="19"/>
    </row>
    <row r="3216">
      <c r="A3216" s="24"/>
      <c r="B3216" s="19"/>
      <c r="C3216" s="19"/>
      <c r="D3216" s="19"/>
      <c r="E3216" s="19"/>
      <c r="F3216" s="19"/>
      <c r="G3216" s="19"/>
      <c r="H3216" s="19"/>
      <c r="I3216" s="19"/>
      <c r="J3216" s="19"/>
      <c r="K3216" s="19"/>
      <c r="L3216" s="25"/>
      <c r="M3216" s="25"/>
      <c r="N3216" s="25"/>
      <c r="O3216" s="25"/>
      <c r="P3216" s="25"/>
      <c r="Q3216" s="19"/>
      <c r="R3216" s="19"/>
      <c r="S3216" s="19"/>
      <c r="T3216" s="19"/>
      <c r="U3216" s="25"/>
      <c r="V3216" s="19"/>
      <c r="W3216" s="19"/>
      <c r="X3216" s="19"/>
      <c r="Y3216" s="19"/>
      <c r="Z3216" s="19"/>
    </row>
    <row r="3217">
      <c r="A3217" s="24"/>
      <c r="B3217" s="19"/>
      <c r="C3217" s="19"/>
      <c r="D3217" s="19"/>
      <c r="E3217" s="19"/>
      <c r="F3217" s="19"/>
      <c r="G3217" s="19"/>
      <c r="H3217" s="19"/>
      <c r="I3217" s="19"/>
      <c r="J3217" s="19"/>
      <c r="K3217" s="19"/>
      <c r="L3217" s="25"/>
      <c r="M3217" s="25"/>
      <c r="N3217" s="25"/>
      <c r="O3217" s="25"/>
      <c r="P3217" s="25"/>
      <c r="Q3217" s="19"/>
      <c r="R3217" s="19"/>
      <c r="S3217" s="19"/>
      <c r="T3217" s="19"/>
      <c r="U3217" s="25"/>
      <c r="V3217" s="19"/>
      <c r="W3217" s="19"/>
      <c r="X3217" s="19"/>
      <c r="Y3217" s="19"/>
      <c r="Z3217" s="19"/>
    </row>
    <row r="3218">
      <c r="A3218" s="24"/>
      <c r="B3218" s="19"/>
      <c r="C3218" s="19"/>
      <c r="D3218" s="19"/>
      <c r="E3218" s="19"/>
      <c r="F3218" s="19"/>
      <c r="G3218" s="19"/>
      <c r="H3218" s="19"/>
      <c r="I3218" s="19"/>
      <c r="J3218" s="19"/>
      <c r="K3218" s="19"/>
      <c r="L3218" s="25"/>
      <c r="M3218" s="25"/>
      <c r="N3218" s="25"/>
      <c r="O3218" s="25"/>
      <c r="P3218" s="25"/>
      <c r="Q3218" s="19"/>
      <c r="R3218" s="19"/>
      <c r="S3218" s="19"/>
      <c r="T3218" s="19"/>
      <c r="U3218" s="25"/>
      <c r="V3218" s="19"/>
      <c r="W3218" s="19"/>
      <c r="X3218" s="19"/>
      <c r="Y3218" s="19"/>
      <c r="Z3218" s="19"/>
    </row>
    <row r="3219">
      <c r="A3219" s="24"/>
      <c r="B3219" s="19"/>
      <c r="C3219" s="19"/>
      <c r="D3219" s="19"/>
      <c r="E3219" s="19"/>
      <c r="F3219" s="19"/>
      <c r="G3219" s="19"/>
      <c r="H3219" s="19"/>
      <c r="I3219" s="19"/>
      <c r="J3219" s="19"/>
      <c r="K3219" s="19"/>
      <c r="L3219" s="25"/>
      <c r="M3219" s="25"/>
      <c r="N3219" s="25"/>
      <c r="O3219" s="25"/>
      <c r="P3219" s="25"/>
      <c r="Q3219" s="19"/>
      <c r="R3219" s="19"/>
      <c r="S3219" s="19"/>
      <c r="T3219" s="19"/>
      <c r="U3219" s="25"/>
      <c r="V3219" s="19"/>
      <c r="W3219" s="19"/>
      <c r="X3219" s="19"/>
      <c r="Y3219" s="19"/>
      <c r="Z3219" s="19"/>
    </row>
    <row r="3220">
      <c r="A3220" s="24"/>
      <c r="B3220" s="19"/>
      <c r="C3220" s="19"/>
      <c r="D3220" s="19"/>
      <c r="E3220" s="19"/>
      <c r="F3220" s="19"/>
      <c r="G3220" s="19"/>
      <c r="H3220" s="19"/>
      <c r="I3220" s="19"/>
      <c r="J3220" s="19"/>
      <c r="K3220" s="19"/>
      <c r="L3220" s="25"/>
      <c r="M3220" s="25"/>
      <c r="N3220" s="25"/>
      <c r="O3220" s="25"/>
      <c r="P3220" s="25"/>
      <c r="Q3220" s="19"/>
      <c r="R3220" s="19"/>
      <c r="S3220" s="19"/>
      <c r="T3220" s="19"/>
      <c r="U3220" s="25"/>
      <c r="V3220" s="19"/>
      <c r="W3220" s="19"/>
      <c r="X3220" s="19"/>
      <c r="Y3220" s="19"/>
      <c r="Z3220" s="19"/>
    </row>
    <row r="3221">
      <c r="A3221" s="24"/>
      <c r="B3221" s="19"/>
      <c r="C3221" s="19"/>
      <c r="D3221" s="19"/>
      <c r="E3221" s="19"/>
      <c r="F3221" s="19"/>
      <c r="G3221" s="19"/>
      <c r="H3221" s="19"/>
      <c r="I3221" s="19"/>
      <c r="J3221" s="19"/>
      <c r="K3221" s="19"/>
      <c r="L3221" s="25"/>
      <c r="M3221" s="25"/>
      <c r="N3221" s="25"/>
      <c r="O3221" s="25"/>
      <c r="P3221" s="25"/>
      <c r="Q3221" s="19"/>
      <c r="R3221" s="19"/>
      <c r="S3221" s="19"/>
      <c r="T3221" s="19"/>
      <c r="U3221" s="25"/>
      <c r="V3221" s="19"/>
      <c r="W3221" s="19"/>
      <c r="X3221" s="19"/>
      <c r="Y3221" s="19"/>
      <c r="Z3221" s="19"/>
    </row>
    <row r="3222">
      <c r="A3222" s="24"/>
      <c r="B3222" s="19"/>
      <c r="C3222" s="19"/>
      <c r="D3222" s="19"/>
      <c r="E3222" s="19"/>
      <c r="F3222" s="19"/>
      <c r="G3222" s="19"/>
      <c r="H3222" s="19"/>
      <c r="I3222" s="19"/>
      <c r="J3222" s="19"/>
      <c r="K3222" s="19"/>
      <c r="L3222" s="25"/>
      <c r="M3222" s="25"/>
      <c r="N3222" s="25"/>
      <c r="O3222" s="25"/>
      <c r="P3222" s="25"/>
      <c r="Q3222" s="19"/>
      <c r="R3222" s="19"/>
      <c r="S3222" s="19"/>
      <c r="T3222" s="19"/>
      <c r="U3222" s="25"/>
      <c r="V3222" s="19"/>
      <c r="W3222" s="19"/>
      <c r="X3222" s="19"/>
      <c r="Y3222" s="19"/>
      <c r="Z3222" s="19"/>
    </row>
    <row r="3223">
      <c r="A3223" s="24"/>
      <c r="B3223" s="19"/>
      <c r="C3223" s="19"/>
      <c r="D3223" s="19"/>
      <c r="E3223" s="19"/>
      <c r="F3223" s="19"/>
      <c r="G3223" s="19"/>
      <c r="H3223" s="19"/>
      <c r="I3223" s="19"/>
      <c r="J3223" s="19"/>
      <c r="K3223" s="19"/>
      <c r="L3223" s="25"/>
      <c r="M3223" s="25"/>
      <c r="N3223" s="25"/>
      <c r="O3223" s="25"/>
      <c r="P3223" s="25"/>
      <c r="Q3223" s="19"/>
      <c r="R3223" s="19"/>
      <c r="S3223" s="19"/>
      <c r="T3223" s="19"/>
      <c r="U3223" s="25"/>
      <c r="V3223" s="19"/>
      <c r="W3223" s="19"/>
      <c r="X3223" s="19"/>
      <c r="Y3223" s="19"/>
      <c r="Z3223" s="19"/>
    </row>
    <row r="3224">
      <c r="A3224" s="24"/>
      <c r="B3224" s="19"/>
      <c r="C3224" s="19"/>
      <c r="D3224" s="19"/>
      <c r="E3224" s="19"/>
      <c r="F3224" s="19"/>
      <c r="G3224" s="19"/>
      <c r="H3224" s="19"/>
      <c r="I3224" s="19"/>
      <c r="J3224" s="19"/>
      <c r="K3224" s="19"/>
      <c r="L3224" s="25"/>
      <c r="M3224" s="25"/>
      <c r="N3224" s="25"/>
      <c r="O3224" s="25"/>
      <c r="P3224" s="25"/>
      <c r="Q3224" s="19"/>
      <c r="R3224" s="19"/>
      <c r="S3224" s="19"/>
      <c r="T3224" s="19"/>
      <c r="U3224" s="25"/>
      <c r="V3224" s="19"/>
      <c r="W3224" s="19"/>
      <c r="X3224" s="19"/>
      <c r="Y3224" s="19"/>
      <c r="Z3224" s="19"/>
    </row>
    <row r="3225">
      <c r="A3225" s="24"/>
      <c r="B3225" s="19"/>
      <c r="C3225" s="19"/>
      <c r="D3225" s="19"/>
      <c r="E3225" s="19"/>
      <c r="F3225" s="19"/>
      <c r="G3225" s="19"/>
      <c r="H3225" s="19"/>
      <c r="I3225" s="19"/>
      <c r="J3225" s="19"/>
      <c r="K3225" s="19"/>
      <c r="L3225" s="25"/>
      <c r="M3225" s="25"/>
      <c r="N3225" s="25"/>
      <c r="O3225" s="25"/>
      <c r="P3225" s="25"/>
      <c r="Q3225" s="19"/>
      <c r="R3225" s="19"/>
      <c r="S3225" s="19"/>
      <c r="T3225" s="19"/>
      <c r="U3225" s="25"/>
      <c r="V3225" s="19"/>
      <c r="W3225" s="19"/>
      <c r="X3225" s="19"/>
      <c r="Y3225" s="19"/>
      <c r="Z3225" s="19"/>
    </row>
    <row r="3226">
      <c r="A3226" s="24"/>
      <c r="B3226" s="19"/>
      <c r="C3226" s="19"/>
      <c r="D3226" s="19"/>
      <c r="E3226" s="19"/>
      <c r="F3226" s="19"/>
      <c r="G3226" s="19"/>
      <c r="H3226" s="19"/>
      <c r="I3226" s="19"/>
      <c r="J3226" s="19"/>
      <c r="K3226" s="19"/>
      <c r="L3226" s="25"/>
      <c r="M3226" s="25"/>
      <c r="N3226" s="25"/>
      <c r="O3226" s="25"/>
      <c r="P3226" s="25"/>
      <c r="Q3226" s="19"/>
      <c r="R3226" s="19"/>
      <c r="S3226" s="19"/>
      <c r="T3226" s="19"/>
      <c r="U3226" s="25"/>
      <c r="V3226" s="19"/>
      <c r="W3226" s="19"/>
      <c r="X3226" s="19"/>
      <c r="Y3226" s="19"/>
      <c r="Z3226" s="19"/>
    </row>
    <row r="3227">
      <c r="A3227" s="24"/>
      <c r="B3227" s="19"/>
      <c r="C3227" s="19"/>
      <c r="D3227" s="19"/>
      <c r="E3227" s="19"/>
      <c r="F3227" s="19"/>
      <c r="G3227" s="19"/>
      <c r="H3227" s="19"/>
      <c r="I3227" s="19"/>
      <c r="J3227" s="19"/>
      <c r="K3227" s="19"/>
      <c r="L3227" s="25"/>
      <c r="M3227" s="25"/>
      <c r="N3227" s="25"/>
      <c r="O3227" s="25"/>
      <c r="P3227" s="25"/>
      <c r="Q3227" s="19"/>
      <c r="R3227" s="19"/>
      <c r="S3227" s="19"/>
      <c r="T3227" s="19"/>
      <c r="U3227" s="25"/>
      <c r="V3227" s="19"/>
      <c r="W3227" s="19"/>
      <c r="X3227" s="19"/>
      <c r="Y3227" s="19"/>
      <c r="Z3227" s="19"/>
    </row>
    <row r="3228">
      <c r="A3228" s="24"/>
      <c r="B3228" s="19"/>
      <c r="C3228" s="19"/>
      <c r="D3228" s="19"/>
      <c r="E3228" s="19"/>
      <c r="F3228" s="19"/>
      <c r="G3228" s="19"/>
      <c r="H3228" s="19"/>
      <c r="I3228" s="19"/>
      <c r="J3228" s="19"/>
      <c r="K3228" s="19"/>
      <c r="L3228" s="25"/>
      <c r="M3228" s="25"/>
      <c r="N3228" s="25"/>
      <c r="O3228" s="25"/>
      <c r="P3228" s="25"/>
      <c r="Q3228" s="19"/>
      <c r="R3228" s="19"/>
      <c r="S3228" s="19"/>
      <c r="T3228" s="19"/>
      <c r="U3228" s="25"/>
      <c r="V3228" s="19"/>
      <c r="W3228" s="19"/>
      <c r="X3228" s="19"/>
      <c r="Y3228" s="19"/>
      <c r="Z3228" s="19"/>
    </row>
    <row r="3229">
      <c r="A3229" s="24"/>
      <c r="B3229" s="19"/>
      <c r="C3229" s="19"/>
      <c r="D3229" s="19"/>
      <c r="E3229" s="19"/>
      <c r="F3229" s="19"/>
      <c r="G3229" s="19"/>
      <c r="H3229" s="19"/>
      <c r="I3229" s="19"/>
      <c r="J3229" s="19"/>
      <c r="K3229" s="19"/>
      <c r="L3229" s="25"/>
      <c r="M3229" s="25"/>
      <c r="N3229" s="25"/>
      <c r="O3229" s="25"/>
      <c r="P3229" s="25"/>
      <c r="Q3229" s="19"/>
      <c r="R3229" s="19"/>
      <c r="S3229" s="19"/>
      <c r="T3229" s="19"/>
      <c r="U3229" s="25"/>
      <c r="V3229" s="19"/>
      <c r="W3229" s="19"/>
      <c r="X3229" s="19"/>
      <c r="Y3229" s="19"/>
      <c r="Z3229" s="19"/>
    </row>
    <row r="3230">
      <c r="A3230" s="24"/>
      <c r="B3230" s="19"/>
      <c r="C3230" s="19"/>
      <c r="D3230" s="19"/>
      <c r="E3230" s="19"/>
      <c r="F3230" s="19"/>
      <c r="G3230" s="19"/>
      <c r="H3230" s="19"/>
      <c r="I3230" s="19"/>
      <c r="J3230" s="19"/>
      <c r="K3230" s="19"/>
      <c r="L3230" s="25"/>
      <c r="M3230" s="25"/>
      <c r="N3230" s="25"/>
      <c r="O3230" s="25"/>
      <c r="P3230" s="25"/>
      <c r="Q3230" s="19"/>
      <c r="R3230" s="19"/>
      <c r="S3230" s="19"/>
      <c r="T3230" s="19"/>
      <c r="U3230" s="25"/>
      <c r="V3230" s="19"/>
      <c r="W3230" s="19"/>
      <c r="X3230" s="19"/>
      <c r="Y3230" s="19"/>
      <c r="Z3230" s="19"/>
    </row>
    <row r="3231">
      <c r="A3231" s="24"/>
      <c r="B3231" s="19"/>
      <c r="C3231" s="19"/>
      <c r="D3231" s="19"/>
      <c r="E3231" s="19"/>
      <c r="F3231" s="19"/>
      <c r="G3231" s="19"/>
      <c r="H3231" s="19"/>
      <c r="I3231" s="19"/>
      <c r="J3231" s="19"/>
      <c r="K3231" s="19"/>
      <c r="L3231" s="25"/>
      <c r="M3231" s="25"/>
      <c r="N3231" s="25"/>
      <c r="O3231" s="25"/>
      <c r="P3231" s="25"/>
      <c r="Q3231" s="19"/>
      <c r="R3231" s="19"/>
      <c r="S3231" s="19"/>
      <c r="T3231" s="19"/>
      <c r="U3231" s="25"/>
      <c r="V3231" s="19"/>
      <c r="W3231" s="19"/>
      <c r="X3231" s="19"/>
      <c r="Y3231" s="19"/>
      <c r="Z3231" s="19"/>
    </row>
    <row r="3232">
      <c r="A3232" s="24"/>
      <c r="B3232" s="19"/>
      <c r="C3232" s="19"/>
      <c r="D3232" s="19"/>
      <c r="E3232" s="19"/>
      <c r="F3232" s="19"/>
      <c r="G3232" s="19"/>
      <c r="H3232" s="19"/>
      <c r="I3232" s="19"/>
      <c r="J3232" s="19"/>
      <c r="K3232" s="19"/>
      <c r="L3232" s="25"/>
      <c r="M3232" s="25"/>
      <c r="N3232" s="25"/>
      <c r="O3232" s="25"/>
      <c r="P3232" s="25"/>
      <c r="Q3232" s="19"/>
      <c r="R3232" s="19"/>
      <c r="S3232" s="19"/>
      <c r="T3232" s="19"/>
      <c r="U3232" s="25"/>
      <c r="V3232" s="19"/>
      <c r="W3232" s="19"/>
      <c r="X3232" s="19"/>
      <c r="Y3232" s="19"/>
      <c r="Z3232" s="19"/>
    </row>
    <row r="3233">
      <c r="A3233" s="24"/>
      <c r="B3233" s="19"/>
      <c r="C3233" s="19"/>
      <c r="D3233" s="19"/>
      <c r="E3233" s="19"/>
      <c r="F3233" s="19"/>
      <c r="G3233" s="19"/>
      <c r="H3233" s="19"/>
      <c r="I3233" s="19"/>
      <c r="J3233" s="19"/>
      <c r="K3233" s="19"/>
      <c r="L3233" s="25"/>
      <c r="M3233" s="25"/>
      <c r="N3233" s="25"/>
      <c r="O3233" s="25"/>
      <c r="P3233" s="25"/>
      <c r="Q3233" s="19"/>
      <c r="R3233" s="19"/>
      <c r="S3233" s="19"/>
      <c r="T3233" s="19"/>
      <c r="U3233" s="25"/>
      <c r="V3233" s="19"/>
      <c r="W3233" s="19"/>
      <c r="X3233" s="19"/>
      <c r="Y3233" s="19"/>
      <c r="Z3233" s="19"/>
    </row>
    <row r="3234">
      <c r="A3234" s="24"/>
      <c r="B3234" s="19"/>
      <c r="C3234" s="19"/>
      <c r="D3234" s="19"/>
      <c r="E3234" s="19"/>
      <c r="F3234" s="19"/>
      <c r="G3234" s="19"/>
      <c r="H3234" s="19"/>
      <c r="I3234" s="19"/>
      <c r="J3234" s="19"/>
      <c r="K3234" s="19"/>
      <c r="L3234" s="25"/>
      <c r="M3234" s="25"/>
      <c r="N3234" s="25"/>
      <c r="O3234" s="25"/>
      <c r="P3234" s="25"/>
      <c r="Q3234" s="19"/>
      <c r="R3234" s="19"/>
      <c r="S3234" s="19"/>
      <c r="T3234" s="19"/>
      <c r="U3234" s="25"/>
      <c r="V3234" s="19"/>
      <c r="W3234" s="19"/>
      <c r="X3234" s="19"/>
      <c r="Y3234" s="19"/>
      <c r="Z3234" s="19"/>
    </row>
    <row r="3235">
      <c r="A3235" s="24"/>
      <c r="B3235" s="19"/>
      <c r="C3235" s="19"/>
      <c r="D3235" s="19"/>
      <c r="E3235" s="19"/>
      <c r="F3235" s="19"/>
      <c r="G3235" s="19"/>
      <c r="H3235" s="19"/>
      <c r="I3235" s="19"/>
      <c r="J3235" s="19"/>
      <c r="K3235" s="19"/>
      <c r="L3235" s="25"/>
      <c r="M3235" s="25"/>
      <c r="N3235" s="25"/>
      <c r="O3235" s="25"/>
      <c r="P3235" s="25"/>
      <c r="Q3235" s="19"/>
      <c r="R3235" s="19"/>
      <c r="S3235" s="19"/>
      <c r="T3235" s="19"/>
      <c r="U3235" s="25"/>
      <c r="V3235" s="19"/>
      <c r="W3235" s="19"/>
      <c r="X3235" s="19"/>
      <c r="Y3235" s="19"/>
      <c r="Z3235" s="19"/>
    </row>
    <row r="3236">
      <c r="A3236" s="24"/>
      <c r="B3236" s="19"/>
      <c r="C3236" s="19"/>
      <c r="D3236" s="19"/>
      <c r="E3236" s="19"/>
      <c r="F3236" s="19"/>
      <c r="G3236" s="19"/>
      <c r="H3236" s="19"/>
      <c r="I3236" s="19"/>
      <c r="J3236" s="19"/>
      <c r="K3236" s="19"/>
      <c r="L3236" s="25"/>
      <c r="M3236" s="25"/>
      <c r="N3236" s="25"/>
      <c r="O3236" s="25"/>
      <c r="P3236" s="25"/>
      <c r="Q3236" s="19"/>
      <c r="R3236" s="19"/>
      <c r="S3236" s="19"/>
      <c r="T3236" s="19"/>
      <c r="U3236" s="25"/>
      <c r="V3236" s="19"/>
      <c r="W3236" s="19"/>
      <c r="X3236" s="19"/>
      <c r="Y3236" s="19"/>
      <c r="Z3236" s="19"/>
    </row>
    <row r="3237">
      <c r="A3237" s="24"/>
      <c r="B3237" s="19"/>
      <c r="C3237" s="19"/>
      <c r="D3237" s="19"/>
      <c r="E3237" s="19"/>
      <c r="F3237" s="19"/>
      <c r="G3237" s="19"/>
      <c r="H3237" s="19"/>
      <c r="I3237" s="19"/>
      <c r="J3237" s="19"/>
      <c r="K3237" s="19"/>
      <c r="L3237" s="25"/>
      <c r="M3237" s="25"/>
      <c r="N3237" s="25"/>
      <c r="O3237" s="25"/>
      <c r="P3237" s="25"/>
      <c r="Q3237" s="19"/>
      <c r="R3237" s="19"/>
      <c r="S3237" s="19"/>
      <c r="T3237" s="19"/>
      <c r="U3237" s="25"/>
      <c r="V3237" s="19"/>
      <c r="W3237" s="19"/>
      <c r="X3237" s="19"/>
      <c r="Y3237" s="19"/>
      <c r="Z3237" s="19"/>
    </row>
    <row r="3238">
      <c r="A3238" s="24"/>
      <c r="B3238" s="19"/>
      <c r="C3238" s="19"/>
      <c r="D3238" s="19"/>
      <c r="E3238" s="19"/>
      <c r="F3238" s="19"/>
      <c r="G3238" s="19"/>
      <c r="H3238" s="19"/>
      <c r="I3238" s="19"/>
      <c r="J3238" s="19"/>
      <c r="K3238" s="19"/>
      <c r="L3238" s="25"/>
      <c r="M3238" s="25"/>
      <c r="N3238" s="25"/>
      <c r="O3238" s="25"/>
      <c r="P3238" s="25"/>
      <c r="Q3238" s="19"/>
      <c r="R3238" s="19"/>
      <c r="S3238" s="19"/>
      <c r="T3238" s="19"/>
      <c r="U3238" s="25"/>
      <c r="V3238" s="19"/>
      <c r="W3238" s="19"/>
      <c r="X3238" s="19"/>
      <c r="Y3238" s="19"/>
      <c r="Z3238" s="19"/>
    </row>
    <row r="3239">
      <c r="A3239" s="24"/>
      <c r="B3239" s="19"/>
      <c r="C3239" s="19"/>
      <c r="D3239" s="19"/>
      <c r="E3239" s="19"/>
      <c r="F3239" s="19"/>
      <c r="G3239" s="19"/>
      <c r="H3239" s="19"/>
      <c r="I3239" s="19"/>
      <c r="J3239" s="19"/>
      <c r="K3239" s="19"/>
      <c r="L3239" s="25"/>
      <c r="M3239" s="25"/>
      <c r="N3239" s="25"/>
      <c r="O3239" s="25"/>
      <c r="P3239" s="25"/>
      <c r="Q3239" s="19"/>
      <c r="R3239" s="19"/>
      <c r="S3239" s="19"/>
      <c r="T3239" s="19"/>
      <c r="U3239" s="25"/>
      <c r="V3239" s="19"/>
      <c r="W3239" s="19"/>
      <c r="X3239" s="19"/>
      <c r="Y3239" s="19"/>
      <c r="Z3239" s="19"/>
    </row>
    <row r="3240">
      <c r="A3240" s="24"/>
      <c r="B3240" s="19"/>
      <c r="C3240" s="19"/>
      <c r="D3240" s="19"/>
      <c r="E3240" s="19"/>
      <c r="F3240" s="19"/>
      <c r="G3240" s="19"/>
      <c r="H3240" s="19"/>
      <c r="I3240" s="19"/>
      <c r="J3240" s="19"/>
      <c r="K3240" s="19"/>
      <c r="L3240" s="25"/>
      <c r="M3240" s="25"/>
      <c r="N3240" s="25"/>
      <c r="O3240" s="25"/>
      <c r="P3240" s="25"/>
      <c r="Q3240" s="19"/>
      <c r="R3240" s="19"/>
      <c r="S3240" s="19"/>
      <c r="T3240" s="19"/>
      <c r="U3240" s="25"/>
      <c r="V3240" s="19"/>
      <c r="W3240" s="19"/>
      <c r="X3240" s="19"/>
      <c r="Y3240" s="19"/>
      <c r="Z3240" s="19"/>
    </row>
    <row r="3241">
      <c r="A3241" s="24"/>
      <c r="B3241" s="19"/>
      <c r="C3241" s="19"/>
      <c r="D3241" s="19"/>
      <c r="E3241" s="19"/>
      <c r="F3241" s="19"/>
      <c r="G3241" s="19"/>
      <c r="H3241" s="19"/>
      <c r="I3241" s="19"/>
      <c r="J3241" s="19"/>
      <c r="K3241" s="19"/>
      <c r="L3241" s="25"/>
      <c r="M3241" s="25"/>
      <c r="N3241" s="25"/>
      <c r="O3241" s="25"/>
      <c r="P3241" s="25"/>
      <c r="Q3241" s="19"/>
      <c r="R3241" s="19"/>
      <c r="S3241" s="19"/>
      <c r="T3241" s="19"/>
      <c r="U3241" s="25"/>
      <c r="V3241" s="19"/>
      <c r="W3241" s="19"/>
      <c r="X3241" s="19"/>
      <c r="Y3241" s="19"/>
      <c r="Z3241" s="19"/>
    </row>
    <row r="3242">
      <c r="A3242" s="24"/>
      <c r="B3242" s="19"/>
      <c r="C3242" s="19"/>
      <c r="D3242" s="19"/>
      <c r="E3242" s="19"/>
      <c r="F3242" s="19"/>
      <c r="G3242" s="19"/>
      <c r="H3242" s="19"/>
      <c r="I3242" s="19"/>
      <c r="J3242" s="19"/>
      <c r="K3242" s="19"/>
      <c r="L3242" s="25"/>
      <c r="M3242" s="25"/>
      <c r="N3242" s="25"/>
      <c r="O3242" s="25"/>
      <c r="P3242" s="25"/>
      <c r="Q3242" s="19"/>
      <c r="R3242" s="19"/>
      <c r="S3242" s="19"/>
      <c r="T3242" s="19"/>
      <c r="U3242" s="25"/>
      <c r="V3242" s="19"/>
      <c r="W3242" s="19"/>
      <c r="X3242" s="19"/>
      <c r="Y3242" s="19"/>
      <c r="Z3242" s="19"/>
    </row>
    <row r="3243">
      <c r="A3243" s="24"/>
      <c r="B3243" s="19"/>
      <c r="C3243" s="19"/>
      <c r="D3243" s="19"/>
      <c r="E3243" s="19"/>
      <c r="F3243" s="19"/>
      <c r="G3243" s="19"/>
      <c r="H3243" s="19"/>
      <c r="I3243" s="19"/>
      <c r="J3243" s="19"/>
      <c r="K3243" s="19"/>
      <c r="L3243" s="25"/>
      <c r="M3243" s="25"/>
      <c r="N3243" s="25"/>
      <c r="O3243" s="25"/>
      <c r="P3243" s="25"/>
      <c r="Q3243" s="19"/>
      <c r="R3243" s="19"/>
      <c r="S3243" s="19"/>
      <c r="T3243" s="19"/>
      <c r="U3243" s="25"/>
      <c r="V3243" s="19"/>
      <c r="W3243" s="19"/>
      <c r="X3243" s="19"/>
      <c r="Y3243" s="19"/>
      <c r="Z3243" s="19"/>
    </row>
    <row r="3244">
      <c r="A3244" s="24"/>
      <c r="B3244" s="19"/>
      <c r="C3244" s="19"/>
      <c r="D3244" s="19"/>
      <c r="E3244" s="19"/>
      <c r="F3244" s="19"/>
      <c r="G3244" s="19"/>
      <c r="H3244" s="19"/>
      <c r="I3244" s="19"/>
      <c r="J3244" s="19"/>
      <c r="K3244" s="19"/>
      <c r="L3244" s="25"/>
      <c r="M3244" s="25"/>
      <c r="N3244" s="25"/>
      <c r="O3244" s="25"/>
      <c r="P3244" s="25"/>
      <c r="Q3244" s="19"/>
      <c r="R3244" s="19"/>
      <c r="S3244" s="19"/>
      <c r="T3244" s="19"/>
      <c r="U3244" s="25"/>
      <c r="V3244" s="19"/>
      <c r="W3244" s="19"/>
      <c r="X3244" s="19"/>
      <c r="Y3244" s="19"/>
      <c r="Z3244" s="19"/>
    </row>
    <row r="3245">
      <c r="A3245" s="24"/>
      <c r="B3245" s="19"/>
      <c r="C3245" s="19"/>
      <c r="D3245" s="19"/>
      <c r="E3245" s="19"/>
      <c r="F3245" s="19"/>
      <c r="G3245" s="19"/>
      <c r="H3245" s="19"/>
      <c r="I3245" s="19"/>
      <c r="J3245" s="19"/>
      <c r="K3245" s="19"/>
      <c r="L3245" s="25"/>
      <c r="M3245" s="25"/>
      <c r="N3245" s="25"/>
      <c r="O3245" s="25"/>
      <c r="P3245" s="25"/>
      <c r="Q3245" s="19"/>
      <c r="R3245" s="19"/>
      <c r="S3245" s="19"/>
      <c r="T3245" s="19"/>
      <c r="U3245" s="25"/>
      <c r="V3245" s="19"/>
      <c r="W3245" s="19"/>
      <c r="X3245" s="19"/>
      <c r="Y3245" s="19"/>
      <c r="Z3245" s="19"/>
    </row>
    <row r="3246">
      <c r="A3246" s="24"/>
      <c r="B3246" s="19"/>
      <c r="C3246" s="19"/>
      <c r="D3246" s="19"/>
      <c r="E3246" s="19"/>
      <c r="F3246" s="19"/>
      <c r="G3246" s="19"/>
      <c r="H3246" s="19"/>
      <c r="I3246" s="19"/>
      <c r="J3246" s="19"/>
      <c r="K3246" s="19"/>
      <c r="L3246" s="25"/>
      <c r="M3246" s="25"/>
      <c r="N3246" s="25"/>
      <c r="O3246" s="25"/>
      <c r="P3246" s="25"/>
      <c r="Q3246" s="19"/>
      <c r="R3246" s="19"/>
      <c r="S3246" s="19"/>
      <c r="T3246" s="19"/>
      <c r="U3246" s="25"/>
      <c r="V3246" s="19"/>
      <c r="W3246" s="19"/>
      <c r="X3246" s="19"/>
      <c r="Y3246" s="19"/>
      <c r="Z3246" s="19"/>
    </row>
    <row r="3247">
      <c r="A3247" s="24"/>
      <c r="B3247" s="19"/>
      <c r="C3247" s="19"/>
      <c r="D3247" s="19"/>
      <c r="E3247" s="19"/>
      <c r="F3247" s="19"/>
      <c r="G3247" s="19"/>
      <c r="H3247" s="19"/>
      <c r="I3247" s="19"/>
      <c r="J3247" s="19"/>
      <c r="K3247" s="19"/>
      <c r="L3247" s="25"/>
      <c r="M3247" s="25"/>
      <c r="N3247" s="25"/>
      <c r="O3247" s="25"/>
      <c r="P3247" s="25"/>
      <c r="Q3247" s="19"/>
      <c r="R3247" s="19"/>
      <c r="S3247" s="19"/>
      <c r="T3247" s="19"/>
      <c r="U3247" s="25"/>
      <c r="V3247" s="19"/>
      <c r="W3247" s="19"/>
      <c r="X3247" s="19"/>
      <c r="Y3247" s="19"/>
      <c r="Z3247" s="19"/>
    </row>
    <row r="3248">
      <c r="A3248" s="24"/>
      <c r="B3248" s="19"/>
      <c r="C3248" s="19"/>
      <c r="D3248" s="19"/>
      <c r="E3248" s="19"/>
      <c r="F3248" s="19"/>
      <c r="G3248" s="19"/>
      <c r="H3248" s="19"/>
      <c r="I3248" s="19"/>
      <c r="J3248" s="19"/>
      <c r="K3248" s="19"/>
      <c r="L3248" s="25"/>
      <c r="M3248" s="25"/>
      <c r="N3248" s="25"/>
      <c r="O3248" s="25"/>
      <c r="P3248" s="25"/>
      <c r="Q3248" s="19"/>
      <c r="R3248" s="19"/>
      <c r="S3248" s="19"/>
      <c r="T3248" s="19"/>
      <c r="U3248" s="25"/>
      <c r="V3248" s="19"/>
      <c r="W3248" s="19"/>
      <c r="X3248" s="19"/>
      <c r="Y3248" s="19"/>
      <c r="Z3248" s="19"/>
    </row>
    <row r="3249">
      <c r="A3249" s="24"/>
      <c r="B3249" s="19"/>
      <c r="C3249" s="19"/>
      <c r="D3249" s="19"/>
      <c r="E3249" s="19"/>
      <c r="F3249" s="19"/>
      <c r="G3249" s="19"/>
      <c r="H3249" s="19"/>
      <c r="I3249" s="19"/>
      <c r="J3249" s="19"/>
      <c r="K3249" s="19"/>
      <c r="L3249" s="25"/>
      <c r="M3249" s="25"/>
      <c r="N3249" s="25"/>
      <c r="O3249" s="25"/>
      <c r="P3249" s="25"/>
      <c r="Q3249" s="19"/>
      <c r="R3249" s="19"/>
      <c r="S3249" s="19"/>
      <c r="T3249" s="19"/>
      <c r="U3249" s="25"/>
      <c r="V3249" s="19"/>
      <c r="W3249" s="19"/>
      <c r="X3249" s="19"/>
      <c r="Y3249" s="19"/>
      <c r="Z3249" s="19"/>
    </row>
    <row r="3250">
      <c r="A3250" s="24"/>
      <c r="B3250" s="19"/>
      <c r="C3250" s="19"/>
      <c r="D3250" s="19"/>
      <c r="E3250" s="19"/>
      <c r="F3250" s="19"/>
      <c r="G3250" s="19"/>
      <c r="H3250" s="19"/>
      <c r="I3250" s="19"/>
      <c r="J3250" s="19"/>
      <c r="K3250" s="19"/>
      <c r="L3250" s="25"/>
      <c r="M3250" s="25"/>
      <c r="N3250" s="25"/>
      <c r="O3250" s="25"/>
      <c r="P3250" s="25"/>
      <c r="Q3250" s="19"/>
      <c r="R3250" s="19"/>
      <c r="S3250" s="19"/>
      <c r="T3250" s="19"/>
      <c r="U3250" s="25"/>
      <c r="V3250" s="19"/>
      <c r="W3250" s="19"/>
      <c r="X3250" s="19"/>
      <c r="Y3250" s="19"/>
      <c r="Z3250" s="19"/>
    </row>
    <row r="3251">
      <c r="A3251" s="24"/>
      <c r="B3251" s="19"/>
      <c r="C3251" s="19"/>
      <c r="D3251" s="19"/>
      <c r="E3251" s="19"/>
      <c r="F3251" s="19"/>
      <c r="G3251" s="19"/>
      <c r="H3251" s="19"/>
      <c r="I3251" s="19"/>
      <c r="J3251" s="19"/>
      <c r="K3251" s="19"/>
      <c r="L3251" s="25"/>
      <c r="M3251" s="25"/>
      <c r="N3251" s="25"/>
      <c r="O3251" s="25"/>
      <c r="P3251" s="25"/>
      <c r="Q3251" s="19"/>
      <c r="R3251" s="19"/>
      <c r="S3251" s="19"/>
      <c r="T3251" s="19"/>
      <c r="U3251" s="25"/>
      <c r="V3251" s="19"/>
      <c r="W3251" s="19"/>
      <c r="X3251" s="19"/>
      <c r="Y3251" s="19"/>
      <c r="Z3251" s="19"/>
    </row>
    <row r="3252">
      <c r="A3252" s="24"/>
      <c r="B3252" s="19"/>
      <c r="C3252" s="19"/>
      <c r="D3252" s="19"/>
      <c r="E3252" s="19"/>
      <c r="F3252" s="19"/>
      <c r="G3252" s="19"/>
      <c r="H3252" s="19"/>
      <c r="I3252" s="19"/>
      <c r="J3252" s="19"/>
      <c r="K3252" s="19"/>
      <c r="L3252" s="25"/>
      <c r="M3252" s="25"/>
      <c r="N3252" s="25"/>
      <c r="O3252" s="25"/>
      <c r="P3252" s="25"/>
      <c r="Q3252" s="19"/>
      <c r="R3252" s="19"/>
      <c r="S3252" s="19"/>
      <c r="T3252" s="19"/>
      <c r="U3252" s="25"/>
      <c r="V3252" s="19"/>
      <c r="W3252" s="19"/>
      <c r="X3252" s="19"/>
      <c r="Y3252" s="19"/>
      <c r="Z3252" s="19"/>
    </row>
    <row r="3253">
      <c r="A3253" s="24"/>
      <c r="B3253" s="19"/>
      <c r="C3253" s="19"/>
      <c r="D3253" s="19"/>
      <c r="E3253" s="19"/>
      <c r="F3253" s="19"/>
      <c r="G3253" s="19"/>
      <c r="H3253" s="19"/>
      <c r="I3253" s="19"/>
      <c r="J3253" s="19"/>
      <c r="K3253" s="19"/>
      <c r="L3253" s="25"/>
      <c r="M3253" s="25"/>
      <c r="N3253" s="25"/>
      <c r="O3253" s="25"/>
      <c r="P3253" s="25"/>
      <c r="Q3253" s="19"/>
      <c r="R3253" s="19"/>
      <c r="S3253" s="19"/>
      <c r="T3253" s="19"/>
      <c r="U3253" s="25"/>
      <c r="V3253" s="19"/>
      <c r="W3253" s="19"/>
      <c r="X3253" s="19"/>
      <c r="Y3253" s="19"/>
      <c r="Z3253" s="19"/>
    </row>
    <row r="3254">
      <c r="A3254" s="24"/>
      <c r="B3254" s="19"/>
      <c r="C3254" s="19"/>
      <c r="D3254" s="19"/>
      <c r="E3254" s="19"/>
      <c r="F3254" s="19"/>
      <c r="G3254" s="19"/>
      <c r="H3254" s="19"/>
      <c r="I3254" s="19"/>
      <c r="J3254" s="19"/>
      <c r="K3254" s="19"/>
      <c r="L3254" s="25"/>
      <c r="M3254" s="25"/>
      <c r="N3254" s="25"/>
      <c r="O3254" s="25"/>
      <c r="P3254" s="25"/>
      <c r="Q3254" s="19"/>
      <c r="R3254" s="19"/>
      <c r="S3254" s="19"/>
      <c r="T3254" s="19"/>
      <c r="U3254" s="25"/>
      <c r="V3254" s="19"/>
      <c r="W3254" s="19"/>
      <c r="X3254" s="19"/>
      <c r="Y3254" s="19"/>
      <c r="Z3254" s="19"/>
    </row>
    <row r="3255">
      <c r="A3255" s="24"/>
      <c r="B3255" s="19"/>
      <c r="C3255" s="19"/>
      <c r="D3255" s="19"/>
      <c r="E3255" s="19"/>
      <c r="F3255" s="19"/>
      <c r="G3255" s="19"/>
      <c r="H3255" s="19"/>
      <c r="I3255" s="19"/>
      <c r="J3255" s="19"/>
      <c r="K3255" s="19"/>
      <c r="L3255" s="25"/>
      <c r="M3255" s="25"/>
      <c r="N3255" s="25"/>
      <c r="O3255" s="25"/>
      <c r="P3255" s="25"/>
      <c r="Q3255" s="19"/>
      <c r="R3255" s="19"/>
      <c r="S3255" s="19"/>
      <c r="T3255" s="19"/>
      <c r="U3255" s="25"/>
      <c r="V3255" s="19"/>
      <c r="W3255" s="19"/>
      <c r="X3255" s="19"/>
      <c r="Y3255" s="19"/>
      <c r="Z3255" s="19"/>
    </row>
    <row r="3256">
      <c r="A3256" s="24"/>
      <c r="B3256" s="19"/>
      <c r="C3256" s="19"/>
      <c r="D3256" s="19"/>
      <c r="E3256" s="19"/>
      <c r="F3256" s="19"/>
      <c r="G3256" s="19"/>
      <c r="H3256" s="19"/>
      <c r="I3256" s="19"/>
      <c r="J3256" s="19"/>
      <c r="K3256" s="19"/>
      <c r="L3256" s="25"/>
      <c r="M3256" s="25"/>
      <c r="N3256" s="25"/>
      <c r="O3256" s="25"/>
      <c r="P3256" s="25"/>
      <c r="Q3256" s="19"/>
      <c r="R3256" s="19"/>
      <c r="S3256" s="19"/>
      <c r="T3256" s="19"/>
      <c r="U3256" s="25"/>
      <c r="V3256" s="19"/>
      <c r="W3256" s="19"/>
      <c r="X3256" s="19"/>
      <c r="Y3256" s="19"/>
      <c r="Z3256" s="19"/>
    </row>
    <row r="3257">
      <c r="A3257" s="24"/>
      <c r="B3257" s="19"/>
      <c r="C3257" s="19"/>
      <c r="D3257" s="19"/>
      <c r="E3257" s="19"/>
      <c r="F3257" s="19"/>
      <c r="G3257" s="19"/>
      <c r="H3257" s="19"/>
      <c r="I3257" s="19"/>
      <c r="J3257" s="19"/>
      <c r="K3257" s="19"/>
      <c r="L3257" s="25"/>
      <c r="M3257" s="25"/>
      <c r="N3257" s="25"/>
      <c r="O3257" s="25"/>
      <c r="P3257" s="25"/>
      <c r="Q3257" s="19"/>
      <c r="R3257" s="19"/>
      <c r="S3257" s="19"/>
      <c r="T3257" s="19"/>
      <c r="U3257" s="25"/>
      <c r="V3257" s="19"/>
      <c r="W3257" s="19"/>
      <c r="X3257" s="19"/>
      <c r="Y3257" s="19"/>
      <c r="Z3257" s="19"/>
    </row>
    <row r="3258">
      <c r="A3258" s="24"/>
      <c r="B3258" s="19"/>
      <c r="C3258" s="19"/>
      <c r="D3258" s="19"/>
      <c r="E3258" s="19"/>
      <c r="F3258" s="19"/>
      <c r="G3258" s="19"/>
      <c r="H3258" s="19"/>
      <c r="I3258" s="19"/>
      <c r="J3258" s="19"/>
      <c r="K3258" s="19"/>
      <c r="L3258" s="25"/>
      <c r="M3258" s="25"/>
      <c r="N3258" s="25"/>
      <c r="O3258" s="25"/>
      <c r="P3258" s="25"/>
      <c r="Q3258" s="19"/>
      <c r="R3258" s="19"/>
      <c r="S3258" s="19"/>
      <c r="T3258" s="19"/>
      <c r="U3258" s="25"/>
      <c r="V3258" s="19"/>
      <c r="W3258" s="19"/>
      <c r="X3258" s="19"/>
      <c r="Y3258" s="19"/>
      <c r="Z3258" s="19"/>
    </row>
    <row r="3259">
      <c r="A3259" s="24"/>
      <c r="B3259" s="19"/>
      <c r="C3259" s="19"/>
      <c r="D3259" s="19"/>
      <c r="E3259" s="19"/>
      <c r="F3259" s="19"/>
      <c r="G3259" s="19"/>
      <c r="H3259" s="19"/>
      <c r="I3259" s="19"/>
      <c r="J3259" s="19"/>
      <c r="K3259" s="19"/>
      <c r="L3259" s="25"/>
      <c r="M3259" s="25"/>
      <c r="N3259" s="25"/>
      <c r="O3259" s="25"/>
      <c r="P3259" s="25"/>
      <c r="Q3259" s="19"/>
      <c r="R3259" s="19"/>
      <c r="S3259" s="19"/>
      <c r="T3259" s="19"/>
      <c r="U3259" s="25"/>
      <c r="V3259" s="19"/>
      <c r="W3259" s="19"/>
      <c r="X3259" s="19"/>
      <c r="Y3259" s="19"/>
      <c r="Z3259" s="19"/>
    </row>
    <row r="3260">
      <c r="A3260" s="24"/>
      <c r="B3260" s="19"/>
      <c r="C3260" s="19"/>
      <c r="D3260" s="19"/>
      <c r="E3260" s="19"/>
      <c r="F3260" s="19"/>
      <c r="G3260" s="19"/>
      <c r="H3260" s="19"/>
      <c r="I3260" s="19"/>
      <c r="J3260" s="19"/>
      <c r="K3260" s="19"/>
      <c r="L3260" s="25"/>
      <c r="M3260" s="25"/>
      <c r="N3260" s="25"/>
      <c r="O3260" s="25"/>
      <c r="P3260" s="25"/>
      <c r="Q3260" s="19"/>
      <c r="R3260" s="19"/>
      <c r="S3260" s="19"/>
      <c r="T3260" s="19"/>
      <c r="U3260" s="25"/>
      <c r="V3260" s="19"/>
      <c r="W3260" s="19"/>
      <c r="X3260" s="19"/>
      <c r="Y3260" s="19"/>
      <c r="Z3260" s="19"/>
    </row>
    <row r="3261">
      <c r="A3261" s="24"/>
      <c r="B3261" s="19"/>
      <c r="C3261" s="19"/>
      <c r="D3261" s="19"/>
      <c r="E3261" s="19"/>
      <c r="F3261" s="19"/>
      <c r="G3261" s="19"/>
      <c r="H3261" s="19"/>
      <c r="I3261" s="19"/>
      <c r="J3261" s="19"/>
      <c r="K3261" s="19"/>
      <c r="L3261" s="25"/>
      <c r="M3261" s="25"/>
      <c r="N3261" s="25"/>
      <c r="O3261" s="25"/>
      <c r="P3261" s="25"/>
      <c r="Q3261" s="19"/>
      <c r="R3261" s="19"/>
      <c r="S3261" s="19"/>
      <c r="T3261" s="19"/>
      <c r="U3261" s="25"/>
      <c r="V3261" s="19"/>
      <c r="W3261" s="19"/>
      <c r="X3261" s="19"/>
      <c r="Y3261" s="19"/>
      <c r="Z3261" s="19"/>
    </row>
    <row r="3262">
      <c r="A3262" s="24"/>
      <c r="B3262" s="19"/>
      <c r="C3262" s="19"/>
      <c r="D3262" s="19"/>
      <c r="E3262" s="19"/>
      <c r="F3262" s="19"/>
      <c r="G3262" s="19"/>
      <c r="H3262" s="19"/>
      <c r="I3262" s="19"/>
      <c r="J3262" s="19"/>
      <c r="K3262" s="19"/>
      <c r="L3262" s="25"/>
      <c r="M3262" s="25"/>
      <c r="N3262" s="25"/>
      <c r="O3262" s="25"/>
      <c r="P3262" s="25"/>
      <c r="Q3262" s="19"/>
      <c r="R3262" s="19"/>
      <c r="S3262" s="19"/>
      <c r="T3262" s="19"/>
      <c r="U3262" s="25"/>
      <c r="V3262" s="19"/>
      <c r="W3262" s="19"/>
      <c r="X3262" s="19"/>
      <c r="Y3262" s="19"/>
      <c r="Z3262" s="19"/>
    </row>
    <row r="3263">
      <c r="A3263" s="24"/>
      <c r="B3263" s="19"/>
      <c r="C3263" s="19"/>
      <c r="D3263" s="19"/>
      <c r="E3263" s="19"/>
      <c r="F3263" s="19"/>
      <c r="G3263" s="19"/>
      <c r="H3263" s="19"/>
      <c r="I3263" s="19"/>
      <c r="J3263" s="19"/>
      <c r="K3263" s="19"/>
      <c r="L3263" s="25"/>
      <c r="M3263" s="25"/>
      <c r="N3263" s="25"/>
      <c r="O3263" s="25"/>
      <c r="P3263" s="25"/>
      <c r="Q3263" s="19"/>
      <c r="R3263" s="19"/>
      <c r="S3263" s="19"/>
      <c r="T3263" s="19"/>
      <c r="U3263" s="25"/>
      <c r="V3263" s="19"/>
      <c r="W3263" s="19"/>
      <c r="X3263" s="19"/>
      <c r="Y3263" s="19"/>
      <c r="Z3263" s="19"/>
    </row>
    <row r="3264">
      <c r="A3264" s="24"/>
      <c r="B3264" s="19"/>
      <c r="C3264" s="19"/>
      <c r="D3264" s="19"/>
      <c r="E3264" s="19"/>
      <c r="F3264" s="19"/>
      <c r="G3264" s="19"/>
      <c r="H3264" s="19"/>
      <c r="I3264" s="19"/>
      <c r="J3264" s="19"/>
      <c r="K3264" s="19"/>
      <c r="L3264" s="25"/>
      <c r="M3264" s="25"/>
      <c r="N3264" s="25"/>
      <c r="O3264" s="25"/>
      <c r="P3264" s="25"/>
      <c r="Q3264" s="19"/>
      <c r="R3264" s="19"/>
      <c r="S3264" s="19"/>
      <c r="T3264" s="19"/>
      <c r="U3264" s="25"/>
      <c r="V3264" s="19"/>
      <c r="W3264" s="19"/>
      <c r="X3264" s="19"/>
      <c r="Y3264" s="19"/>
      <c r="Z3264" s="19"/>
    </row>
    <row r="3265">
      <c r="A3265" s="24"/>
      <c r="B3265" s="19"/>
      <c r="C3265" s="19"/>
      <c r="D3265" s="19"/>
      <c r="E3265" s="19"/>
      <c r="F3265" s="19"/>
      <c r="G3265" s="19"/>
      <c r="H3265" s="19"/>
      <c r="I3265" s="19"/>
      <c r="J3265" s="19"/>
      <c r="K3265" s="19"/>
      <c r="L3265" s="25"/>
      <c r="M3265" s="25"/>
      <c r="N3265" s="25"/>
      <c r="O3265" s="25"/>
      <c r="P3265" s="25"/>
      <c r="Q3265" s="19"/>
      <c r="R3265" s="19"/>
      <c r="S3265" s="19"/>
      <c r="T3265" s="19"/>
      <c r="U3265" s="25"/>
      <c r="V3265" s="19"/>
      <c r="W3265" s="19"/>
      <c r="X3265" s="19"/>
      <c r="Y3265" s="19"/>
      <c r="Z3265" s="19"/>
    </row>
    <row r="3266">
      <c r="A3266" s="24"/>
      <c r="B3266" s="19"/>
      <c r="C3266" s="19"/>
      <c r="D3266" s="19"/>
      <c r="E3266" s="19"/>
      <c r="F3266" s="19"/>
      <c r="G3266" s="19"/>
      <c r="H3266" s="19"/>
      <c r="I3266" s="19"/>
      <c r="J3266" s="19"/>
      <c r="K3266" s="19"/>
      <c r="L3266" s="25"/>
      <c r="M3266" s="25"/>
      <c r="N3266" s="25"/>
      <c r="O3266" s="25"/>
      <c r="P3266" s="25"/>
      <c r="Q3266" s="19"/>
      <c r="R3266" s="19"/>
      <c r="S3266" s="19"/>
      <c r="T3266" s="19"/>
      <c r="U3266" s="25"/>
      <c r="V3266" s="19"/>
      <c r="W3266" s="19"/>
      <c r="X3266" s="19"/>
      <c r="Y3266" s="19"/>
      <c r="Z3266" s="19"/>
    </row>
    <row r="3267">
      <c r="A3267" s="24"/>
      <c r="B3267" s="19"/>
      <c r="C3267" s="19"/>
      <c r="D3267" s="19"/>
      <c r="E3267" s="19"/>
      <c r="F3267" s="19"/>
      <c r="G3267" s="19"/>
      <c r="H3267" s="19"/>
      <c r="I3267" s="19"/>
      <c r="J3267" s="19"/>
      <c r="K3267" s="19"/>
      <c r="L3267" s="25"/>
      <c r="M3267" s="25"/>
      <c r="N3267" s="25"/>
      <c r="O3267" s="25"/>
      <c r="P3267" s="25"/>
      <c r="Q3267" s="19"/>
      <c r="R3267" s="19"/>
      <c r="S3267" s="19"/>
      <c r="T3267" s="19"/>
      <c r="U3267" s="25"/>
      <c r="V3267" s="19"/>
      <c r="W3267" s="19"/>
      <c r="X3267" s="19"/>
      <c r="Y3267" s="19"/>
      <c r="Z3267" s="19"/>
    </row>
    <row r="3268">
      <c r="A3268" s="24"/>
      <c r="B3268" s="19"/>
      <c r="C3268" s="19"/>
      <c r="D3268" s="19"/>
      <c r="E3268" s="19"/>
      <c r="F3268" s="19"/>
      <c r="G3268" s="19"/>
      <c r="H3268" s="19"/>
      <c r="I3268" s="19"/>
      <c r="J3268" s="19"/>
      <c r="K3268" s="19"/>
      <c r="L3268" s="25"/>
      <c r="M3268" s="25"/>
      <c r="N3268" s="25"/>
      <c r="O3268" s="25"/>
      <c r="P3268" s="25"/>
      <c r="Q3268" s="19"/>
      <c r="R3268" s="19"/>
      <c r="S3268" s="19"/>
      <c r="T3268" s="19"/>
      <c r="U3268" s="25"/>
      <c r="V3268" s="19"/>
      <c r="W3268" s="19"/>
      <c r="X3268" s="19"/>
      <c r="Y3268" s="19"/>
      <c r="Z3268" s="19"/>
    </row>
    <row r="3269">
      <c r="A3269" s="24"/>
      <c r="B3269" s="19"/>
      <c r="C3269" s="19"/>
      <c r="D3269" s="19"/>
      <c r="E3269" s="19"/>
      <c r="F3269" s="19"/>
      <c r="G3269" s="19"/>
      <c r="H3269" s="19"/>
      <c r="I3269" s="19"/>
      <c r="J3269" s="19"/>
      <c r="K3269" s="19"/>
      <c r="L3269" s="25"/>
      <c r="M3269" s="25"/>
      <c r="N3269" s="25"/>
      <c r="O3269" s="25"/>
      <c r="P3269" s="25"/>
      <c r="Q3269" s="19"/>
      <c r="R3269" s="19"/>
      <c r="S3269" s="19"/>
      <c r="T3269" s="19"/>
      <c r="U3269" s="25"/>
      <c r="V3269" s="19"/>
      <c r="W3269" s="19"/>
      <c r="X3269" s="19"/>
      <c r="Y3269" s="19"/>
      <c r="Z3269" s="19"/>
    </row>
    <row r="3270">
      <c r="A3270" s="24"/>
      <c r="B3270" s="19"/>
      <c r="C3270" s="19"/>
      <c r="D3270" s="19"/>
      <c r="E3270" s="19"/>
      <c r="F3270" s="19"/>
      <c r="G3270" s="19"/>
      <c r="H3270" s="19"/>
      <c r="I3270" s="19"/>
      <c r="J3270" s="19"/>
      <c r="K3270" s="19"/>
      <c r="L3270" s="25"/>
      <c r="M3270" s="25"/>
      <c r="N3270" s="25"/>
      <c r="O3270" s="25"/>
      <c r="P3270" s="25"/>
      <c r="Q3270" s="19"/>
      <c r="R3270" s="19"/>
      <c r="S3270" s="19"/>
      <c r="T3270" s="19"/>
      <c r="U3270" s="25"/>
      <c r="V3270" s="19"/>
      <c r="W3270" s="19"/>
      <c r="X3270" s="19"/>
      <c r="Y3270" s="19"/>
      <c r="Z3270" s="19"/>
    </row>
    <row r="3271">
      <c r="A3271" s="24"/>
      <c r="B3271" s="19"/>
      <c r="C3271" s="19"/>
      <c r="D3271" s="19"/>
      <c r="E3271" s="19"/>
      <c r="F3271" s="19"/>
      <c r="G3271" s="19"/>
      <c r="H3271" s="19"/>
      <c r="I3271" s="19"/>
      <c r="J3271" s="19"/>
      <c r="K3271" s="19"/>
      <c r="L3271" s="25"/>
      <c r="M3271" s="25"/>
      <c r="N3271" s="25"/>
      <c r="O3271" s="25"/>
      <c r="P3271" s="25"/>
      <c r="Q3271" s="19"/>
      <c r="R3271" s="19"/>
      <c r="S3271" s="19"/>
      <c r="T3271" s="19"/>
      <c r="U3271" s="25"/>
      <c r="V3271" s="19"/>
      <c r="W3271" s="19"/>
      <c r="X3271" s="19"/>
      <c r="Y3271" s="19"/>
      <c r="Z3271" s="19"/>
    </row>
    <row r="3272">
      <c r="A3272" s="24"/>
      <c r="B3272" s="19"/>
      <c r="C3272" s="19"/>
      <c r="D3272" s="19"/>
      <c r="E3272" s="19"/>
      <c r="F3272" s="19"/>
      <c r="G3272" s="19"/>
      <c r="H3272" s="19"/>
      <c r="I3272" s="19"/>
      <c r="J3272" s="19"/>
      <c r="K3272" s="19"/>
      <c r="L3272" s="25"/>
      <c r="M3272" s="25"/>
      <c r="N3272" s="25"/>
      <c r="O3272" s="25"/>
      <c r="P3272" s="25"/>
      <c r="Q3272" s="19"/>
      <c r="R3272" s="19"/>
      <c r="S3272" s="19"/>
      <c r="T3272" s="19"/>
      <c r="U3272" s="25"/>
      <c r="V3272" s="19"/>
      <c r="W3272" s="19"/>
      <c r="X3272" s="19"/>
      <c r="Y3272" s="19"/>
      <c r="Z3272" s="19"/>
    </row>
    <row r="3273">
      <c r="A3273" s="24"/>
      <c r="B3273" s="19"/>
      <c r="C3273" s="19"/>
      <c r="D3273" s="19"/>
      <c r="E3273" s="19"/>
      <c r="F3273" s="19"/>
      <c r="G3273" s="19"/>
      <c r="H3273" s="19"/>
      <c r="I3273" s="19"/>
      <c r="J3273" s="19"/>
      <c r="K3273" s="19"/>
      <c r="L3273" s="25"/>
      <c r="M3273" s="25"/>
      <c r="N3273" s="25"/>
      <c r="O3273" s="25"/>
      <c r="P3273" s="25"/>
      <c r="Q3273" s="19"/>
      <c r="R3273" s="19"/>
      <c r="S3273" s="19"/>
      <c r="T3273" s="19"/>
      <c r="U3273" s="25"/>
      <c r="V3273" s="19"/>
      <c r="W3273" s="19"/>
      <c r="X3273" s="19"/>
      <c r="Y3273" s="19"/>
      <c r="Z3273" s="19"/>
    </row>
    <row r="3274">
      <c r="A3274" s="24"/>
      <c r="B3274" s="19"/>
      <c r="C3274" s="19"/>
      <c r="D3274" s="19"/>
      <c r="E3274" s="19"/>
      <c r="F3274" s="19"/>
      <c r="G3274" s="19"/>
      <c r="H3274" s="19"/>
      <c r="I3274" s="19"/>
      <c r="J3274" s="19"/>
      <c r="K3274" s="19"/>
      <c r="L3274" s="25"/>
      <c r="M3274" s="25"/>
      <c r="N3274" s="25"/>
      <c r="O3274" s="25"/>
      <c r="P3274" s="25"/>
      <c r="Q3274" s="19"/>
      <c r="R3274" s="19"/>
      <c r="S3274" s="19"/>
      <c r="T3274" s="19"/>
      <c r="U3274" s="25"/>
      <c r="V3274" s="19"/>
      <c r="W3274" s="19"/>
      <c r="X3274" s="19"/>
      <c r="Y3274" s="19"/>
      <c r="Z3274" s="19"/>
    </row>
    <row r="3275">
      <c r="A3275" s="24"/>
      <c r="B3275" s="19"/>
      <c r="C3275" s="19"/>
      <c r="D3275" s="19"/>
      <c r="E3275" s="19"/>
      <c r="F3275" s="19"/>
      <c r="G3275" s="19"/>
      <c r="H3275" s="19"/>
      <c r="I3275" s="19"/>
      <c r="J3275" s="19"/>
      <c r="K3275" s="19"/>
      <c r="L3275" s="25"/>
      <c r="M3275" s="25"/>
      <c r="N3275" s="25"/>
      <c r="O3275" s="25"/>
      <c r="P3275" s="25"/>
      <c r="Q3275" s="19"/>
      <c r="R3275" s="19"/>
      <c r="S3275" s="19"/>
      <c r="T3275" s="19"/>
      <c r="U3275" s="25"/>
      <c r="V3275" s="19"/>
      <c r="W3275" s="19"/>
      <c r="X3275" s="19"/>
      <c r="Y3275" s="19"/>
      <c r="Z3275" s="19"/>
    </row>
    <row r="3276">
      <c r="A3276" s="24"/>
      <c r="B3276" s="19"/>
      <c r="C3276" s="19"/>
      <c r="D3276" s="19"/>
      <c r="E3276" s="19"/>
      <c r="F3276" s="19"/>
      <c r="G3276" s="19"/>
      <c r="H3276" s="19"/>
      <c r="I3276" s="19"/>
      <c r="J3276" s="19"/>
      <c r="K3276" s="19"/>
      <c r="L3276" s="25"/>
      <c r="M3276" s="25"/>
      <c r="N3276" s="25"/>
      <c r="O3276" s="25"/>
      <c r="P3276" s="25"/>
      <c r="Q3276" s="19"/>
      <c r="R3276" s="19"/>
      <c r="S3276" s="19"/>
      <c r="T3276" s="19"/>
      <c r="U3276" s="25"/>
      <c r="V3276" s="19"/>
      <c r="W3276" s="19"/>
      <c r="X3276" s="19"/>
      <c r="Y3276" s="19"/>
      <c r="Z3276" s="19"/>
    </row>
    <row r="3277">
      <c r="A3277" s="24"/>
      <c r="B3277" s="19"/>
      <c r="C3277" s="19"/>
      <c r="D3277" s="19"/>
      <c r="E3277" s="19"/>
      <c r="F3277" s="19"/>
      <c r="G3277" s="19"/>
      <c r="H3277" s="19"/>
      <c r="I3277" s="19"/>
      <c r="J3277" s="19"/>
      <c r="K3277" s="19"/>
      <c r="L3277" s="25"/>
      <c r="M3277" s="25"/>
      <c r="N3277" s="25"/>
      <c r="O3277" s="25"/>
      <c r="P3277" s="25"/>
      <c r="Q3277" s="19"/>
      <c r="R3277" s="19"/>
      <c r="S3277" s="19"/>
      <c r="T3277" s="19"/>
      <c r="U3277" s="25"/>
      <c r="V3277" s="19"/>
      <c r="W3277" s="19"/>
      <c r="X3277" s="19"/>
      <c r="Y3277" s="19"/>
      <c r="Z3277" s="19"/>
    </row>
    <row r="3278">
      <c r="A3278" s="24"/>
      <c r="B3278" s="19"/>
      <c r="C3278" s="19"/>
      <c r="D3278" s="19"/>
      <c r="E3278" s="19"/>
      <c r="F3278" s="19"/>
      <c r="G3278" s="19"/>
      <c r="H3278" s="19"/>
      <c r="I3278" s="19"/>
      <c r="J3278" s="19"/>
      <c r="K3278" s="19"/>
      <c r="L3278" s="25"/>
      <c r="M3278" s="25"/>
      <c r="N3278" s="25"/>
      <c r="O3278" s="25"/>
      <c r="P3278" s="25"/>
      <c r="Q3278" s="19"/>
      <c r="R3278" s="19"/>
      <c r="S3278" s="19"/>
      <c r="T3278" s="19"/>
      <c r="U3278" s="25"/>
      <c r="V3278" s="19"/>
      <c r="W3278" s="19"/>
      <c r="X3278" s="19"/>
      <c r="Y3278" s="19"/>
      <c r="Z3278" s="19"/>
    </row>
    <row r="3279">
      <c r="A3279" s="24"/>
      <c r="B3279" s="19"/>
      <c r="C3279" s="19"/>
      <c r="D3279" s="19"/>
      <c r="E3279" s="19"/>
      <c r="F3279" s="19"/>
      <c r="G3279" s="19"/>
      <c r="H3279" s="19"/>
      <c r="I3279" s="19"/>
      <c r="J3279" s="19"/>
      <c r="K3279" s="19"/>
      <c r="L3279" s="25"/>
      <c r="M3279" s="25"/>
      <c r="N3279" s="25"/>
      <c r="O3279" s="25"/>
      <c r="P3279" s="25"/>
      <c r="Q3279" s="19"/>
      <c r="R3279" s="19"/>
      <c r="S3279" s="19"/>
      <c r="T3279" s="19"/>
      <c r="U3279" s="25"/>
      <c r="V3279" s="19"/>
      <c r="W3279" s="19"/>
      <c r="X3279" s="19"/>
      <c r="Y3279" s="19"/>
      <c r="Z3279" s="19"/>
    </row>
    <row r="3280">
      <c r="A3280" s="24"/>
      <c r="B3280" s="19"/>
      <c r="C3280" s="19"/>
      <c r="D3280" s="19"/>
      <c r="E3280" s="19"/>
      <c r="F3280" s="19"/>
      <c r="G3280" s="19"/>
      <c r="H3280" s="19"/>
      <c r="I3280" s="19"/>
      <c r="J3280" s="19"/>
      <c r="K3280" s="19"/>
      <c r="L3280" s="25"/>
      <c r="M3280" s="25"/>
      <c r="N3280" s="25"/>
      <c r="O3280" s="25"/>
      <c r="P3280" s="25"/>
      <c r="Q3280" s="19"/>
      <c r="R3280" s="19"/>
      <c r="S3280" s="19"/>
      <c r="T3280" s="19"/>
      <c r="U3280" s="25"/>
      <c r="V3280" s="19"/>
      <c r="W3280" s="19"/>
      <c r="X3280" s="19"/>
      <c r="Y3280" s="19"/>
      <c r="Z3280" s="19"/>
    </row>
    <row r="3281">
      <c r="A3281" s="24"/>
      <c r="B3281" s="19"/>
      <c r="C3281" s="19"/>
      <c r="D3281" s="19"/>
      <c r="E3281" s="19"/>
      <c r="F3281" s="19"/>
      <c r="G3281" s="19"/>
      <c r="H3281" s="19"/>
      <c r="I3281" s="19"/>
      <c r="J3281" s="19"/>
      <c r="K3281" s="19"/>
      <c r="L3281" s="25"/>
      <c r="M3281" s="25"/>
      <c r="N3281" s="25"/>
      <c r="O3281" s="25"/>
      <c r="P3281" s="25"/>
      <c r="Q3281" s="19"/>
      <c r="R3281" s="19"/>
      <c r="S3281" s="19"/>
      <c r="T3281" s="19"/>
      <c r="U3281" s="25"/>
      <c r="V3281" s="19"/>
      <c r="W3281" s="19"/>
      <c r="X3281" s="19"/>
      <c r="Y3281" s="19"/>
      <c r="Z3281" s="19"/>
    </row>
    <row r="3282">
      <c r="A3282" s="24"/>
      <c r="B3282" s="19"/>
      <c r="C3282" s="19"/>
      <c r="D3282" s="19"/>
      <c r="E3282" s="19"/>
      <c r="F3282" s="19"/>
      <c r="G3282" s="19"/>
      <c r="H3282" s="19"/>
      <c r="I3282" s="19"/>
      <c r="J3282" s="19"/>
      <c r="K3282" s="19"/>
      <c r="L3282" s="25"/>
      <c r="M3282" s="25"/>
      <c r="N3282" s="25"/>
      <c r="O3282" s="25"/>
      <c r="P3282" s="25"/>
      <c r="Q3282" s="19"/>
      <c r="R3282" s="19"/>
      <c r="S3282" s="19"/>
      <c r="T3282" s="19"/>
      <c r="U3282" s="25"/>
      <c r="V3282" s="19"/>
      <c r="W3282" s="19"/>
      <c r="X3282" s="19"/>
      <c r="Y3282" s="19"/>
      <c r="Z3282" s="19"/>
    </row>
    <row r="3283">
      <c r="A3283" s="24"/>
      <c r="B3283" s="19"/>
      <c r="C3283" s="19"/>
      <c r="D3283" s="19"/>
      <c r="E3283" s="19"/>
      <c r="F3283" s="19"/>
      <c r="G3283" s="19"/>
      <c r="H3283" s="19"/>
      <c r="I3283" s="19"/>
      <c r="J3283" s="19"/>
      <c r="K3283" s="19"/>
      <c r="L3283" s="25"/>
      <c r="M3283" s="25"/>
      <c r="N3283" s="25"/>
      <c r="O3283" s="25"/>
      <c r="P3283" s="25"/>
      <c r="Q3283" s="19"/>
      <c r="R3283" s="19"/>
      <c r="S3283" s="19"/>
      <c r="T3283" s="19"/>
      <c r="U3283" s="25"/>
      <c r="V3283" s="19"/>
      <c r="W3283" s="19"/>
      <c r="X3283" s="19"/>
      <c r="Y3283" s="19"/>
      <c r="Z3283" s="19"/>
    </row>
    <row r="3284">
      <c r="A3284" s="24"/>
      <c r="B3284" s="19"/>
      <c r="C3284" s="19"/>
      <c r="D3284" s="19"/>
      <c r="E3284" s="19"/>
      <c r="F3284" s="19"/>
      <c r="G3284" s="19"/>
      <c r="H3284" s="19"/>
      <c r="I3284" s="19"/>
      <c r="J3284" s="19"/>
      <c r="K3284" s="19"/>
      <c r="L3284" s="25"/>
      <c r="M3284" s="25"/>
      <c r="N3284" s="25"/>
      <c r="O3284" s="25"/>
      <c r="P3284" s="25"/>
      <c r="Q3284" s="19"/>
      <c r="R3284" s="19"/>
      <c r="S3284" s="19"/>
      <c r="T3284" s="19"/>
      <c r="U3284" s="25"/>
      <c r="V3284" s="19"/>
      <c r="W3284" s="19"/>
      <c r="X3284" s="19"/>
      <c r="Y3284" s="19"/>
      <c r="Z3284" s="19"/>
    </row>
    <row r="3285">
      <c r="A3285" s="24"/>
      <c r="B3285" s="19"/>
      <c r="C3285" s="19"/>
      <c r="D3285" s="19"/>
      <c r="E3285" s="19"/>
      <c r="F3285" s="19"/>
      <c r="G3285" s="19"/>
      <c r="H3285" s="19"/>
      <c r="I3285" s="19"/>
      <c r="J3285" s="19"/>
      <c r="K3285" s="19"/>
      <c r="L3285" s="25"/>
      <c r="M3285" s="25"/>
      <c r="N3285" s="25"/>
      <c r="O3285" s="25"/>
      <c r="P3285" s="25"/>
      <c r="Q3285" s="19"/>
      <c r="R3285" s="19"/>
      <c r="S3285" s="19"/>
      <c r="T3285" s="19"/>
      <c r="U3285" s="25"/>
      <c r="V3285" s="19"/>
      <c r="W3285" s="19"/>
      <c r="X3285" s="19"/>
      <c r="Y3285" s="19"/>
      <c r="Z3285" s="19"/>
    </row>
    <row r="3286">
      <c r="A3286" s="24"/>
      <c r="B3286" s="19"/>
      <c r="C3286" s="19"/>
      <c r="D3286" s="19"/>
      <c r="E3286" s="19"/>
      <c r="F3286" s="19"/>
      <c r="G3286" s="19"/>
      <c r="H3286" s="19"/>
      <c r="I3286" s="19"/>
      <c r="J3286" s="19"/>
      <c r="K3286" s="19"/>
      <c r="L3286" s="25"/>
      <c r="M3286" s="25"/>
      <c r="N3286" s="25"/>
      <c r="O3286" s="25"/>
      <c r="P3286" s="25"/>
      <c r="Q3286" s="19"/>
      <c r="R3286" s="19"/>
      <c r="S3286" s="19"/>
      <c r="T3286" s="19"/>
      <c r="U3286" s="25"/>
      <c r="V3286" s="19"/>
      <c r="W3286" s="19"/>
      <c r="X3286" s="19"/>
      <c r="Y3286" s="19"/>
      <c r="Z3286" s="19"/>
    </row>
    <row r="3287">
      <c r="A3287" s="24"/>
      <c r="B3287" s="19"/>
      <c r="C3287" s="19"/>
      <c r="D3287" s="19"/>
      <c r="E3287" s="19"/>
      <c r="F3287" s="19"/>
      <c r="G3287" s="19"/>
      <c r="H3287" s="19"/>
      <c r="I3287" s="19"/>
      <c r="J3287" s="19"/>
      <c r="K3287" s="19"/>
      <c r="L3287" s="25"/>
      <c r="M3287" s="25"/>
      <c r="N3287" s="25"/>
      <c r="O3287" s="25"/>
      <c r="P3287" s="25"/>
      <c r="Q3287" s="19"/>
      <c r="R3287" s="19"/>
      <c r="S3287" s="19"/>
      <c r="T3287" s="19"/>
      <c r="U3287" s="25"/>
      <c r="V3287" s="19"/>
      <c r="W3287" s="19"/>
      <c r="X3287" s="19"/>
      <c r="Y3287" s="19"/>
      <c r="Z3287" s="19"/>
    </row>
    <row r="3288">
      <c r="A3288" s="24"/>
      <c r="B3288" s="19"/>
      <c r="C3288" s="19"/>
      <c r="D3288" s="19"/>
      <c r="E3288" s="19"/>
      <c r="F3288" s="19"/>
      <c r="G3288" s="19"/>
      <c r="H3288" s="19"/>
      <c r="I3288" s="19"/>
      <c r="J3288" s="19"/>
      <c r="K3288" s="19"/>
      <c r="L3288" s="25"/>
      <c r="M3288" s="25"/>
      <c r="N3288" s="25"/>
      <c r="O3288" s="25"/>
      <c r="P3288" s="25"/>
      <c r="Q3288" s="19"/>
      <c r="R3288" s="19"/>
      <c r="S3288" s="19"/>
      <c r="T3288" s="19"/>
      <c r="U3288" s="25"/>
      <c r="V3288" s="19"/>
      <c r="W3288" s="19"/>
      <c r="X3288" s="19"/>
      <c r="Y3288" s="19"/>
      <c r="Z3288" s="19"/>
    </row>
    <row r="3289">
      <c r="A3289" s="24"/>
      <c r="B3289" s="19"/>
      <c r="C3289" s="19"/>
      <c r="D3289" s="19"/>
      <c r="E3289" s="19"/>
      <c r="F3289" s="19"/>
      <c r="G3289" s="19"/>
      <c r="H3289" s="19"/>
      <c r="I3289" s="19"/>
      <c r="J3289" s="19"/>
      <c r="K3289" s="19"/>
      <c r="L3289" s="25"/>
      <c r="M3289" s="25"/>
      <c r="N3289" s="25"/>
      <c r="O3289" s="25"/>
      <c r="P3289" s="25"/>
      <c r="Q3289" s="19"/>
      <c r="R3289" s="19"/>
      <c r="S3289" s="19"/>
      <c r="T3289" s="19"/>
      <c r="U3289" s="25"/>
      <c r="V3289" s="19"/>
      <c r="W3289" s="19"/>
      <c r="X3289" s="19"/>
      <c r="Y3289" s="19"/>
      <c r="Z3289" s="19"/>
    </row>
    <row r="3290">
      <c r="A3290" s="24"/>
      <c r="B3290" s="19"/>
      <c r="C3290" s="19"/>
      <c r="D3290" s="19"/>
      <c r="E3290" s="19"/>
      <c r="F3290" s="19"/>
      <c r="G3290" s="19"/>
      <c r="H3290" s="19"/>
      <c r="I3290" s="19"/>
      <c r="J3290" s="19"/>
      <c r="K3290" s="19"/>
      <c r="L3290" s="25"/>
      <c r="M3290" s="25"/>
      <c r="N3290" s="25"/>
      <c r="O3290" s="25"/>
      <c r="P3290" s="25"/>
      <c r="Q3290" s="19"/>
      <c r="R3290" s="19"/>
      <c r="S3290" s="19"/>
      <c r="T3290" s="19"/>
      <c r="U3290" s="25"/>
      <c r="V3290" s="19"/>
      <c r="W3290" s="19"/>
      <c r="X3290" s="19"/>
      <c r="Y3290" s="19"/>
      <c r="Z3290" s="19"/>
    </row>
    <row r="3291">
      <c r="A3291" s="24"/>
      <c r="B3291" s="19"/>
      <c r="C3291" s="19"/>
      <c r="D3291" s="19"/>
      <c r="E3291" s="19"/>
      <c r="F3291" s="19"/>
      <c r="G3291" s="19"/>
      <c r="H3291" s="19"/>
      <c r="I3291" s="19"/>
      <c r="J3291" s="19"/>
      <c r="K3291" s="19"/>
      <c r="L3291" s="25"/>
      <c r="M3291" s="25"/>
      <c r="N3291" s="25"/>
      <c r="O3291" s="25"/>
      <c r="P3291" s="25"/>
      <c r="Q3291" s="19"/>
      <c r="R3291" s="19"/>
      <c r="S3291" s="19"/>
      <c r="T3291" s="19"/>
      <c r="U3291" s="25"/>
      <c r="V3291" s="19"/>
      <c r="W3291" s="19"/>
      <c r="X3291" s="19"/>
      <c r="Y3291" s="19"/>
      <c r="Z3291" s="19"/>
    </row>
    <row r="3292">
      <c r="A3292" s="24"/>
      <c r="B3292" s="19"/>
      <c r="C3292" s="19"/>
      <c r="D3292" s="19"/>
      <c r="E3292" s="19"/>
      <c r="F3292" s="19"/>
      <c r="G3292" s="19"/>
      <c r="H3292" s="19"/>
      <c r="I3292" s="19"/>
      <c r="J3292" s="19"/>
      <c r="K3292" s="19"/>
      <c r="L3292" s="25"/>
      <c r="M3292" s="25"/>
      <c r="N3292" s="25"/>
      <c r="O3292" s="25"/>
      <c r="P3292" s="25"/>
      <c r="Q3292" s="19"/>
      <c r="R3292" s="19"/>
      <c r="S3292" s="19"/>
      <c r="T3292" s="19"/>
      <c r="U3292" s="25"/>
      <c r="V3292" s="19"/>
      <c r="W3292" s="19"/>
      <c r="X3292" s="19"/>
      <c r="Y3292" s="19"/>
      <c r="Z3292" s="19"/>
    </row>
    <row r="3293">
      <c r="A3293" s="24"/>
      <c r="B3293" s="19"/>
      <c r="C3293" s="19"/>
      <c r="D3293" s="19"/>
      <c r="E3293" s="19"/>
      <c r="F3293" s="19"/>
      <c r="G3293" s="19"/>
      <c r="H3293" s="19"/>
      <c r="I3293" s="19"/>
      <c r="J3293" s="19"/>
      <c r="K3293" s="19"/>
      <c r="L3293" s="25"/>
      <c r="M3293" s="25"/>
      <c r="N3293" s="25"/>
      <c r="O3293" s="25"/>
      <c r="P3293" s="25"/>
      <c r="Q3293" s="19"/>
      <c r="R3293" s="19"/>
      <c r="S3293" s="19"/>
      <c r="T3293" s="19"/>
      <c r="U3293" s="25"/>
      <c r="V3293" s="19"/>
      <c r="W3293" s="19"/>
      <c r="X3293" s="19"/>
      <c r="Y3293" s="19"/>
      <c r="Z3293" s="19"/>
    </row>
    <row r="3294">
      <c r="A3294" s="24"/>
      <c r="B3294" s="19"/>
      <c r="C3294" s="19"/>
      <c r="D3294" s="19"/>
      <c r="E3294" s="19"/>
      <c r="F3294" s="19"/>
      <c r="G3294" s="19"/>
      <c r="H3294" s="19"/>
      <c r="I3294" s="19"/>
      <c r="J3294" s="19"/>
      <c r="K3294" s="19"/>
      <c r="L3294" s="25"/>
      <c r="M3294" s="25"/>
      <c r="N3294" s="25"/>
      <c r="O3294" s="25"/>
      <c r="P3294" s="25"/>
      <c r="Q3294" s="19"/>
      <c r="R3294" s="19"/>
      <c r="S3294" s="19"/>
      <c r="T3294" s="19"/>
      <c r="U3294" s="25"/>
      <c r="V3294" s="19"/>
      <c r="W3294" s="19"/>
      <c r="X3294" s="19"/>
      <c r="Y3294" s="19"/>
      <c r="Z3294" s="19"/>
    </row>
    <row r="3295">
      <c r="A3295" s="24"/>
      <c r="B3295" s="19"/>
      <c r="C3295" s="19"/>
      <c r="D3295" s="19"/>
      <c r="E3295" s="19"/>
      <c r="F3295" s="19"/>
      <c r="G3295" s="19"/>
      <c r="H3295" s="19"/>
      <c r="I3295" s="19"/>
      <c r="J3295" s="19"/>
      <c r="K3295" s="19"/>
      <c r="L3295" s="25"/>
      <c r="M3295" s="25"/>
      <c r="N3295" s="25"/>
      <c r="O3295" s="25"/>
      <c r="P3295" s="25"/>
      <c r="Q3295" s="19"/>
      <c r="R3295" s="19"/>
      <c r="S3295" s="19"/>
      <c r="T3295" s="19"/>
      <c r="U3295" s="25"/>
      <c r="V3295" s="19"/>
      <c r="W3295" s="19"/>
      <c r="X3295" s="19"/>
      <c r="Y3295" s="19"/>
      <c r="Z3295" s="19"/>
    </row>
    <row r="3296">
      <c r="A3296" s="24"/>
      <c r="B3296" s="19"/>
      <c r="C3296" s="19"/>
      <c r="D3296" s="19"/>
      <c r="E3296" s="19"/>
      <c r="F3296" s="19"/>
      <c r="G3296" s="19"/>
      <c r="H3296" s="19"/>
      <c r="I3296" s="19"/>
      <c r="J3296" s="19"/>
      <c r="K3296" s="19"/>
      <c r="L3296" s="25"/>
      <c r="M3296" s="25"/>
      <c r="N3296" s="25"/>
      <c r="O3296" s="25"/>
      <c r="P3296" s="25"/>
      <c r="Q3296" s="19"/>
      <c r="R3296" s="19"/>
      <c r="S3296" s="19"/>
      <c r="T3296" s="19"/>
      <c r="U3296" s="25"/>
      <c r="V3296" s="19"/>
      <c r="W3296" s="19"/>
      <c r="X3296" s="19"/>
      <c r="Y3296" s="19"/>
      <c r="Z3296" s="19"/>
    </row>
    <row r="3297">
      <c r="A3297" s="24"/>
      <c r="B3297" s="19"/>
      <c r="C3297" s="19"/>
      <c r="D3297" s="19"/>
      <c r="E3297" s="19"/>
      <c r="F3297" s="19"/>
      <c r="G3297" s="19"/>
      <c r="H3297" s="19"/>
      <c r="I3297" s="19"/>
      <c r="J3297" s="19"/>
      <c r="K3297" s="19"/>
      <c r="L3297" s="25"/>
      <c r="M3297" s="25"/>
      <c r="N3297" s="25"/>
      <c r="O3297" s="25"/>
      <c r="P3297" s="25"/>
      <c r="Q3297" s="19"/>
      <c r="R3297" s="19"/>
      <c r="S3297" s="19"/>
      <c r="T3297" s="19"/>
      <c r="U3297" s="25"/>
      <c r="V3297" s="19"/>
      <c r="W3297" s="19"/>
      <c r="X3297" s="19"/>
      <c r="Y3297" s="19"/>
      <c r="Z3297" s="19"/>
    </row>
    <row r="3298">
      <c r="A3298" s="24"/>
      <c r="B3298" s="19"/>
      <c r="C3298" s="19"/>
      <c r="D3298" s="19"/>
      <c r="E3298" s="19"/>
      <c r="F3298" s="19"/>
      <c r="G3298" s="19"/>
      <c r="H3298" s="19"/>
      <c r="I3298" s="19"/>
      <c r="J3298" s="19"/>
      <c r="K3298" s="19"/>
      <c r="L3298" s="25"/>
      <c r="M3298" s="25"/>
      <c r="N3298" s="25"/>
      <c r="O3298" s="25"/>
      <c r="P3298" s="25"/>
      <c r="Q3298" s="19"/>
      <c r="R3298" s="19"/>
      <c r="S3298" s="19"/>
      <c r="T3298" s="19"/>
      <c r="U3298" s="25"/>
      <c r="V3298" s="19"/>
      <c r="W3298" s="19"/>
      <c r="X3298" s="19"/>
      <c r="Y3298" s="19"/>
      <c r="Z3298" s="19"/>
    </row>
    <row r="3299">
      <c r="A3299" s="24"/>
      <c r="B3299" s="19"/>
      <c r="C3299" s="19"/>
      <c r="D3299" s="19"/>
      <c r="E3299" s="19"/>
      <c r="F3299" s="19"/>
      <c r="G3299" s="19"/>
      <c r="H3299" s="19"/>
      <c r="I3299" s="19"/>
      <c r="J3299" s="19"/>
      <c r="K3299" s="19"/>
      <c r="L3299" s="25"/>
      <c r="M3299" s="25"/>
      <c r="N3299" s="25"/>
      <c r="O3299" s="25"/>
      <c r="P3299" s="25"/>
      <c r="Q3299" s="19"/>
      <c r="R3299" s="19"/>
      <c r="S3299" s="19"/>
      <c r="T3299" s="19"/>
      <c r="U3299" s="25"/>
      <c r="V3299" s="19"/>
      <c r="W3299" s="19"/>
      <c r="X3299" s="19"/>
      <c r="Y3299" s="19"/>
      <c r="Z3299" s="19"/>
    </row>
    <row r="3300">
      <c r="A3300" s="24"/>
      <c r="B3300" s="19"/>
      <c r="C3300" s="19"/>
      <c r="D3300" s="19"/>
      <c r="E3300" s="19"/>
      <c r="F3300" s="19"/>
      <c r="G3300" s="19"/>
      <c r="H3300" s="19"/>
      <c r="I3300" s="19"/>
      <c r="J3300" s="19"/>
      <c r="K3300" s="19"/>
      <c r="L3300" s="25"/>
      <c r="M3300" s="25"/>
      <c r="N3300" s="25"/>
      <c r="O3300" s="25"/>
      <c r="P3300" s="25"/>
      <c r="Q3300" s="19"/>
      <c r="R3300" s="19"/>
      <c r="S3300" s="19"/>
      <c r="T3300" s="19"/>
      <c r="U3300" s="25"/>
      <c r="V3300" s="19"/>
      <c r="W3300" s="19"/>
      <c r="X3300" s="19"/>
      <c r="Y3300" s="19"/>
      <c r="Z3300" s="19"/>
    </row>
    <row r="3301">
      <c r="A3301" s="24"/>
      <c r="B3301" s="19"/>
      <c r="C3301" s="19"/>
      <c r="D3301" s="19"/>
      <c r="E3301" s="19"/>
      <c r="F3301" s="19"/>
      <c r="G3301" s="19"/>
      <c r="H3301" s="19"/>
      <c r="I3301" s="19"/>
      <c r="J3301" s="19"/>
      <c r="K3301" s="19"/>
      <c r="L3301" s="25"/>
      <c r="M3301" s="25"/>
      <c r="N3301" s="25"/>
      <c r="O3301" s="25"/>
      <c r="P3301" s="25"/>
      <c r="Q3301" s="19"/>
      <c r="R3301" s="19"/>
      <c r="S3301" s="19"/>
      <c r="T3301" s="19"/>
      <c r="U3301" s="25"/>
      <c r="V3301" s="19"/>
      <c r="W3301" s="19"/>
      <c r="X3301" s="19"/>
      <c r="Y3301" s="19"/>
      <c r="Z3301" s="19"/>
    </row>
    <row r="3302">
      <c r="A3302" s="24"/>
      <c r="B3302" s="19"/>
      <c r="C3302" s="19"/>
      <c r="D3302" s="19"/>
      <c r="E3302" s="19"/>
      <c r="F3302" s="19"/>
      <c r="G3302" s="19"/>
      <c r="H3302" s="19"/>
      <c r="I3302" s="19"/>
      <c r="J3302" s="19"/>
      <c r="K3302" s="19"/>
      <c r="L3302" s="25"/>
      <c r="M3302" s="25"/>
      <c r="N3302" s="25"/>
      <c r="O3302" s="25"/>
      <c r="P3302" s="25"/>
      <c r="Q3302" s="19"/>
      <c r="R3302" s="19"/>
      <c r="S3302" s="19"/>
      <c r="T3302" s="19"/>
      <c r="U3302" s="25"/>
      <c r="V3302" s="19"/>
      <c r="W3302" s="19"/>
      <c r="X3302" s="19"/>
      <c r="Y3302" s="19"/>
      <c r="Z3302" s="19"/>
    </row>
    <row r="3303">
      <c r="A3303" s="24"/>
      <c r="B3303" s="19"/>
      <c r="C3303" s="19"/>
      <c r="D3303" s="19"/>
      <c r="E3303" s="19"/>
      <c r="F3303" s="19"/>
      <c r="G3303" s="19"/>
      <c r="H3303" s="19"/>
      <c r="I3303" s="19"/>
      <c r="J3303" s="19"/>
      <c r="K3303" s="19"/>
      <c r="L3303" s="25"/>
      <c r="M3303" s="25"/>
      <c r="N3303" s="25"/>
      <c r="O3303" s="25"/>
      <c r="P3303" s="25"/>
      <c r="Q3303" s="19"/>
      <c r="R3303" s="19"/>
      <c r="S3303" s="19"/>
      <c r="T3303" s="19"/>
      <c r="U3303" s="25"/>
      <c r="V3303" s="19"/>
      <c r="W3303" s="19"/>
      <c r="X3303" s="19"/>
      <c r="Y3303" s="19"/>
      <c r="Z3303" s="19"/>
    </row>
    <row r="3304">
      <c r="A3304" s="24"/>
      <c r="B3304" s="19"/>
      <c r="C3304" s="19"/>
      <c r="D3304" s="19"/>
      <c r="E3304" s="19"/>
      <c r="F3304" s="19"/>
      <c r="G3304" s="19"/>
      <c r="H3304" s="19"/>
      <c r="I3304" s="19"/>
      <c r="J3304" s="19"/>
      <c r="K3304" s="19"/>
      <c r="L3304" s="25"/>
      <c r="M3304" s="25"/>
      <c r="N3304" s="25"/>
      <c r="O3304" s="25"/>
      <c r="P3304" s="25"/>
      <c r="Q3304" s="19"/>
      <c r="R3304" s="19"/>
      <c r="S3304" s="19"/>
      <c r="T3304" s="19"/>
      <c r="U3304" s="25"/>
      <c r="V3304" s="19"/>
      <c r="W3304" s="19"/>
      <c r="X3304" s="19"/>
      <c r="Y3304" s="19"/>
      <c r="Z3304" s="19"/>
    </row>
    <row r="3305">
      <c r="A3305" s="24"/>
      <c r="B3305" s="19"/>
      <c r="C3305" s="19"/>
      <c r="D3305" s="19"/>
      <c r="E3305" s="19"/>
      <c r="F3305" s="19"/>
      <c r="G3305" s="19"/>
      <c r="H3305" s="19"/>
      <c r="I3305" s="19"/>
      <c r="J3305" s="19"/>
      <c r="K3305" s="19"/>
      <c r="L3305" s="25"/>
      <c r="M3305" s="25"/>
      <c r="N3305" s="25"/>
      <c r="O3305" s="25"/>
      <c r="P3305" s="25"/>
      <c r="Q3305" s="19"/>
      <c r="R3305" s="19"/>
      <c r="S3305" s="19"/>
      <c r="T3305" s="19"/>
      <c r="U3305" s="25"/>
      <c r="V3305" s="19"/>
      <c r="W3305" s="19"/>
      <c r="X3305" s="19"/>
      <c r="Y3305" s="19"/>
      <c r="Z3305" s="19"/>
    </row>
    <row r="3306">
      <c r="A3306" s="24"/>
      <c r="B3306" s="19"/>
      <c r="C3306" s="19"/>
      <c r="D3306" s="19"/>
      <c r="E3306" s="19"/>
      <c r="F3306" s="19"/>
      <c r="G3306" s="19"/>
      <c r="H3306" s="19"/>
      <c r="I3306" s="19"/>
      <c r="J3306" s="19"/>
      <c r="K3306" s="19"/>
      <c r="L3306" s="25"/>
      <c r="M3306" s="25"/>
      <c r="N3306" s="25"/>
      <c r="O3306" s="25"/>
      <c r="P3306" s="25"/>
      <c r="Q3306" s="19"/>
      <c r="R3306" s="19"/>
      <c r="S3306" s="19"/>
      <c r="T3306" s="19"/>
      <c r="U3306" s="25"/>
      <c r="V3306" s="19"/>
      <c r="W3306" s="19"/>
      <c r="X3306" s="19"/>
      <c r="Y3306" s="19"/>
      <c r="Z3306" s="19"/>
    </row>
    <row r="3307">
      <c r="A3307" s="24"/>
      <c r="B3307" s="19"/>
      <c r="C3307" s="19"/>
      <c r="D3307" s="19"/>
      <c r="E3307" s="19"/>
      <c r="F3307" s="19"/>
      <c r="G3307" s="19"/>
      <c r="H3307" s="19"/>
      <c r="I3307" s="19"/>
      <c r="J3307" s="19"/>
      <c r="K3307" s="19"/>
      <c r="L3307" s="25"/>
      <c r="M3307" s="25"/>
      <c r="N3307" s="25"/>
      <c r="O3307" s="25"/>
      <c r="P3307" s="25"/>
      <c r="Q3307" s="19"/>
      <c r="R3307" s="19"/>
      <c r="S3307" s="19"/>
      <c r="T3307" s="19"/>
      <c r="U3307" s="25"/>
      <c r="V3307" s="19"/>
      <c r="W3307" s="19"/>
      <c r="X3307" s="19"/>
      <c r="Y3307" s="19"/>
      <c r="Z3307" s="19"/>
    </row>
    <row r="3308">
      <c r="A3308" s="24"/>
      <c r="B3308" s="19"/>
      <c r="C3308" s="19"/>
      <c r="D3308" s="19"/>
      <c r="E3308" s="19"/>
      <c r="F3308" s="19"/>
      <c r="G3308" s="19"/>
      <c r="H3308" s="19"/>
      <c r="I3308" s="19"/>
      <c r="J3308" s="19"/>
      <c r="K3308" s="19"/>
      <c r="L3308" s="25"/>
      <c r="M3308" s="25"/>
      <c r="N3308" s="25"/>
      <c r="O3308" s="25"/>
      <c r="P3308" s="25"/>
      <c r="Q3308" s="19"/>
      <c r="R3308" s="19"/>
      <c r="S3308" s="19"/>
      <c r="T3308" s="19"/>
      <c r="U3308" s="25"/>
      <c r="V3308" s="19"/>
      <c r="W3308" s="19"/>
      <c r="X3308" s="19"/>
      <c r="Y3308" s="19"/>
      <c r="Z3308" s="19"/>
    </row>
    <row r="3309">
      <c r="A3309" s="24"/>
      <c r="B3309" s="19"/>
      <c r="C3309" s="19"/>
      <c r="D3309" s="19"/>
      <c r="E3309" s="19"/>
      <c r="F3309" s="19"/>
      <c r="G3309" s="19"/>
      <c r="H3309" s="19"/>
      <c r="I3309" s="19"/>
      <c r="J3309" s="19"/>
      <c r="K3309" s="19"/>
      <c r="L3309" s="25"/>
      <c r="M3309" s="25"/>
      <c r="N3309" s="25"/>
      <c r="O3309" s="25"/>
      <c r="P3309" s="25"/>
      <c r="Q3309" s="19"/>
      <c r="R3309" s="19"/>
      <c r="S3309" s="19"/>
      <c r="T3309" s="19"/>
      <c r="U3309" s="25"/>
      <c r="V3309" s="19"/>
      <c r="W3309" s="19"/>
      <c r="X3309" s="19"/>
      <c r="Y3309" s="19"/>
      <c r="Z3309" s="19"/>
    </row>
    <row r="3310">
      <c r="A3310" s="24"/>
      <c r="B3310" s="19"/>
      <c r="C3310" s="19"/>
      <c r="D3310" s="19"/>
      <c r="E3310" s="19"/>
      <c r="F3310" s="19"/>
      <c r="G3310" s="19"/>
      <c r="H3310" s="19"/>
      <c r="I3310" s="19"/>
      <c r="J3310" s="19"/>
      <c r="K3310" s="19"/>
      <c r="L3310" s="25"/>
      <c r="M3310" s="25"/>
      <c r="N3310" s="25"/>
      <c r="O3310" s="25"/>
      <c r="P3310" s="25"/>
      <c r="Q3310" s="19"/>
      <c r="R3310" s="19"/>
      <c r="S3310" s="19"/>
      <c r="T3310" s="19"/>
      <c r="U3310" s="25"/>
      <c r="V3310" s="19"/>
      <c r="W3310" s="19"/>
      <c r="X3310" s="19"/>
      <c r="Y3310" s="19"/>
      <c r="Z3310" s="19"/>
    </row>
    <row r="3311">
      <c r="A3311" s="24"/>
      <c r="B3311" s="19"/>
      <c r="C3311" s="19"/>
      <c r="D3311" s="19"/>
      <c r="E3311" s="19"/>
      <c r="F3311" s="19"/>
      <c r="G3311" s="19"/>
      <c r="H3311" s="19"/>
      <c r="I3311" s="19"/>
      <c r="J3311" s="19"/>
      <c r="K3311" s="19"/>
      <c r="L3311" s="25"/>
      <c r="M3311" s="25"/>
      <c r="N3311" s="25"/>
      <c r="O3311" s="25"/>
      <c r="P3311" s="25"/>
      <c r="Q3311" s="19"/>
      <c r="R3311" s="19"/>
      <c r="S3311" s="19"/>
      <c r="T3311" s="19"/>
      <c r="U3311" s="25"/>
      <c r="V3311" s="19"/>
      <c r="W3311" s="19"/>
      <c r="X3311" s="19"/>
      <c r="Y3311" s="19"/>
      <c r="Z3311" s="19"/>
    </row>
    <row r="3312">
      <c r="A3312" s="24"/>
      <c r="B3312" s="19"/>
      <c r="C3312" s="19"/>
      <c r="D3312" s="19"/>
      <c r="E3312" s="19"/>
      <c r="F3312" s="19"/>
      <c r="G3312" s="19"/>
      <c r="H3312" s="19"/>
      <c r="I3312" s="19"/>
      <c r="J3312" s="19"/>
      <c r="K3312" s="19"/>
      <c r="L3312" s="25"/>
      <c r="M3312" s="25"/>
      <c r="N3312" s="25"/>
      <c r="O3312" s="25"/>
      <c r="P3312" s="25"/>
      <c r="Q3312" s="19"/>
      <c r="R3312" s="19"/>
      <c r="S3312" s="19"/>
      <c r="T3312" s="19"/>
      <c r="U3312" s="25"/>
      <c r="V3312" s="19"/>
      <c r="W3312" s="19"/>
      <c r="X3312" s="19"/>
      <c r="Y3312" s="19"/>
      <c r="Z3312" s="19"/>
    </row>
    <row r="3313">
      <c r="A3313" s="24"/>
      <c r="B3313" s="19"/>
      <c r="C3313" s="19"/>
      <c r="D3313" s="19"/>
      <c r="E3313" s="19"/>
      <c r="F3313" s="19"/>
      <c r="G3313" s="19"/>
      <c r="H3313" s="19"/>
      <c r="I3313" s="19"/>
      <c r="J3313" s="19"/>
      <c r="K3313" s="19"/>
      <c r="L3313" s="25"/>
      <c r="M3313" s="25"/>
      <c r="N3313" s="25"/>
      <c r="O3313" s="25"/>
      <c r="P3313" s="25"/>
      <c r="Q3313" s="19"/>
      <c r="R3313" s="19"/>
      <c r="S3313" s="19"/>
      <c r="T3313" s="19"/>
      <c r="U3313" s="25"/>
      <c r="V3313" s="19"/>
      <c r="W3313" s="19"/>
      <c r="X3313" s="19"/>
      <c r="Y3313" s="19"/>
      <c r="Z3313" s="19"/>
    </row>
    <row r="3314">
      <c r="A3314" s="24"/>
      <c r="B3314" s="19"/>
      <c r="C3314" s="19"/>
      <c r="D3314" s="19"/>
      <c r="E3314" s="19"/>
      <c r="F3314" s="19"/>
      <c r="G3314" s="19"/>
      <c r="H3314" s="19"/>
      <c r="I3314" s="19"/>
      <c r="J3314" s="19"/>
      <c r="K3314" s="19"/>
      <c r="L3314" s="25"/>
      <c r="M3314" s="25"/>
      <c r="N3314" s="25"/>
      <c r="O3314" s="25"/>
      <c r="P3314" s="25"/>
      <c r="Q3314" s="19"/>
      <c r="R3314" s="19"/>
      <c r="S3314" s="19"/>
      <c r="T3314" s="19"/>
      <c r="U3314" s="25"/>
      <c r="V3314" s="19"/>
      <c r="W3314" s="19"/>
      <c r="X3314" s="19"/>
      <c r="Y3314" s="19"/>
      <c r="Z3314" s="19"/>
    </row>
    <row r="3315">
      <c r="A3315" s="24"/>
      <c r="B3315" s="19"/>
      <c r="C3315" s="19"/>
      <c r="D3315" s="19"/>
      <c r="E3315" s="19"/>
      <c r="F3315" s="19"/>
      <c r="G3315" s="19"/>
      <c r="H3315" s="19"/>
      <c r="I3315" s="19"/>
      <c r="J3315" s="19"/>
      <c r="K3315" s="19"/>
      <c r="L3315" s="25"/>
      <c r="M3315" s="25"/>
      <c r="N3315" s="25"/>
      <c r="O3315" s="25"/>
      <c r="P3315" s="25"/>
      <c r="Q3315" s="19"/>
      <c r="R3315" s="19"/>
      <c r="S3315" s="19"/>
      <c r="T3315" s="19"/>
      <c r="U3315" s="25"/>
      <c r="V3315" s="19"/>
      <c r="W3315" s="19"/>
      <c r="X3315" s="19"/>
      <c r="Y3315" s="19"/>
      <c r="Z3315" s="19"/>
    </row>
    <row r="3316">
      <c r="A3316" s="24"/>
      <c r="B3316" s="19"/>
      <c r="C3316" s="19"/>
      <c r="D3316" s="19"/>
      <c r="E3316" s="19"/>
      <c r="F3316" s="19"/>
      <c r="G3316" s="19"/>
      <c r="H3316" s="19"/>
      <c r="I3316" s="19"/>
      <c r="J3316" s="19"/>
      <c r="K3316" s="19"/>
      <c r="L3316" s="25"/>
      <c r="M3316" s="25"/>
      <c r="N3316" s="25"/>
      <c r="O3316" s="25"/>
      <c r="P3316" s="25"/>
      <c r="Q3316" s="19"/>
      <c r="R3316" s="19"/>
      <c r="S3316" s="19"/>
      <c r="T3316" s="19"/>
      <c r="U3316" s="25"/>
      <c r="V3316" s="19"/>
      <c r="W3316" s="19"/>
      <c r="X3316" s="19"/>
      <c r="Y3316" s="19"/>
      <c r="Z3316" s="19"/>
    </row>
    <row r="3317">
      <c r="A3317" s="24"/>
      <c r="B3317" s="19"/>
      <c r="C3317" s="19"/>
      <c r="D3317" s="19"/>
      <c r="E3317" s="19"/>
      <c r="F3317" s="19"/>
      <c r="G3317" s="19"/>
      <c r="H3317" s="19"/>
      <c r="I3317" s="19"/>
      <c r="J3317" s="19"/>
      <c r="K3317" s="19"/>
      <c r="L3317" s="25"/>
      <c r="M3317" s="25"/>
      <c r="N3317" s="25"/>
      <c r="O3317" s="25"/>
      <c r="P3317" s="25"/>
      <c r="Q3317" s="19"/>
      <c r="R3317" s="19"/>
      <c r="S3317" s="19"/>
      <c r="T3317" s="19"/>
      <c r="U3317" s="25"/>
      <c r="V3317" s="19"/>
      <c r="W3317" s="19"/>
      <c r="X3317" s="19"/>
      <c r="Y3317" s="19"/>
      <c r="Z3317" s="19"/>
    </row>
    <row r="3318">
      <c r="A3318" s="24"/>
      <c r="B3318" s="19"/>
      <c r="C3318" s="19"/>
      <c r="D3318" s="19"/>
      <c r="E3318" s="19"/>
      <c r="F3318" s="19"/>
      <c r="G3318" s="19"/>
      <c r="H3318" s="19"/>
      <c r="I3318" s="19"/>
      <c r="J3318" s="19"/>
      <c r="K3318" s="19"/>
      <c r="L3318" s="25"/>
      <c r="M3318" s="25"/>
      <c r="N3318" s="25"/>
      <c r="O3318" s="25"/>
      <c r="P3318" s="25"/>
      <c r="Q3318" s="19"/>
      <c r="R3318" s="19"/>
      <c r="S3318" s="19"/>
      <c r="T3318" s="19"/>
      <c r="U3318" s="25"/>
      <c r="V3318" s="19"/>
      <c r="W3318" s="19"/>
      <c r="X3318" s="19"/>
      <c r="Y3318" s="19"/>
      <c r="Z3318" s="19"/>
    </row>
    <row r="3319">
      <c r="A3319" s="24"/>
      <c r="B3319" s="19"/>
      <c r="C3319" s="19"/>
      <c r="D3319" s="19"/>
      <c r="E3319" s="19"/>
      <c r="F3319" s="19"/>
      <c r="G3319" s="19"/>
      <c r="H3319" s="19"/>
      <c r="I3319" s="19"/>
      <c r="J3319" s="19"/>
      <c r="K3319" s="19"/>
      <c r="L3319" s="25"/>
      <c r="M3319" s="25"/>
      <c r="N3319" s="25"/>
      <c r="O3319" s="25"/>
      <c r="P3319" s="25"/>
      <c r="Q3319" s="19"/>
      <c r="R3319" s="19"/>
      <c r="S3319" s="19"/>
      <c r="T3319" s="19"/>
      <c r="U3319" s="25"/>
      <c r="V3319" s="19"/>
      <c r="W3319" s="19"/>
      <c r="X3319" s="19"/>
      <c r="Y3319" s="19"/>
      <c r="Z3319" s="19"/>
    </row>
    <row r="3320">
      <c r="A3320" s="24"/>
      <c r="B3320" s="19"/>
      <c r="C3320" s="19"/>
      <c r="D3320" s="19"/>
      <c r="E3320" s="19"/>
      <c r="F3320" s="19"/>
      <c r="G3320" s="19"/>
      <c r="H3320" s="19"/>
      <c r="I3320" s="19"/>
      <c r="J3320" s="19"/>
      <c r="K3320" s="19"/>
      <c r="L3320" s="25"/>
      <c r="M3320" s="25"/>
      <c r="N3320" s="25"/>
      <c r="O3320" s="25"/>
      <c r="P3320" s="25"/>
      <c r="Q3320" s="19"/>
      <c r="R3320" s="19"/>
      <c r="S3320" s="19"/>
      <c r="T3320" s="19"/>
      <c r="U3320" s="25"/>
      <c r="V3320" s="19"/>
      <c r="W3320" s="19"/>
      <c r="X3320" s="19"/>
      <c r="Y3320" s="19"/>
      <c r="Z3320" s="19"/>
    </row>
    <row r="3321">
      <c r="A3321" s="24"/>
      <c r="B3321" s="19"/>
      <c r="C3321" s="19"/>
      <c r="D3321" s="19"/>
      <c r="E3321" s="19"/>
      <c r="F3321" s="19"/>
      <c r="G3321" s="19"/>
      <c r="H3321" s="19"/>
      <c r="I3321" s="19"/>
      <c r="J3321" s="19"/>
      <c r="K3321" s="19"/>
      <c r="L3321" s="25"/>
      <c r="M3321" s="25"/>
      <c r="N3321" s="25"/>
      <c r="O3321" s="25"/>
      <c r="P3321" s="25"/>
      <c r="Q3321" s="19"/>
      <c r="R3321" s="19"/>
      <c r="S3321" s="19"/>
      <c r="T3321" s="19"/>
      <c r="U3321" s="25"/>
      <c r="V3321" s="19"/>
      <c r="W3321" s="19"/>
      <c r="X3321" s="19"/>
      <c r="Y3321" s="19"/>
      <c r="Z3321" s="19"/>
    </row>
    <row r="3322">
      <c r="A3322" s="24"/>
      <c r="B3322" s="19"/>
      <c r="C3322" s="19"/>
      <c r="D3322" s="19"/>
      <c r="E3322" s="19"/>
      <c r="F3322" s="19"/>
      <c r="G3322" s="19"/>
      <c r="H3322" s="19"/>
      <c r="I3322" s="19"/>
      <c r="J3322" s="19"/>
      <c r="K3322" s="19"/>
      <c r="L3322" s="25"/>
      <c r="M3322" s="25"/>
      <c r="N3322" s="25"/>
      <c r="O3322" s="25"/>
      <c r="P3322" s="25"/>
      <c r="Q3322" s="19"/>
      <c r="R3322" s="19"/>
      <c r="S3322" s="19"/>
      <c r="T3322" s="19"/>
      <c r="U3322" s="25"/>
      <c r="V3322" s="19"/>
      <c r="W3322" s="19"/>
      <c r="X3322" s="19"/>
      <c r="Y3322" s="19"/>
      <c r="Z3322" s="19"/>
    </row>
    <row r="3323">
      <c r="A3323" s="24"/>
      <c r="B3323" s="19"/>
      <c r="C3323" s="19"/>
      <c r="D3323" s="19"/>
      <c r="E3323" s="19"/>
      <c r="F3323" s="19"/>
      <c r="G3323" s="19"/>
      <c r="H3323" s="19"/>
      <c r="I3323" s="19"/>
      <c r="J3323" s="19"/>
      <c r="K3323" s="19"/>
      <c r="L3323" s="25"/>
      <c r="M3323" s="25"/>
      <c r="N3323" s="25"/>
      <c r="O3323" s="25"/>
      <c r="P3323" s="25"/>
      <c r="Q3323" s="19"/>
      <c r="R3323" s="19"/>
      <c r="S3323" s="19"/>
      <c r="T3323" s="19"/>
      <c r="U3323" s="25"/>
      <c r="V3323" s="19"/>
      <c r="W3323" s="19"/>
      <c r="X3323" s="19"/>
      <c r="Y3323" s="19"/>
      <c r="Z3323" s="19"/>
    </row>
    <row r="3324">
      <c r="A3324" s="24"/>
      <c r="B3324" s="19"/>
      <c r="C3324" s="19"/>
      <c r="D3324" s="19"/>
      <c r="E3324" s="19"/>
      <c r="F3324" s="19"/>
      <c r="G3324" s="19"/>
      <c r="H3324" s="19"/>
      <c r="I3324" s="19"/>
      <c r="J3324" s="19"/>
      <c r="K3324" s="19"/>
      <c r="L3324" s="25"/>
      <c r="M3324" s="25"/>
      <c r="N3324" s="25"/>
      <c r="O3324" s="25"/>
      <c r="P3324" s="25"/>
      <c r="Q3324" s="19"/>
      <c r="R3324" s="19"/>
      <c r="S3324" s="19"/>
      <c r="T3324" s="19"/>
      <c r="U3324" s="25"/>
      <c r="V3324" s="19"/>
      <c r="W3324" s="19"/>
      <c r="X3324" s="19"/>
      <c r="Y3324" s="19"/>
      <c r="Z3324" s="19"/>
    </row>
    <row r="3325">
      <c r="A3325" s="24"/>
      <c r="B3325" s="19"/>
      <c r="C3325" s="19"/>
      <c r="D3325" s="19"/>
      <c r="E3325" s="19"/>
      <c r="F3325" s="19"/>
      <c r="G3325" s="19"/>
      <c r="H3325" s="19"/>
      <c r="I3325" s="19"/>
      <c r="J3325" s="19"/>
      <c r="K3325" s="19"/>
      <c r="L3325" s="25"/>
      <c r="M3325" s="25"/>
      <c r="N3325" s="25"/>
      <c r="O3325" s="25"/>
      <c r="P3325" s="25"/>
      <c r="Q3325" s="19"/>
      <c r="R3325" s="19"/>
      <c r="S3325" s="19"/>
      <c r="T3325" s="19"/>
      <c r="U3325" s="25"/>
      <c r="V3325" s="19"/>
      <c r="W3325" s="19"/>
      <c r="X3325" s="19"/>
      <c r="Y3325" s="19"/>
      <c r="Z3325" s="19"/>
    </row>
    <row r="3326">
      <c r="A3326" s="24"/>
      <c r="B3326" s="19"/>
      <c r="C3326" s="19"/>
      <c r="D3326" s="19"/>
      <c r="E3326" s="19"/>
      <c r="F3326" s="19"/>
      <c r="G3326" s="19"/>
      <c r="H3326" s="19"/>
      <c r="I3326" s="19"/>
      <c r="J3326" s="19"/>
      <c r="K3326" s="19"/>
      <c r="L3326" s="25"/>
      <c r="M3326" s="25"/>
      <c r="N3326" s="25"/>
      <c r="O3326" s="25"/>
      <c r="P3326" s="25"/>
      <c r="Q3326" s="19"/>
      <c r="R3326" s="19"/>
      <c r="S3326" s="19"/>
      <c r="T3326" s="19"/>
      <c r="U3326" s="25"/>
      <c r="V3326" s="19"/>
      <c r="W3326" s="19"/>
      <c r="X3326" s="19"/>
      <c r="Y3326" s="19"/>
      <c r="Z3326" s="19"/>
    </row>
    <row r="3327">
      <c r="A3327" s="24"/>
      <c r="B3327" s="19"/>
      <c r="C3327" s="19"/>
      <c r="D3327" s="19"/>
      <c r="E3327" s="19"/>
      <c r="F3327" s="19"/>
      <c r="G3327" s="19"/>
      <c r="H3327" s="19"/>
      <c r="I3327" s="19"/>
      <c r="J3327" s="19"/>
      <c r="K3327" s="19"/>
      <c r="L3327" s="25"/>
      <c r="M3327" s="25"/>
      <c r="N3327" s="25"/>
      <c r="O3327" s="25"/>
      <c r="P3327" s="25"/>
      <c r="Q3327" s="19"/>
      <c r="R3327" s="19"/>
      <c r="S3327" s="19"/>
      <c r="T3327" s="19"/>
      <c r="U3327" s="25"/>
      <c r="V3327" s="19"/>
      <c r="W3327" s="19"/>
      <c r="X3327" s="19"/>
      <c r="Y3327" s="19"/>
      <c r="Z3327" s="19"/>
    </row>
    <row r="3328">
      <c r="A3328" s="24"/>
      <c r="B3328" s="19"/>
      <c r="C3328" s="19"/>
      <c r="D3328" s="19"/>
      <c r="E3328" s="19"/>
      <c r="F3328" s="19"/>
      <c r="G3328" s="19"/>
      <c r="H3328" s="19"/>
      <c r="I3328" s="19"/>
      <c r="J3328" s="19"/>
      <c r="K3328" s="19"/>
      <c r="L3328" s="25"/>
      <c r="M3328" s="25"/>
      <c r="N3328" s="25"/>
      <c r="O3328" s="25"/>
      <c r="P3328" s="25"/>
      <c r="Q3328" s="19"/>
      <c r="R3328" s="19"/>
      <c r="S3328" s="19"/>
      <c r="T3328" s="19"/>
      <c r="U3328" s="25"/>
      <c r="V3328" s="19"/>
      <c r="W3328" s="19"/>
      <c r="X3328" s="19"/>
      <c r="Y3328" s="19"/>
      <c r="Z3328" s="19"/>
    </row>
    <row r="3329">
      <c r="A3329" s="24"/>
      <c r="B3329" s="19"/>
      <c r="C3329" s="19"/>
      <c r="D3329" s="19"/>
      <c r="E3329" s="19"/>
      <c r="F3329" s="19"/>
      <c r="G3329" s="19"/>
      <c r="H3329" s="19"/>
      <c r="I3329" s="19"/>
      <c r="J3329" s="19"/>
      <c r="K3329" s="19"/>
      <c r="L3329" s="25"/>
      <c r="M3329" s="25"/>
      <c r="N3329" s="25"/>
      <c r="O3329" s="25"/>
      <c r="P3329" s="25"/>
      <c r="Q3329" s="19"/>
      <c r="R3329" s="19"/>
      <c r="S3329" s="19"/>
      <c r="T3329" s="19"/>
      <c r="U3329" s="25"/>
      <c r="V3329" s="19"/>
      <c r="W3329" s="19"/>
      <c r="X3329" s="19"/>
      <c r="Y3329" s="19"/>
      <c r="Z3329" s="19"/>
    </row>
    <row r="3330">
      <c r="A3330" s="24"/>
      <c r="B3330" s="19"/>
      <c r="C3330" s="19"/>
      <c r="D3330" s="19"/>
      <c r="E3330" s="19"/>
      <c r="F3330" s="19"/>
      <c r="G3330" s="19"/>
      <c r="H3330" s="19"/>
      <c r="I3330" s="19"/>
      <c r="J3330" s="19"/>
      <c r="K3330" s="19"/>
      <c r="L3330" s="25"/>
      <c r="M3330" s="25"/>
      <c r="N3330" s="25"/>
      <c r="O3330" s="25"/>
      <c r="P3330" s="25"/>
      <c r="Q3330" s="19"/>
      <c r="R3330" s="19"/>
      <c r="S3330" s="19"/>
      <c r="T3330" s="19"/>
      <c r="U3330" s="25"/>
      <c r="V3330" s="19"/>
      <c r="W3330" s="19"/>
      <c r="X3330" s="19"/>
      <c r="Y3330" s="19"/>
      <c r="Z3330" s="19"/>
    </row>
    <row r="3331">
      <c r="A3331" s="24"/>
      <c r="B3331" s="19"/>
      <c r="C3331" s="19"/>
      <c r="D3331" s="19"/>
      <c r="E3331" s="19"/>
      <c r="F3331" s="19"/>
      <c r="G3331" s="19"/>
      <c r="H3331" s="19"/>
      <c r="I3331" s="19"/>
      <c r="J3331" s="19"/>
      <c r="K3331" s="19"/>
      <c r="L3331" s="25"/>
      <c r="M3331" s="25"/>
      <c r="N3331" s="25"/>
      <c r="O3331" s="25"/>
      <c r="P3331" s="25"/>
      <c r="Q3331" s="19"/>
      <c r="R3331" s="19"/>
      <c r="S3331" s="19"/>
      <c r="T3331" s="19"/>
      <c r="U3331" s="25"/>
      <c r="V3331" s="19"/>
      <c r="W3331" s="19"/>
      <c r="X3331" s="19"/>
      <c r="Y3331" s="19"/>
      <c r="Z3331" s="19"/>
    </row>
    <row r="3332">
      <c r="A3332" s="24"/>
      <c r="B3332" s="19"/>
      <c r="C3332" s="19"/>
      <c r="D3332" s="19"/>
      <c r="E3332" s="19"/>
      <c r="F3332" s="19"/>
      <c r="G3332" s="19"/>
      <c r="H3332" s="19"/>
      <c r="I3332" s="19"/>
      <c r="J3332" s="19"/>
      <c r="K3332" s="19"/>
      <c r="L3332" s="25"/>
      <c r="M3332" s="25"/>
      <c r="N3332" s="25"/>
      <c r="O3332" s="25"/>
      <c r="P3332" s="25"/>
      <c r="Q3332" s="19"/>
      <c r="R3332" s="19"/>
      <c r="S3332" s="19"/>
      <c r="T3332" s="19"/>
      <c r="U3332" s="25"/>
      <c r="V3332" s="19"/>
      <c r="W3332" s="19"/>
      <c r="X3332" s="19"/>
      <c r="Y3332" s="19"/>
      <c r="Z3332" s="19"/>
    </row>
    <row r="3333">
      <c r="A3333" s="24"/>
      <c r="B3333" s="19"/>
      <c r="C3333" s="19"/>
      <c r="D3333" s="19"/>
      <c r="E3333" s="19"/>
      <c r="F3333" s="19"/>
      <c r="G3333" s="19"/>
      <c r="H3333" s="19"/>
      <c r="I3333" s="19"/>
      <c r="J3333" s="19"/>
      <c r="K3333" s="19"/>
      <c r="L3333" s="25"/>
      <c r="M3333" s="25"/>
      <c r="N3333" s="25"/>
      <c r="O3333" s="25"/>
      <c r="P3333" s="25"/>
      <c r="Q3333" s="19"/>
      <c r="R3333" s="19"/>
      <c r="S3333" s="19"/>
      <c r="T3333" s="19"/>
      <c r="U3333" s="25"/>
      <c r="V3333" s="19"/>
      <c r="W3333" s="19"/>
      <c r="X3333" s="19"/>
      <c r="Y3333" s="19"/>
      <c r="Z3333" s="19"/>
    </row>
    <row r="3334">
      <c r="A3334" s="24"/>
      <c r="B3334" s="19"/>
      <c r="C3334" s="19"/>
      <c r="D3334" s="19"/>
      <c r="E3334" s="19"/>
      <c r="F3334" s="19"/>
      <c r="G3334" s="19"/>
      <c r="H3334" s="19"/>
      <c r="I3334" s="19"/>
      <c r="J3334" s="19"/>
      <c r="K3334" s="19"/>
      <c r="L3334" s="25"/>
      <c r="M3334" s="25"/>
      <c r="N3334" s="25"/>
      <c r="O3334" s="25"/>
      <c r="P3334" s="25"/>
      <c r="Q3334" s="19"/>
      <c r="R3334" s="19"/>
      <c r="S3334" s="19"/>
      <c r="T3334" s="19"/>
      <c r="U3334" s="25"/>
      <c r="V3334" s="19"/>
      <c r="W3334" s="19"/>
      <c r="X3334" s="19"/>
      <c r="Y3334" s="19"/>
      <c r="Z3334" s="19"/>
    </row>
    <row r="3335">
      <c r="A3335" s="24"/>
      <c r="B3335" s="19"/>
      <c r="C3335" s="19"/>
      <c r="D3335" s="19"/>
      <c r="E3335" s="19"/>
      <c r="F3335" s="19"/>
      <c r="G3335" s="19"/>
      <c r="H3335" s="19"/>
      <c r="I3335" s="19"/>
      <c r="J3335" s="19"/>
      <c r="K3335" s="19"/>
      <c r="L3335" s="25"/>
      <c r="M3335" s="25"/>
      <c r="N3335" s="25"/>
      <c r="O3335" s="25"/>
      <c r="P3335" s="25"/>
      <c r="Q3335" s="19"/>
      <c r="R3335" s="19"/>
      <c r="S3335" s="19"/>
      <c r="T3335" s="19"/>
      <c r="U3335" s="25"/>
      <c r="V3335" s="19"/>
      <c r="W3335" s="19"/>
      <c r="X3335" s="19"/>
      <c r="Y3335" s="19"/>
      <c r="Z3335" s="19"/>
    </row>
    <row r="3336">
      <c r="A3336" s="24"/>
      <c r="B3336" s="19"/>
      <c r="C3336" s="19"/>
      <c r="D3336" s="19"/>
      <c r="E3336" s="19"/>
      <c r="F3336" s="19"/>
      <c r="G3336" s="19"/>
      <c r="H3336" s="19"/>
      <c r="I3336" s="19"/>
      <c r="J3336" s="19"/>
      <c r="K3336" s="19"/>
      <c r="L3336" s="25"/>
      <c r="M3336" s="25"/>
      <c r="N3336" s="25"/>
      <c r="O3336" s="25"/>
      <c r="P3336" s="25"/>
      <c r="Q3336" s="19"/>
      <c r="R3336" s="19"/>
      <c r="S3336" s="19"/>
      <c r="T3336" s="19"/>
      <c r="U3336" s="25"/>
      <c r="V3336" s="19"/>
      <c r="W3336" s="19"/>
      <c r="X3336" s="19"/>
      <c r="Y3336" s="19"/>
      <c r="Z3336" s="19"/>
    </row>
    <row r="3337">
      <c r="A3337" s="24"/>
      <c r="B3337" s="19"/>
      <c r="C3337" s="19"/>
      <c r="D3337" s="19"/>
      <c r="E3337" s="19"/>
      <c r="F3337" s="19"/>
      <c r="G3337" s="19"/>
      <c r="H3337" s="19"/>
      <c r="I3337" s="19"/>
      <c r="J3337" s="19"/>
      <c r="K3337" s="19"/>
      <c r="L3337" s="25"/>
      <c r="M3337" s="25"/>
      <c r="N3337" s="25"/>
      <c r="O3337" s="25"/>
      <c r="P3337" s="25"/>
      <c r="Q3337" s="19"/>
      <c r="R3337" s="19"/>
      <c r="S3337" s="19"/>
      <c r="T3337" s="19"/>
      <c r="U3337" s="25"/>
      <c r="V3337" s="19"/>
      <c r="W3337" s="19"/>
      <c r="X3337" s="19"/>
      <c r="Y3337" s="19"/>
      <c r="Z3337" s="19"/>
    </row>
    <row r="3338">
      <c r="A3338" s="24"/>
      <c r="B3338" s="19"/>
      <c r="C3338" s="19"/>
      <c r="D3338" s="19"/>
      <c r="E3338" s="19"/>
      <c r="F3338" s="19"/>
      <c r="G3338" s="19"/>
      <c r="H3338" s="19"/>
      <c r="I3338" s="19"/>
      <c r="J3338" s="19"/>
      <c r="K3338" s="19"/>
      <c r="L3338" s="25"/>
      <c r="M3338" s="25"/>
      <c r="N3338" s="25"/>
      <c r="O3338" s="25"/>
      <c r="P3338" s="25"/>
      <c r="Q3338" s="19"/>
      <c r="R3338" s="19"/>
      <c r="S3338" s="19"/>
      <c r="T3338" s="19"/>
      <c r="U3338" s="25"/>
      <c r="V3338" s="19"/>
      <c r="W3338" s="19"/>
      <c r="X3338" s="19"/>
      <c r="Y3338" s="19"/>
      <c r="Z3338" s="19"/>
    </row>
    <row r="3339">
      <c r="A3339" s="24"/>
      <c r="B3339" s="19"/>
      <c r="C3339" s="19"/>
      <c r="D3339" s="19"/>
      <c r="E3339" s="19"/>
      <c r="F3339" s="19"/>
      <c r="G3339" s="19"/>
      <c r="H3339" s="19"/>
      <c r="I3339" s="19"/>
      <c r="J3339" s="19"/>
      <c r="K3339" s="19"/>
      <c r="L3339" s="25"/>
      <c r="M3339" s="25"/>
      <c r="N3339" s="25"/>
      <c r="O3339" s="25"/>
      <c r="P3339" s="25"/>
      <c r="Q3339" s="19"/>
      <c r="R3339" s="19"/>
      <c r="S3339" s="19"/>
      <c r="T3339" s="19"/>
      <c r="U3339" s="25"/>
      <c r="V3339" s="19"/>
      <c r="W3339" s="19"/>
      <c r="X3339" s="19"/>
      <c r="Y3339" s="19"/>
      <c r="Z3339" s="19"/>
    </row>
    <row r="3340">
      <c r="A3340" s="24"/>
      <c r="B3340" s="19"/>
      <c r="C3340" s="19"/>
      <c r="D3340" s="19"/>
      <c r="E3340" s="19"/>
      <c r="F3340" s="19"/>
      <c r="G3340" s="19"/>
      <c r="H3340" s="19"/>
      <c r="I3340" s="19"/>
      <c r="J3340" s="19"/>
      <c r="K3340" s="19"/>
      <c r="L3340" s="25"/>
      <c r="M3340" s="25"/>
      <c r="N3340" s="25"/>
      <c r="O3340" s="25"/>
      <c r="P3340" s="25"/>
      <c r="Q3340" s="19"/>
      <c r="R3340" s="19"/>
      <c r="S3340" s="19"/>
      <c r="T3340" s="19"/>
      <c r="U3340" s="25"/>
      <c r="V3340" s="19"/>
      <c r="W3340" s="19"/>
      <c r="X3340" s="19"/>
      <c r="Y3340" s="19"/>
      <c r="Z3340" s="19"/>
    </row>
    <row r="3341">
      <c r="A3341" s="24"/>
      <c r="B3341" s="19"/>
      <c r="C3341" s="19"/>
      <c r="D3341" s="19"/>
      <c r="E3341" s="19"/>
      <c r="F3341" s="19"/>
      <c r="G3341" s="19"/>
      <c r="H3341" s="19"/>
      <c r="I3341" s="19"/>
      <c r="J3341" s="19"/>
      <c r="K3341" s="19"/>
      <c r="L3341" s="25"/>
      <c r="M3341" s="25"/>
      <c r="N3341" s="25"/>
      <c r="O3341" s="25"/>
      <c r="P3341" s="25"/>
      <c r="Q3341" s="19"/>
      <c r="R3341" s="19"/>
      <c r="S3341" s="19"/>
      <c r="T3341" s="19"/>
      <c r="U3341" s="25"/>
      <c r="V3341" s="19"/>
      <c r="W3341" s="19"/>
      <c r="X3341" s="19"/>
      <c r="Y3341" s="19"/>
      <c r="Z3341" s="19"/>
    </row>
    <row r="3342">
      <c r="A3342" s="24"/>
      <c r="B3342" s="19"/>
      <c r="C3342" s="19"/>
      <c r="D3342" s="19"/>
      <c r="E3342" s="19"/>
      <c r="F3342" s="19"/>
      <c r="G3342" s="19"/>
      <c r="H3342" s="19"/>
      <c r="I3342" s="19"/>
      <c r="J3342" s="19"/>
      <c r="K3342" s="19"/>
      <c r="L3342" s="25"/>
      <c r="M3342" s="25"/>
      <c r="N3342" s="25"/>
      <c r="O3342" s="25"/>
      <c r="P3342" s="25"/>
      <c r="Q3342" s="19"/>
      <c r="R3342" s="19"/>
      <c r="S3342" s="19"/>
      <c r="T3342" s="19"/>
      <c r="U3342" s="25"/>
      <c r="V3342" s="19"/>
      <c r="W3342" s="19"/>
      <c r="X3342" s="19"/>
      <c r="Y3342" s="19"/>
      <c r="Z3342" s="19"/>
    </row>
    <row r="3343">
      <c r="A3343" s="24"/>
      <c r="B3343" s="19"/>
      <c r="C3343" s="19"/>
      <c r="D3343" s="19"/>
      <c r="E3343" s="19"/>
      <c r="F3343" s="19"/>
      <c r="G3343" s="19"/>
      <c r="H3343" s="19"/>
      <c r="I3343" s="19"/>
      <c r="J3343" s="19"/>
      <c r="K3343" s="19"/>
      <c r="L3343" s="25"/>
      <c r="M3343" s="25"/>
      <c r="N3343" s="25"/>
      <c r="O3343" s="25"/>
      <c r="P3343" s="25"/>
      <c r="Q3343" s="19"/>
      <c r="R3343" s="19"/>
      <c r="S3343" s="19"/>
      <c r="T3343" s="19"/>
      <c r="U3343" s="25"/>
      <c r="V3343" s="19"/>
      <c r="W3343" s="19"/>
      <c r="X3343" s="19"/>
      <c r="Y3343" s="19"/>
      <c r="Z3343" s="19"/>
    </row>
    <row r="3344">
      <c r="A3344" s="24"/>
      <c r="B3344" s="19"/>
      <c r="C3344" s="19"/>
      <c r="D3344" s="19"/>
      <c r="E3344" s="19"/>
      <c r="F3344" s="19"/>
      <c r="G3344" s="19"/>
      <c r="H3344" s="19"/>
      <c r="I3344" s="19"/>
      <c r="J3344" s="19"/>
      <c r="K3344" s="19"/>
      <c r="L3344" s="25"/>
      <c r="M3344" s="25"/>
      <c r="N3344" s="25"/>
      <c r="O3344" s="25"/>
      <c r="P3344" s="25"/>
      <c r="Q3344" s="19"/>
      <c r="R3344" s="19"/>
      <c r="S3344" s="19"/>
      <c r="T3344" s="19"/>
      <c r="U3344" s="25"/>
      <c r="V3344" s="19"/>
      <c r="W3344" s="19"/>
      <c r="X3344" s="19"/>
      <c r="Y3344" s="19"/>
      <c r="Z3344" s="19"/>
    </row>
    <row r="3345">
      <c r="A3345" s="24"/>
      <c r="B3345" s="19"/>
      <c r="C3345" s="19"/>
      <c r="D3345" s="19"/>
      <c r="E3345" s="19"/>
      <c r="F3345" s="19"/>
      <c r="G3345" s="19"/>
      <c r="H3345" s="19"/>
      <c r="I3345" s="19"/>
      <c r="J3345" s="19"/>
      <c r="K3345" s="19"/>
      <c r="L3345" s="25"/>
      <c r="M3345" s="25"/>
      <c r="N3345" s="25"/>
      <c r="O3345" s="25"/>
      <c r="P3345" s="25"/>
      <c r="Q3345" s="19"/>
      <c r="R3345" s="19"/>
      <c r="S3345" s="19"/>
      <c r="T3345" s="19"/>
      <c r="U3345" s="25"/>
      <c r="V3345" s="19"/>
      <c r="W3345" s="19"/>
      <c r="X3345" s="19"/>
      <c r="Y3345" s="19"/>
      <c r="Z3345" s="19"/>
    </row>
    <row r="3346">
      <c r="A3346" s="24"/>
      <c r="B3346" s="19"/>
      <c r="C3346" s="19"/>
      <c r="D3346" s="19"/>
      <c r="E3346" s="19"/>
      <c r="F3346" s="19"/>
      <c r="G3346" s="19"/>
      <c r="H3346" s="19"/>
      <c r="I3346" s="19"/>
      <c r="J3346" s="19"/>
      <c r="K3346" s="19"/>
      <c r="L3346" s="25"/>
      <c r="M3346" s="25"/>
      <c r="N3346" s="25"/>
      <c r="O3346" s="25"/>
      <c r="P3346" s="25"/>
      <c r="Q3346" s="19"/>
      <c r="R3346" s="19"/>
      <c r="S3346" s="19"/>
      <c r="T3346" s="19"/>
      <c r="U3346" s="25"/>
      <c r="V3346" s="19"/>
      <c r="W3346" s="19"/>
      <c r="X3346" s="19"/>
      <c r="Y3346" s="19"/>
      <c r="Z3346" s="19"/>
    </row>
    <row r="3347">
      <c r="A3347" s="24"/>
      <c r="B3347" s="19"/>
      <c r="C3347" s="19"/>
      <c r="D3347" s="19"/>
      <c r="E3347" s="19"/>
      <c r="F3347" s="19"/>
      <c r="G3347" s="19"/>
      <c r="H3347" s="19"/>
      <c r="I3347" s="19"/>
      <c r="J3347" s="19"/>
      <c r="K3347" s="19"/>
      <c r="L3347" s="25"/>
      <c r="M3347" s="25"/>
      <c r="N3347" s="25"/>
      <c r="O3347" s="25"/>
      <c r="P3347" s="25"/>
      <c r="Q3347" s="19"/>
      <c r="R3347" s="19"/>
      <c r="S3347" s="19"/>
      <c r="T3347" s="19"/>
      <c r="U3347" s="25"/>
      <c r="V3347" s="19"/>
      <c r="W3347" s="19"/>
      <c r="X3347" s="19"/>
      <c r="Y3347" s="19"/>
      <c r="Z3347" s="19"/>
    </row>
    <row r="3348">
      <c r="A3348" s="24"/>
      <c r="B3348" s="19"/>
      <c r="C3348" s="19"/>
      <c r="D3348" s="19"/>
      <c r="E3348" s="19"/>
      <c r="F3348" s="19"/>
      <c r="G3348" s="19"/>
      <c r="H3348" s="19"/>
      <c r="I3348" s="19"/>
      <c r="J3348" s="19"/>
      <c r="K3348" s="19"/>
      <c r="L3348" s="25"/>
      <c r="M3348" s="25"/>
      <c r="N3348" s="25"/>
      <c r="O3348" s="25"/>
      <c r="P3348" s="25"/>
      <c r="Q3348" s="19"/>
      <c r="R3348" s="19"/>
      <c r="S3348" s="19"/>
      <c r="T3348" s="19"/>
      <c r="U3348" s="25"/>
      <c r="V3348" s="19"/>
      <c r="W3348" s="19"/>
      <c r="X3348" s="19"/>
      <c r="Y3348" s="19"/>
      <c r="Z3348" s="19"/>
    </row>
    <row r="3349">
      <c r="A3349" s="24"/>
      <c r="B3349" s="19"/>
      <c r="C3349" s="19"/>
      <c r="D3349" s="19"/>
      <c r="E3349" s="19"/>
      <c r="F3349" s="19"/>
      <c r="G3349" s="19"/>
      <c r="H3349" s="19"/>
      <c r="I3349" s="19"/>
      <c r="J3349" s="19"/>
      <c r="K3349" s="19"/>
      <c r="L3349" s="25"/>
      <c r="M3349" s="25"/>
      <c r="N3349" s="25"/>
      <c r="O3349" s="25"/>
      <c r="P3349" s="25"/>
      <c r="Q3349" s="19"/>
      <c r="R3349" s="19"/>
      <c r="S3349" s="19"/>
      <c r="T3349" s="19"/>
      <c r="U3349" s="25"/>
      <c r="V3349" s="19"/>
      <c r="W3349" s="19"/>
      <c r="X3349" s="19"/>
      <c r="Y3349" s="19"/>
      <c r="Z3349" s="19"/>
    </row>
    <row r="3350">
      <c r="A3350" s="24"/>
      <c r="B3350" s="19"/>
      <c r="C3350" s="19"/>
      <c r="D3350" s="19"/>
      <c r="E3350" s="19"/>
      <c r="F3350" s="19"/>
      <c r="G3350" s="19"/>
      <c r="H3350" s="19"/>
      <c r="I3350" s="19"/>
      <c r="J3350" s="19"/>
      <c r="K3350" s="19"/>
      <c r="L3350" s="25"/>
      <c r="M3350" s="25"/>
      <c r="N3350" s="25"/>
      <c r="O3350" s="25"/>
      <c r="P3350" s="25"/>
      <c r="Q3350" s="19"/>
      <c r="R3350" s="19"/>
      <c r="S3350" s="19"/>
      <c r="T3350" s="19"/>
      <c r="U3350" s="25"/>
      <c r="V3350" s="19"/>
      <c r="W3350" s="19"/>
      <c r="X3350" s="19"/>
      <c r="Y3350" s="19"/>
      <c r="Z3350" s="19"/>
    </row>
    <row r="3351">
      <c r="A3351" s="24"/>
      <c r="B3351" s="19"/>
      <c r="C3351" s="19"/>
      <c r="D3351" s="19"/>
      <c r="E3351" s="19"/>
      <c r="F3351" s="19"/>
      <c r="G3351" s="19"/>
      <c r="H3351" s="19"/>
      <c r="I3351" s="19"/>
      <c r="J3351" s="19"/>
      <c r="K3351" s="19"/>
      <c r="L3351" s="25"/>
      <c r="M3351" s="25"/>
      <c r="N3351" s="25"/>
      <c r="O3351" s="25"/>
      <c r="P3351" s="25"/>
      <c r="Q3351" s="19"/>
      <c r="R3351" s="19"/>
      <c r="S3351" s="19"/>
      <c r="T3351" s="19"/>
      <c r="U3351" s="25"/>
      <c r="V3351" s="19"/>
      <c r="W3351" s="19"/>
      <c r="X3351" s="19"/>
      <c r="Y3351" s="19"/>
      <c r="Z3351" s="19"/>
    </row>
    <row r="3352">
      <c r="A3352" s="24"/>
      <c r="B3352" s="19"/>
      <c r="C3352" s="19"/>
      <c r="D3352" s="19"/>
      <c r="E3352" s="19"/>
      <c r="F3352" s="19"/>
      <c r="G3352" s="19"/>
      <c r="H3352" s="19"/>
      <c r="I3352" s="19"/>
      <c r="J3352" s="19"/>
      <c r="K3352" s="19"/>
      <c r="L3352" s="25"/>
      <c r="M3352" s="25"/>
      <c r="N3352" s="25"/>
      <c r="O3352" s="25"/>
      <c r="P3352" s="25"/>
      <c r="Q3352" s="19"/>
      <c r="R3352" s="19"/>
      <c r="S3352" s="19"/>
      <c r="T3352" s="19"/>
      <c r="U3352" s="25"/>
      <c r="V3352" s="19"/>
      <c r="W3352" s="19"/>
      <c r="X3352" s="19"/>
      <c r="Y3352" s="19"/>
      <c r="Z3352" s="19"/>
    </row>
    <row r="3353">
      <c r="A3353" s="24"/>
      <c r="B3353" s="19"/>
      <c r="C3353" s="19"/>
      <c r="D3353" s="19"/>
      <c r="E3353" s="19"/>
      <c r="F3353" s="19"/>
      <c r="G3353" s="19"/>
      <c r="H3353" s="19"/>
      <c r="I3353" s="19"/>
      <c r="J3353" s="19"/>
      <c r="K3353" s="19"/>
      <c r="L3353" s="25"/>
      <c r="M3353" s="25"/>
      <c r="N3353" s="25"/>
      <c r="O3353" s="25"/>
      <c r="P3353" s="25"/>
      <c r="Q3353" s="19"/>
      <c r="R3353" s="19"/>
      <c r="S3353" s="19"/>
      <c r="T3353" s="19"/>
      <c r="U3353" s="25"/>
      <c r="V3353" s="19"/>
      <c r="W3353" s="19"/>
      <c r="X3353" s="19"/>
      <c r="Y3353" s="19"/>
      <c r="Z3353" s="19"/>
    </row>
    <row r="3354">
      <c r="A3354" s="24"/>
      <c r="B3354" s="19"/>
      <c r="C3354" s="19"/>
      <c r="D3354" s="19"/>
      <c r="E3354" s="19"/>
      <c r="F3354" s="19"/>
      <c r="G3354" s="19"/>
      <c r="H3354" s="19"/>
      <c r="I3354" s="19"/>
      <c r="J3354" s="19"/>
      <c r="K3354" s="19"/>
      <c r="L3354" s="25"/>
      <c r="M3354" s="25"/>
      <c r="N3354" s="25"/>
      <c r="O3354" s="25"/>
      <c r="P3354" s="25"/>
      <c r="Q3354" s="19"/>
      <c r="R3354" s="19"/>
      <c r="S3354" s="19"/>
      <c r="T3354" s="19"/>
      <c r="U3354" s="25"/>
      <c r="V3354" s="19"/>
      <c r="W3354" s="19"/>
      <c r="X3354" s="19"/>
      <c r="Y3354" s="19"/>
      <c r="Z3354" s="19"/>
    </row>
    <row r="3355">
      <c r="A3355" s="24"/>
      <c r="B3355" s="19"/>
      <c r="C3355" s="19"/>
      <c r="D3355" s="19"/>
      <c r="E3355" s="19"/>
      <c r="F3355" s="19"/>
      <c r="G3355" s="19"/>
      <c r="H3355" s="19"/>
      <c r="I3355" s="19"/>
      <c r="J3355" s="19"/>
      <c r="K3355" s="19"/>
      <c r="L3355" s="25"/>
      <c r="M3355" s="25"/>
      <c r="N3355" s="25"/>
      <c r="O3355" s="25"/>
      <c r="P3355" s="25"/>
      <c r="Q3355" s="19"/>
      <c r="R3355" s="19"/>
      <c r="S3355" s="19"/>
      <c r="T3355" s="19"/>
      <c r="U3355" s="25"/>
      <c r="V3355" s="19"/>
      <c r="W3355" s="19"/>
      <c r="X3355" s="19"/>
      <c r="Y3355" s="19"/>
      <c r="Z3355" s="19"/>
    </row>
    <row r="3356">
      <c r="A3356" s="24"/>
      <c r="B3356" s="19"/>
      <c r="C3356" s="19"/>
      <c r="D3356" s="19"/>
      <c r="E3356" s="19"/>
      <c r="F3356" s="19"/>
      <c r="G3356" s="19"/>
      <c r="H3356" s="19"/>
      <c r="I3356" s="19"/>
      <c r="J3356" s="19"/>
      <c r="K3356" s="19"/>
      <c r="L3356" s="25"/>
      <c r="M3356" s="25"/>
      <c r="N3356" s="25"/>
      <c r="O3356" s="25"/>
      <c r="P3356" s="25"/>
      <c r="Q3356" s="19"/>
      <c r="R3356" s="19"/>
      <c r="S3356" s="19"/>
      <c r="T3356" s="19"/>
      <c r="U3356" s="25"/>
      <c r="V3356" s="19"/>
      <c r="W3356" s="19"/>
      <c r="X3356" s="19"/>
      <c r="Y3356" s="19"/>
      <c r="Z3356" s="19"/>
    </row>
    <row r="3357">
      <c r="A3357" s="24"/>
      <c r="B3357" s="19"/>
      <c r="C3357" s="19"/>
      <c r="D3357" s="19"/>
      <c r="E3357" s="19"/>
      <c r="F3357" s="19"/>
      <c r="G3357" s="19"/>
      <c r="H3357" s="19"/>
      <c r="I3357" s="19"/>
      <c r="J3357" s="19"/>
      <c r="K3357" s="19"/>
      <c r="L3357" s="25"/>
      <c r="M3357" s="25"/>
      <c r="N3357" s="25"/>
      <c r="O3357" s="25"/>
      <c r="P3357" s="25"/>
      <c r="Q3357" s="19"/>
      <c r="R3357" s="19"/>
      <c r="S3357" s="19"/>
      <c r="T3357" s="19"/>
      <c r="U3357" s="25"/>
      <c r="V3357" s="19"/>
      <c r="W3357" s="19"/>
      <c r="X3357" s="19"/>
      <c r="Y3357" s="19"/>
      <c r="Z3357" s="19"/>
    </row>
    <row r="3358">
      <c r="A3358" s="24"/>
      <c r="B3358" s="19"/>
      <c r="C3358" s="19"/>
      <c r="D3358" s="19"/>
      <c r="E3358" s="19"/>
      <c r="F3358" s="19"/>
      <c r="G3358" s="19"/>
      <c r="H3358" s="19"/>
      <c r="I3358" s="19"/>
      <c r="J3358" s="19"/>
      <c r="K3358" s="19"/>
      <c r="L3358" s="25"/>
      <c r="M3358" s="25"/>
      <c r="N3358" s="25"/>
      <c r="O3358" s="25"/>
      <c r="P3358" s="25"/>
      <c r="Q3358" s="19"/>
      <c r="R3358" s="19"/>
      <c r="S3358" s="19"/>
      <c r="T3358" s="19"/>
      <c r="U3358" s="25"/>
      <c r="V3358" s="19"/>
      <c r="W3358" s="19"/>
      <c r="X3358" s="19"/>
      <c r="Y3358" s="19"/>
      <c r="Z3358" s="19"/>
    </row>
    <row r="3359">
      <c r="A3359" s="24"/>
      <c r="B3359" s="19"/>
      <c r="C3359" s="19"/>
      <c r="D3359" s="19"/>
      <c r="E3359" s="19"/>
      <c r="F3359" s="19"/>
      <c r="G3359" s="19"/>
      <c r="H3359" s="19"/>
      <c r="I3359" s="19"/>
      <c r="J3359" s="19"/>
      <c r="K3359" s="19"/>
      <c r="L3359" s="25"/>
      <c r="M3359" s="25"/>
      <c r="N3359" s="25"/>
      <c r="O3359" s="25"/>
      <c r="P3359" s="25"/>
      <c r="Q3359" s="19"/>
      <c r="R3359" s="19"/>
      <c r="S3359" s="19"/>
      <c r="T3359" s="19"/>
      <c r="U3359" s="25"/>
      <c r="V3359" s="19"/>
      <c r="W3359" s="19"/>
      <c r="X3359" s="19"/>
      <c r="Y3359" s="19"/>
      <c r="Z3359" s="19"/>
    </row>
    <row r="3360">
      <c r="A3360" s="24"/>
      <c r="B3360" s="19"/>
      <c r="C3360" s="19"/>
      <c r="D3360" s="19"/>
      <c r="E3360" s="19"/>
      <c r="F3360" s="19"/>
      <c r="G3360" s="19"/>
      <c r="H3360" s="19"/>
      <c r="I3360" s="19"/>
      <c r="J3360" s="19"/>
      <c r="K3360" s="19"/>
      <c r="L3360" s="25"/>
      <c r="M3360" s="25"/>
      <c r="N3360" s="25"/>
      <c r="O3360" s="25"/>
      <c r="P3360" s="25"/>
      <c r="Q3360" s="19"/>
      <c r="R3360" s="19"/>
      <c r="S3360" s="19"/>
      <c r="T3360" s="19"/>
      <c r="U3360" s="25"/>
      <c r="V3360" s="19"/>
      <c r="W3360" s="19"/>
      <c r="X3360" s="19"/>
      <c r="Y3360" s="19"/>
      <c r="Z3360" s="19"/>
    </row>
    <row r="3361">
      <c r="A3361" s="24"/>
      <c r="B3361" s="19"/>
      <c r="C3361" s="19"/>
      <c r="D3361" s="19"/>
      <c r="E3361" s="19"/>
      <c r="F3361" s="19"/>
      <c r="G3361" s="19"/>
      <c r="H3361" s="19"/>
      <c r="I3361" s="19"/>
      <c r="J3361" s="19"/>
      <c r="K3361" s="19"/>
      <c r="L3361" s="25"/>
      <c r="M3361" s="25"/>
      <c r="N3361" s="25"/>
      <c r="O3361" s="25"/>
      <c r="P3361" s="25"/>
      <c r="Q3361" s="19"/>
      <c r="R3361" s="19"/>
      <c r="S3361" s="19"/>
      <c r="T3361" s="19"/>
      <c r="U3361" s="25"/>
      <c r="V3361" s="19"/>
      <c r="W3361" s="19"/>
      <c r="X3361" s="19"/>
      <c r="Y3361" s="19"/>
      <c r="Z3361" s="19"/>
    </row>
    <row r="3362">
      <c r="A3362" s="24"/>
      <c r="B3362" s="19"/>
      <c r="C3362" s="19"/>
      <c r="D3362" s="19"/>
      <c r="E3362" s="19"/>
      <c r="F3362" s="19"/>
      <c r="G3362" s="19"/>
      <c r="H3362" s="19"/>
      <c r="I3362" s="19"/>
      <c r="J3362" s="19"/>
      <c r="K3362" s="19"/>
      <c r="L3362" s="25"/>
      <c r="M3362" s="25"/>
      <c r="N3362" s="25"/>
      <c r="O3362" s="25"/>
      <c r="P3362" s="25"/>
      <c r="Q3362" s="19"/>
      <c r="R3362" s="19"/>
      <c r="S3362" s="19"/>
      <c r="T3362" s="19"/>
      <c r="U3362" s="25"/>
      <c r="V3362" s="19"/>
      <c r="W3362" s="19"/>
      <c r="X3362" s="19"/>
      <c r="Y3362" s="19"/>
      <c r="Z3362" s="19"/>
    </row>
    <row r="3363">
      <c r="A3363" s="24"/>
      <c r="B3363" s="19"/>
      <c r="C3363" s="19"/>
      <c r="D3363" s="19"/>
      <c r="E3363" s="19"/>
      <c r="F3363" s="19"/>
      <c r="G3363" s="19"/>
      <c r="H3363" s="19"/>
      <c r="I3363" s="19"/>
      <c r="J3363" s="19"/>
      <c r="K3363" s="19"/>
      <c r="L3363" s="25"/>
      <c r="M3363" s="25"/>
      <c r="N3363" s="25"/>
      <c r="O3363" s="25"/>
      <c r="P3363" s="25"/>
      <c r="Q3363" s="19"/>
      <c r="R3363" s="19"/>
      <c r="S3363" s="19"/>
      <c r="T3363" s="19"/>
      <c r="U3363" s="25"/>
      <c r="V3363" s="19"/>
      <c r="W3363" s="19"/>
      <c r="X3363" s="19"/>
      <c r="Y3363" s="19"/>
      <c r="Z3363" s="19"/>
    </row>
    <row r="3364">
      <c r="A3364" s="24"/>
      <c r="B3364" s="19"/>
      <c r="C3364" s="19"/>
      <c r="D3364" s="19"/>
      <c r="E3364" s="19"/>
      <c r="F3364" s="19"/>
      <c r="G3364" s="19"/>
      <c r="H3364" s="19"/>
      <c r="I3364" s="19"/>
      <c r="J3364" s="19"/>
      <c r="K3364" s="19"/>
      <c r="L3364" s="25"/>
      <c r="M3364" s="25"/>
      <c r="N3364" s="25"/>
      <c r="O3364" s="25"/>
      <c r="P3364" s="25"/>
      <c r="Q3364" s="19"/>
      <c r="R3364" s="19"/>
      <c r="S3364" s="19"/>
      <c r="T3364" s="19"/>
      <c r="U3364" s="25"/>
      <c r="V3364" s="19"/>
      <c r="W3364" s="19"/>
      <c r="X3364" s="19"/>
      <c r="Y3364" s="19"/>
      <c r="Z3364" s="19"/>
    </row>
    <row r="3365">
      <c r="A3365" s="24"/>
      <c r="B3365" s="19"/>
      <c r="C3365" s="19"/>
      <c r="D3365" s="19"/>
      <c r="E3365" s="19"/>
      <c r="F3365" s="19"/>
      <c r="G3365" s="19"/>
      <c r="H3365" s="19"/>
      <c r="I3365" s="19"/>
      <c r="J3365" s="19"/>
      <c r="K3365" s="19"/>
      <c r="L3365" s="25"/>
      <c r="M3365" s="25"/>
      <c r="N3365" s="25"/>
      <c r="O3365" s="25"/>
      <c r="P3365" s="25"/>
      <c r="Q3365" s="19"/>
      <c r="R3365" s="19"/>
      <c r="S3365" s="19"/>
      <c r="T3365" s="19"/>
      <c r="U3365" s="25"/>
      <c r="V3365" s="19"/>
      <c r="W3365" s="19"/>
      <c r="X3365" s="19"/>
      <c r="Y3365" s="19"/>
      <c r="Z3365" s="19"/>
    </row>
    <row r="3366">
      <c r="A3366" s="24"/>
      <c r="B3366" s="19"/>
      <c r="C3366" s="19"/>
      <c r="D3366" s="19"/>
      <c r="E3366" s="19"/>
      <c r="F3366" s="19"/>
      <c r="G3366" s="19"/>
      <c r="H3366" s="19"/>
      <c r="I3366" s="19"/>
      <c r="J3366" s="19"/>
      <c r="K3366" s="19"/>
      <c r="L3366" s="25"/>
      <c r="M3366" s="25"/>
      <c r="N3366" s="25"/>
      <c r="O3366" s="25"/>
      <c r="P3366" s="25"/>
      <c r="Q3366" s="19"/>
      <c r="R3366" s="19"/>
      <c r="S3366" s="19"/>
      <c r="T3366" s="19"/>
      <c r="U3366" s="25"/>
      <c r="V3366" s="19"/>
      <c r="W3366" s="19"/>
      <c r="X3366" s="19"/>
      <c r="Y3366" s="19"/>
      <c r="Z3366" s="19"/>
    </row>
    <row r="3367">
      <c r="A3367" s="24"/>
      <c r="B3367" s="19"/>
      <c r="C3367" s="19"/>
      <c r="D3367" s="19"/>
      <c r="E3367" s="19"/>
      <c r="F3367" s="19"/>
      <c r="G3367" s="19"/>
      <c r="H3367" s="19"/>
      <c r="I3367" s="19"/>
      <c r="J3367" s="19"/>
      <c r="K3367" s="19"/>
      <c r="L3367" s="25"/>
      <c r="M3367" s="25"/>
      <c r="N3367" s="25"/>
      <c r="O3367" s="25"/>
      <c r="P3367" s="25"/>
      <c r="Q3367" s="19"/>
      <c r="R3367" s="19"/>
      <c r="S3367" s="19"/>
      <c r="T3367" s="19"/>
      <c r="U3367" s="25"/>
      <c r="V3367" s="19"/>
      <c r="W3367" s="19"/>
      <c r="X3367" s="19"/>
      <c r="Y3367" s="19"/>
      <c r="Z3367" s="19"/>
    </row>
    <row r="3368">
      <c r="A3368" s="24"/>
      <c r="B3368" s="19"/>
      <c r="C3368" s="19"/>
      <c r="D3368" s="19"/>
      <c r="E3368" s="19"/>
      <c r="F3368" s="19"/>
      <c r="G3368" s="19"/>
      <c r="H3368" s="19"/>
      <c r="I3368" s="19"/>
      <c r="J3368" s="19"/>
      <c r="K3368" s="19"/>
      <c r="L3368" s="25"/>
      <c r="M3368" s="25"/>
      <c r="N3368" s="25"/>
      <c r="O3368" s="25"/>
      <c r="P3368" s="25"/>
      <c r="Q3368" s="19"/>
      <c r="R3368" s="19"/>
      <c r="S3368" s="19"/>
      <c r="T3368" s="19"/>
      <c r="U3368" s="25"/>
      <c r="V3368" s="19"/>
      <c r="W3368" s="19"/>
      <c r="X3368" s="19"/>
      <c r="Y3368" s="19"/>
      <c r="Z3368" s="19"/>
    </row>
    <row r="3369">
      <c r="A3369" s="24"/>
      <c r="B3369" s="19"/>
      <c r="C3369" s="19"/>
      <c r="D3369" s="19"/>
      <c r="E3369" s="19"/>
      <c r="F3369" s="19"/>
      <c r="G3369" s="19"/>
      <c r="H3369" s="19"/>
      <c r="I3369" s="19"/>
      <c r="J3369" s="19"/>
      <c r="K3369" s="19"/>
      <c r="L3369" s="25"/>
      <c r="M3369" s="25"/>
      <c r="N3369" s="25"/>
      <c r="O3369" s="25"/>
      <c r="P3369" s="25"/>
      <c r="Q3369" s="19"/>
      <c r="R3369" s="19"/>
      <c r="S3369" s="19"/>
      <c r="T3369" s="19"/>
      <c r="U3369" s="25"/>
      <c r="V3369" s="19"/>
      <c r="W3369" s="19"/>
      <c r="X3369" s="19"/>
      <c r="Y3369" s="19"/>
      <c r="Z3369" s="19"/>
    </row>
    <row r="3370">
      <c r="A3370" s="24"/>
      <c r="B3370" s="19"/>
      <c r="C3370" s="19"/>
      <c r="D3370" s="19"/>
      <c r="E3370" s="19"/>
      <c r="F3370" s="19"/>
      <c r="G3370" s="19"/>
      <c r="H3370" s="19"/>
      <c r="I3370" s="19"/>
      <c r="J3370" s="19"/>
      <c r="K3370" s="19"/>
      <c r="L3370" s="25"/>
      <c r="M3370" s="25"/>
      <c r="N3370" s="25"/>
      <c r="O3370" s="25"/>
      <c r="P3370" s="25"/>
      <c r="Q3370" s="19"/>
      <c r="R3370" s="19"/>
      <c r="S3370" s="19"/>
      <c r="T3370" s="19"/>
      <c r="U3370" s="25"/>
      <c r="V3370" s="19"/>
      <c r="W3370" s="19"/>
      <c r="X3370" s="19"/>
      <c r="Y3370" s="19"/>
      <c r="Z3370" s="19"/>
    </row>
    <row r="3371">
      <c r="A3371" s="24"/>
      <c r="B3371" s="19"/>
      <c r="C3371" s="19"/>
      <c r="D3371" s="19"/>
      <c r="E3371" s="19"/>
      <c r="F3371" s="19"/>
      <c r="G3371" s="19"/>
      <c r="H3371" s="19"/>
      <c r="I3371" s="19"/>
      <c r="J3371" s="19"/>
      <c r="K3371" s="19"/>
      <c r="L3371" s="25"/>
      <c r="M3371" s="25"/>
      <c r="N3371" s="25"/>
      <c r="O3371" s="25"/>
      <c r="P3371" s="25"/>
      <c r="Q3371" s="19"/>
      <c r="R3371" s="19"/>
      <c r="S3371" s="19"/>
      <c r="T3371" s="19"/>
      <c r="U3371" s="25"/>
      <c r="V3371" s="19"/>
      <c r="W3371" s="19"/>
      <c r="X3371" s="19"/>
      <c r="Y3371" s="19"/>
      <c r="Z3371" s="19"/>
    </row>
    <row r="3372">
      <c r="A3372" s="24"/>
      <c r="B3372" s="19"/>
      <c r="C3372" s="19"/>
      <c r="D3372" s="19"/>
      <c r="E3372" s="19"/>
      <c r="F3372" s="19"/>
      <c r="G3372" s="19"/>
      <c r="H3372" s="19"/>
      <c r="I3372" s="19"/>
      <c r="J3372" s="19"/>
      <c r="K3372" s="19"/>
      <c r="L3372" s="25"/>
      <c r="M3372" s="25"/>
      <c r="N3372" s="25"/>
      <c r="O3372" s="25"/>
      <c r="P3372" s="25"/>
      <c r="Q3372" s="19"/>
      <c r="R3372" s="19"/>
      <c r="S3372" s="19"/>
      <c r="T3372" s="19"/>
      <c r="U3372" s="25"/>
      <c r="V3372" s="19"/>
      <c r="W3372" s="19"/>
      <c r="X3372" s="19"/>
      <c r="Y3372" s="19"/>
      <c r="Z3372" s="19"/>
    </row>
    <row r="3373">
      <c r="A3373" s="24"/>
      <c r="B3373" s="19"/>
      <c r="C3373" s="19"/>
      <c r="D3373" s="19"/>
      <c r="E3373" s="19"/>
      <c r="F3373" s="19"/>
      <c r="G3373" s="19"/>
      <c r="H3373" s="19"/>
      <c r="I3373" s="19"/>
      <c r="J3373" s="19"/>
      <c r="K3373" s="19"/>
      <c r="L3373" s="25"/>
      <c r="M3373" s="25"/>
      <c r="N3373" s="25"/>
      <c r="O3373" s="25"/>
      <c r="P3373" s="25"/>
      <c r="Q3373" s="19"/>
      <c r="R3373" s="19"/>
      <c r="S3373" s="19"/>
      <c r="T3373" s="19"/>
      <c r="U3373" s="25"/>
      <c r="V3373" s="19"/>
      <c r="W3373" s="19"/>
      <c r="X3373" s="19"/>
      <c r="Y3373" s="19"/>
      <c r="Z3373" s="19"/>
    </row>
    <row r="3374">
      <c r="A3374" s="24"/>
      <c r="B3374" s="19"/>
      <c r="C3374" s="19"/>
      <c r="D3374" s="19"/>
      <c r="E3374" s="19"/>
      <c r="F3374" s="19"/>
      <c r="G3374" s="19"/>
      <c r="H3374" s="19"/>
      <c r="I3374" s="19"/>
      <c r="J3374" s="19"/>
      <c r="K3374" s="19"/>
      <c r="L3374" s="25"/>
      <c r="M3374" s="25"/>
      <c r="N3374" s="25"/>
      <c r="O3374" s="25"/>
      <c r="P3374" s="25"/>
      <c r="Q3374" s="19"/>
      <c r="R3374" s="19"/>
      <c r="S3374" s="19"/>
      <c r="T3374" s="19"/>
      <c r="U3374" s="25"/>
      <c r="V3374" s="19"/>
      <c r="W3374" s="19"/>
      <c r="X3374" s="19"/>
      <c r="Y3374" s="19"/>
      <c r="Z3374" s="19"/>
    </row>
    <row r="3375">
      <c r="A3375" s="24"/>
      <c r="B3375" s="19"/>
      <c r="C3375" s="19"/>
      <c r="D3375" s="19"/>
      <c r="E3375" s="19"/>
      <c r="F3375" s="19"/>
      <c r="G3375" s="19"/>
      <c r="H3375" s="19"/>
      <c r="I3375" s="19"/>
      <c r="J3375" s="19"/>
      <c r="K3375" s="19"/>
      <c r="L3375" s="25"/>
      <c r="M3375" s="25"/>
      <c r="N3375" s="25"/>
      <c r="O3375" s="25"/>
      <c r="P3375" s="25"/>
      <c r="Q3375" s="19"/>
      <c r="R3375" s="19"/>
      <c r="S3375" s="19"/>
      <c r="T3375" s="19"/>
      <c r="U3375" s="25"/>
      <c r="V3375" s="19"/>
      <c r="W3375" s="19"/>
      <c r="X3375" s="19"/>
      <c r="Y3375" s="19"/>
      <c r="Z3375" s="19"/>
    </row>
    <row r="3376">
      <c r="A3376" s="24"/>
      <c r="B3376" s="19"/>
      <c r="C3376" s="19"/>
      <c r="D3376" s="19"/>
      <c r="E3376" s="19"/>
      <c r="F3376" s="19"/>
      <c r="G3376" s="19"/>
      <c r="H3376" s="19"/>
      <c r="I3376" s="19"/>
      <c r="J3376" s="19"/>
      <c r="K3376" s="19"/>
      <c r="L3376" s="25"/>
      <c r="M3376" s="25"/>
      <c r="N3376" s="25"/>
      <c r="O3376" s="25"/>
      <c r="P3376" s="25"/>
      <c r="Q3376" s="19"/>
      <c r="R3376" s="19"/>
      <c r="S3376" s="19"/>
      <c r="T3376" s="19"/>
      <c r="U3376" s="25"/>
      <c r="V3376" s="19"/>
      <c r="W3376" s="19"/>
      <c r="X3376" s="19"/>
      <c r="Y3376" s="19"/>
      <c r="Z3376" s="19"/>
    </row>
    <row r="3377">
      <c r="A3377" s="24"/>
      <c r="B3377" s="19"/>
      <c r="C3377" s="19"/>
      <c r="D3377" s="19"/>
      <c r="E3377" s="19"/>
      <c r="F3377" s="19"/>
      <c r="G3377" s="19"/>
      <c r="H3377" s="19"/>
      <c r="I3377" s="19"/>
      <c r="J3377" s="19"/>
      <c r="K3377" s="19"/>
      <c r="L3377" s="25"/>
      <c r="M3377" s="25"/>
      <c r="N3377" s="25"/>
      <c r="O3377" s="25"/>
      <c r="P3377" s="25"/>
      <c r="Q3377" s="19"/>
      <c r="R3377" s="19"/>
      <c r="S3377" s="19"/>
      <c r="T3377" s="19"/>
      <c r="U3377" s="25"/>
      <c r="V3377" s="19"/>
      <c r="W3377" s="19"/>
      <c r="X3377" s="19"/>
      <c r="Y3377" s="19"/>
      <c r="Z3377" s="19"/>
    </row>
    <row r="3378">
      <c r="A3378" s="24"/>
      <c r="B3378" s="19"/>
      <c r="C3378" s="19"/>
      <c r="D3378" s="19"/>
      <c r="E3378" s="19"/>
      <c r="F3378" s="19"/>
      <c r="G3378" s="19"/>
      <c r="H3378" s="19"/>
      <c r="I3378" s="19"/>
      <c r="J3378" s="19"/>
      <c r="K3378" s="19"/>
      <c r="L3378" s="25"/>
      <c r="M3378" s="25"/>
      <c r="N3378" s="25"/>
      <c r="O3378" s="25"/>
      <c r="P3378" s="25"/>
      <c r="Q3378" s="19"/>
      <c r="R3378" s="19"/>
      <c r="S3378" s="19"/>
      <c r="T3378" s="19"/>
      <c r="U3378" s="25"/>
      <c r="V3378" s="19"/>
      <c r="W3378" s="19"/>
      <c r="X3378" s="19"/>
      <c r="Y3378" s="19"/>
      <c r="Z3378" s="19"/>
    </row>
    <row r="3379">
      <c r="A3379" s="24"/>
      <c r="B3379" s="19"/>
      <c r="C3379" s="19"/>
      <c r="D3379" s="19"/>
      <c r="E3379" s="19"/>
      <c r="F3379" s="19"/>
      <c r="G3379" s="19"/>
      <c r="H3379" s="19"/>
      <c r="I3379" s="19"/>
      <c r="J3379" s="19"/>
      <c r="K3379" s="19"/>
      <c r="L3379" s="25"/>
      <c r="M3379" s="25"/>
      <c r="N3379" s="25"/>
      <c r="O3379" s="25"/>
      <c r="P3379" s="25"/>
      <c r="Q3379" s="19"/>
      <c r="R3379" s="19"/>
      <c r="S3379" s="19"/>
      <c r="T3379" s="19"/>
      <c r="U3379" s="25"/>
      <c r="V3379" s="19"/>
      <c r="W3379" s="19"/>
      <c r="X3379" s="19"/>
      <c r="Y3379" s="19"/>
      <c r="Z3379" s="19"/>
    </row>
    <row r="3380">
      <c r="A3380" s="24"/>
      <c r="B3380" s="19"/>
      <c r="C3380" s="19"/>
      <c r="D3380" s="19"/>
      <c r="E3380" s="19"/>
      <c r="F3380" s="19"/>
      <c r="G3380" s="19"/>
      <c r="H3380" s="19"/>
      <c r="I3380" s="19"/>
      <c r="J3380" s="19"/>
      <c r="K3380" s="19"/>
      <c r="L3380" s="25"/>
      <c r="M3380" s="25"/>
      <c r="N3380" s="25"/>
      <c r="O3380" s="25"/>
      <c r="P3380" s="25"/>
      <c r="Q3380" s="19"/>
      <c r="R3380" s="19"/>
      <c r="S3380" s="19"/>
      <c r="T3380" s="19"/>
      <c r="U3380" s="25"/>
      <c r="V3380" s="19"/>
      <c r="W3380" s="19"/>
      <c r="X3380" s="19"/>
      <c r="Y3380" s="19"/>
      <c r="Z3380" s="19"/>
    </row>
    <row r="3381">
      <c r="A3381" s="24"/>
      <c r="B3381" s="19"/>
      <c r="C3381" s="19"/>
      <c r="D3381" s="19"/>
      <c r="E3381" s="19"/>
      <c r="F3381" s="19"/>
      <c r="G3381" s="19"/>
      <c r="H3381" s="19"/>
      <c r="I3381" s="19"/>
      <c r="J3381" s="19"/>
      <c r="K3381" s="19"/>
      <c r="L3381" s="25"/>
      <c r="M3381" s="25"/>
      <c r="N3381" s="25"/>
      <c r="O3381" s="25"/>
      <c r="P3381" s="25"/>
      <c r="Q3381" s="19"/>
      <c r="R3381" s="19"/>
      <c r="S3381" s="19"/>
      <c r="T3381" s="19"/>
      <c r="U3381" s="25"/>
      <c r="V3381" s="19"/>
      <c r="W3381" s="19"/>
      <c r="X3381" s="19"/>
      <c r="Y3381" s="19"/>
      <c r="Z3381" s="19"/>
    </row>
    <row r="3382">
      <c r="A3382" s="24"/>
      <c r="B3382" s="19"/>
      <c r="C3382" s="19"/>
      <c r="D3382" s="19"/>
      <c r="E3382" s="19"/>
      <c r="F3382" s="19"/>
      <c r="G3382" s="19"/>
      <c r="H3382" s="19"/>
      <c r="I3382" s="19"/>
      <c r="J3382" s="19"/>
      <c r="K3382" s="19"/>
      <c r="L3382" s="25"/>
      <c r="M3382" s="25"/>
      <c r="N3382" s="25"/>
      <c r="O3382" s="25"/>
      <c r="P3382" s="25"/>
      <c r="Q3382" s="19"/>
      <c r="R3382" s="19"/>
      <c r="S3382" s="19"/>
      <c r="T3382" s="19"/>
      <c r="U3382" s="25"/>
      <c r="V3382" s="19"/>
      <c r="W3382" s="19"/>
      <c r="X3382" s="19"/>
      <c r="Y3382" s="19"/>
      <c r="Z3382" s="19"/>
    </row>
    <row r="3383">
      <c r="A3383" s="24"/>
      <c r="B3383" s="19"/>
      <c r="C3383" s="19"/>
      <c r="D3383" s="19"/>
      <c r="E3383" s="19"/>
      <c r="F3383" s="19"/>
      <c r="G3383" s="19"/>
      <c r="H3383" s="19"/>
      <c r="I3383" s="19"/>
      <c r="J3383" s="19"/>
      <c r="K3383" s="19"/>
      <c r="L3383" s="25"/>
      <c r="M3383" s="25"/>
      <c r="N3383" s="25"/>
      <c r="O3383" s="25"/>
      <c r="P3383" s="25"/>
      <c r="Q3383" s="19"/>
      <c r="R3383" s="19"/>
      <c r="S3383" s="19"/>
      <c r="T3383" s="19"/>
      <c r="U3383" s="25"/>
      <c r="V3383" s="19"/>
      <c r="W3383" s="19"/>
      <c r="X3383" s="19"/>
      <c r="Y3383" s="19"/>
      <c r="Z3383" s="19"/>
    </row>
    <row r="3384">
      <c r="A3384" s="24"/>
      <c r="B3384" s="19"/>
      <c r="C3384" s="19"/>
      <c r="D3384" s="19"/>
      <c r="E3384" s="19"/>
      <c r="F3384" s="19"/>
      <c r="G3384" s="19"/>
      <c r="H3384" s="19"/>
      <c r="I3384" s="19"/>
      <c r="J3384" s="19"/>
      <c r="K3384" s="19"/>
      <c r="L3384" s="25"/>
      <c r="M3384" s="25"/>
      <c r="N3384" s="25"/>
      <c r="O3384" s="25"/>
      <c r="P3384" s="25"/>
      <c r="Q3384" s="19"/>
      <c r="R3384" s="19"/>
      <c r="S3384" s="19"/>
      <c r="T3384" s="19"/>
      <c r="U3384" s="25"/>
      <c r="V3384" s="19"/>
      <c r="W3384" s="19"/>
      <c r="X3384" s="19"/>
      <c r="Y3384" s="19"/>
      <c r="Z3384" s="19"/>
    </row>
    <row r="3385">
      <c r="A3385" s="24"/>
      <c r="B3385" s="19"/>
      <c r="C3385" s="19"/>
      <c r="D3385" s="19"/>
      <c r="E3385" s="19"/>
      <c r="F3385" s="19"/>
      <c r="G3385" s="19"/>
      <c r="H3385" s="19"/>
      <c r="I3385" s="19"/>
      <c r="J3385" s="19"/>
      <c r="K3385" s="19"/>
      <c r="L3385" s="25"/>
      <c r="M3385" s="25"/>
      <c r="N3385" s="25"/>
      <c r="O3385" s="25"/>
      <c r="P3385" s="25"/>
      <c r="Q3385" s="19"/>
      <c r="R3385" s="19"/>
      <c r="S3385" s="19"/>
      <c r="T3385" s="19"/>
      <c r="U3385" s="25"/>
      <c r="V3385" s="19"/>
      <c r="W3385" s="19"/>
      <c r="X3385" s="19"/>
      <c r="Y3385" s="19"/>
      <c r="Z3385" s="19"/>
    </row>
    <row r="3386">
      <c r="A3386" s="24"/>
      <c r="B3386" s="19"/>
      <c r="C3386" s="19"/>
      <c r="D3386" s="19"/>
      <c r="E3386" s="19"/>
      <c r="F3386" s="19"/>
      <c r="G3386" s="19"/>
      <c r="H3386" s="19"/>
      <c r="I3386" s="19"/>
      <c r="J3386" s="19"/>
      <c r="K3386" s="19"/>
      <c r="L3386" s="25"/>
      <c r="M3386" s="25"/>
      <c r="N3386" s="25"/>
      <c r="O3386" s="25"/>
      <c r="P3386" s="25"/>
      <c r="Q3386" s="19"/>
      <c r="R3386" s="19"/>
      <c r="S3386" s="19"/>
      <c r="T3386" s="19"/>
      <c r="U3386" s="25"/>
      <c r="V3386" s="19"/>
      <c r="W3386" s="19"/>
      <c r="X3386" s="19"/>
      <c r="Y3386" s="19"/>
      <c r="Z3386" s="19"/>
    </row>
    <row r="3387">
      <c r="A3387" s="24"/>
      <c r="B3387" s="19"/>
      <c r="C3387" s="19"/>
      <c r="D3387" s="19"/>
      <c r="E3387" s="19"/>
      <c r="F3387" s="19"/>
      <c r="G3387" s="19"/>
      <c r="H3387" s="19"/>
      <c r="I3387" s="19"/>
      <c r="J3387" s="19"/>
      <c r="K3387" s="19"/>
      <c r="L3387" s="25"/>
      <c r="M3387" s="25"/>
      <c r="N3387" s="25"/>
      <c r="O3387" s="25"/>
      <c r="P3387" s="25"/>
      <c r="Q3387" s="19"/>
      <c r="R3387" s="19"/>
      <c r="S3387" s="19"/>
      <c r="T3387" s="19"/>
      <c r="U3387" s="25"/>
      <c r="V3387" s="19"/>
      <c r="W3387" s="19"/>
      <c r="X3387" s="19"/>
      <c r="Y3387" s="19"/>
      <c r="Z3387" s="19"/>
    </row>
    <row r="3388">
      <c r="A3388" s="24"/>
      <c r="B3388" s="19"/>
      <c r="C3388" s="19"/>
      <c r="D3388" s="19"/>
      <c r="E3388" s="19"/>
      <c r="F3388" s="19"/>
      <c r="G3388" s="19"/>
      <c r="H3388" s="19"/>
      <c r="I3388" s="19"/>
      <c r="J3388" s="19"/>
      <c r="K3388" s="19"/>
      <c r="L3388" s="25"/>
      <c r="M3388" s="25"/>
      <c r="N3388" s="25"/>
      <c r="O3388" s="25"/>
      <c r="P3388" s="25"/>
      <c r="Q3388" s="19"/>
      <c r="R3388" s="19"/>
      <c r="S3388" s="19"/>
      <c r="T3388" s="19"/>
      <c r="U3388" s="25"/>
      <c r="V3388" s="19"/>
      <c r="W3388" s="19"/>
      <c r="X3388" s="19"/>
      <c r="Y3388" s="19"/>
      <c r="Z3388" s="19"/>
    </row>
    <row r="3389">
      <c r="A3389" s="24"/>
      <c r="B3389" s="19"/>
      <c r="C3389" s="19"/>
      <c r="D3389" s="19"/>
      <c r="E3389" s="19"/>
      <c r="F3389" s="19"/>
      <c r="G3389" s="19"/>
      <c r="H3389" s="19"/>
      <c r="I3389" s="19"/>
      <c r="J3389" s="19"/>
      <c r="K3389" s="19"/>
      <c r="L3389" s="25"/>
      <c r="M3389" s="25"/>
      <c r="N3389" s="25"/>
      <c r="O3389" s="25"/>
      <c r="P3389" s="25"/>
      <c r="Q3389" s="19"/>
      <c r="R3389" s="19"/>
      <c r="S3389" s="19"/>
      <c r="T3389" s="19"/>
      <c r="U3389" s="25"/>
      <c r="V3389" s="19"/>
      <c r="W3389" s="19"/>
      <c r="X3389" s="19"/>
      <c r="Y3389" s="19"/>
      <c r="Z3389" s="19"/>
    </row>
    <row r="3390">
      <c r="A3390" s="24"/>
      <c r="B3390" s="19"/>
      <c r="C3390" s="19"/>
      <c r="D3390" s="19"/>
      <c r="E3390" s="19"/>
      <c r="F3390" s="19"/>
      <c r="G3390" s="19"/>
      <c r="H3390" s="19"/>
      <c r="I3390" s="19"/>
      <c r="J3390" s="19"/>
      <c r="K3390" s="19"/>
      <c r="L3390" s="25"/>
      <c r="M3390" s="25"/>
      <c r="N3390" s="25"/>
      <c r="O3390" s="25"/>
      <c r="P3390" s="25"/>
      <c r="Q3390" s="19"/>
      <c r="R3390" s="19"/>
      <c r="S3390" s="19"/>
      <c r="T3390" s="19"/>
      <c r="U3390" s="25"/>
      <c r="V3390" s="19"/>
      <c r="W3390" s="19"/>
      <c r="X3390" s="19"/>
      <c r="Y3390" s="19"/>
      <c r="Z3390" s="19"/>
    </row>
    <row r="3391">
      <c r="A3391" s="24"/>
      <c r="B3391" s="19"/>
      <c r="C3391" s="19"/>
      <c r="D3391" s="19"/>
      <c r="E3391" s="19"/>
      <c r="F3391" s="19"/>
      <c r="G3391" s="19"/>
      <c r="H3391" s="19"/>
      <c r="I3391" s="19"/>
      <c r="J3391" s="19"/>
      <c r="K3391" s="19"/>
      <c r="L3391" s="25"/>
      <c r="M3391" s="25"/>
      <c r="N3391" s="25"/>
      <c r="O3391" s="25"/>
      <c r="P3391" s="25"/>
      <c r="Q3391" s="19"/>
      <c r="R3391" s="19"/>
      <c r="S3391" s="19"/>
      <c r="T3391" s="19"/>
      <c r="U3391" s="25"/>
      <c r="V3391" s="19"/>
      <c r="W3391" s="19"/>
      <c r="X3391" s="19"/>
      <c r="Y3391" s="19"/>
      <c r="Z3391" s="19"/>
    </row>
    <row r="3392">
      <c r="A3392" s="24"/>
      <c r="B3392" s="19"/>
      <c r="C3392" s="19"/>
      <c r="D3392" s="19"/>
      <c r="E3392" s="19"/>
      <c r="F3392" s="19"/>
      <c r="G3392" s="19"/>
      <c r="H3392" s="19"/>
      <c r="I3392" s="19"/>
      <c r="J3392" s="19"/>
      <c r="K3392" s="19"/>
      <c r="L3392" s="25"/>
      <c r="M3392" s="25"/>
      <c r="N3392" s="25"/>
      <c r="O3392" s="25"/>
      <c r="P3392" s="25"/>
      <c r="Q3392" s="19"/>
      <c r="R3392" s="19"/>
      <c r="S3392" s="19"/>
      <c r="T3392" s="19"/>
      <c r="U3392" s="25"/>
      <c r="V3392" s="19"/>
      <c r="W3392" s="19"/>
      <c r="X3392" s="19"/>
      <c r="Y3392" s="19"/>
      <c r="Z3392" s="19"/>
    </row>
    <row r="3393">
      <c r="A3393" s="24"/>
      <c r="B3393" s="19"/>
      <c r="C3393" s="19"/>
      <c r="D3393" s="19"/>
      <c r="E3393" s="19"/>
      <c r="F3393" s="19"/>
      <c r="G3393" s="19"/>
      <c r="H3393" s="19"/>
      <c r="I3393" s="19"/>
      <c r="J3393" s="19"/>
      <c r="K3393" s="19"/>
      <c r="L3393" s="25"/>
      <c r="M3393" s="25"/>
      <c r="N3393" s="25"/>
      <c r="O3393" s="25"/>
      <c r="P3393" s="25"/>
      <c r="Q3393" s="19"/>
      <c r="R3393" s="19"/>
      <c r="S3393" s="19"/>
      <c r="T3393" s="19"/>
      <c r="U3393" s="25"/>
      <c r="V3393" s="19"/>
      <c r="W3393" s="19"/>
      <c r="X3393" s="19"/>
      <c r="Y3393" s="19"/>
      <c r="Z3393" s="19"/>
    </row>
    <row r="3394">
      <c r="A3394" s="24"/>
      <c r="B3394" s="19"/>
      <c r="C3394" s="19"/>
      <c r="D3394" s="19"/>
      <c r="E3394" s="19"/>
      <c r="F3394" s="19"/>
      <c r="G3394" s="19"/>
      <c r="H3394" s="19"/>
      <c r="I3394" s="19"/>
      <c r="J3394" s="19"/>
      <c r="K3394" s="19"/>
      <c r="L3394" s="25"/>
      <c r="M3394" s="25"/>
      <c r="N3394" s="25"/>
      <c r="O3394" s="25"/>
      <c r="P3394" s="25"/>
      <c r="Q3394" s="19"/>
      <c r="R3394" s="19"/>
      <c r="S3394" s="19"/>
      <c r="T3394" s="19"/>
      <c r="U3394" s="25"/>
      <c r="V3394" s="19"/>
      <c r="W3394" s="19"/>
      <c r="X3394" s="19"/>
      <c r="Y3394" s="19"/>
      <c r="Z3394" s="19"/>
    </row>
    <row r="3395">
      <c r="A3395" s="24"/>
      <c r="B3395" s="19"/>
      <c r="C3395" s="19"/>
      <c r="D3395" s="19"/>
      <c r="E3395" s="19"/>
      <c r="F3395" s="19"/>
      <c r="G3395" s="19"/>
      <c r="H3395" s="19"/>
      <c r="I3395" s="19"/>
      <c r="J3395" s="19"/>
      <c r="K3395" s="19"/>
      <c r="L3395" s="25"/>
      <c r="M3395" s="25"/>
      <c r="N3395" s="25"/>
      <c r="O3395" s="25"/>
      <c r="P3395" s="25"/>
      <c r="Q3395" s="19"/>
      <c r="R3395" s="19"/>
      <c r="S3395" s="19"/>
      <c r="T3395" s="19"/>
      <c r="U3395" s="25"/>
      <c r="V3395" s="19"/>
      <c r="W3395" s="19"/>
      <c r="X3395" s="19"/>
      <c r="Y3395" s="19"/>
      <c r="Z3395" s="19"/>
    </row>
    <row r="3396">
      <c r="A3396" s="24"/>
      <c r="B3396" s="19"/>
      <c r="C3396" s="19"/>
      <c r="D3396" s="19"/>
      <c r="E3396" s="19"/>
      <c r="F3396" s="19"/>
      <c r="G3396" s="19"/>
      <c r="H3396" s="19"/>
      <c r="I3396" s="19"/>
      <c r="J3396" s="19"/>
      <c r="K3396" s="19"/>
      <c r="L3396" s="25"/>
      <c r="M3396" s="25"/>
      <c r="N3396" s="25"/>
      <c r="O3396" s="25"/>
      <c r="P3396" s="25"/>
      <c r="Q3396" s="19"/>
      <c r="R3396" s="19"/>
      <c r="S3396" s="19"/>
      <c r="T3396" s="19"/>
      <c r="U3396" s="25"/>
      <c r="V3396" s="19"/>
      <c r="W3396" s="19"/>
      <c r="X3396" s="19"/>
      <c r="Y3396" s="19"/>
      <c r="Z3396" s="19"/>
    </row>
    <row r="3397">
      <c r="A3397" s="24"/>
      <c r="B3397" s="19"/>
      <c r="C3397" s="19"/>
      <c r="D3397" s="19"/>
      <c r="E3397" s="19"/>
      <c r="F3397" s="19"/>
      <c r="G3397" s="19"/>
      <c r="H3397" s="19"/>
      <c r="I3397" s="19"/>
      <c r="J3397" s="19"/>
      <c r="K3397" s="19"/>
      <c r="L3397" s="25"/>
      <c r="M3397" s="25"/>
      <c r="N3397" s="25"/>
      <c r="O3397" s="25"/>
      <c r="P3397" s="25"/>
      <c r="Q3397" s="19"/>
      <c r="R3397" s="19"/>
      <c r="S3397" s="19"/>
      <c r="T3397" s="19"/>
      <c r="U3397" s="25"/>
      <c r="V3397" s="19"/>
      <c r="W3397" s="19"/>
      <c r="X3397" s="19"/>
      <c r="Y3397" s="19"/>
      <c r="Z3397" s="19"/>
    </row>
    <row r="3398">
      <c r="A3398" s="24"/>
      <c r="B3398" s="19"/>
      <c r="C3398" s="19"/>
      <c r="D3398" s="19"/>
      <c r="E3398" s="19"/>
      <c r="F3398" s="19"/>
      <c r="G3398" s="19"/>
      <c r="H3398" s="19"/>
      <c r="I3398" s="19"/>
      <c r="J3398" s="19"/>
      <c r="K3398" s="19"/>
      <c r="L3398" s="25"/>
      <c r="M3398" s="25"/>
      <c r="N3398" s="25"/>
      <c r="O3398" s="25"/>
      <c r="P3398" s="25"/>
      <c r="Q3398" s="19"/>
      <c r="R3398" s="19"/>
      <c r="S3398" s="19"/>
      <c r="T3398" s="19"/>
      <c r="U3398" s="25"/>
      <c r="V3398" s="19"/>
      <c r="W3398" s="19"/>
      <c r="X3398" s="19"/>
      <c r="Y3398" s="19"/>
      <c r="Z3398" s="19"/>
    </row>
    <row r="3399">
      <c r="A3399" s="24"/>
      <c r="B3399" s="19"/>
      <c r="C3399" s="19"/>
      <c r="D3399" s="19"/>
      <c r="E3399" s="19"/>
      <c r="F3399" s="19"/>
      <c r="G3399" s="19"/>
      <c r="H3399" s="19"/>
      <c r="I3399" s="19"/>
      <c r="J3399" s="19"/>
      <c r="K3399" s="19"/>
      <c r="L3399" s="25"/>
      <c r="M3399" s="25"/>
      <c r="N3399" s="25"/>
      <c r="O3399" s="25"/>
      <c r="P3399" s="25"/>
      <c r="Q3399" s="19"/>
      <c r="R3399" s="19"/>
      <c r="S3399" s="19"/>
      <c r="T3399" s="19"/>
      <c r="U3399" s="25"/>
      <c r="V3399" s="19"/>
      <c r="W3399" s="19"/>
      <c r="X3399" s="19"/>
      <c r="Y3399" s="19"/>
      <c r="Z3399" s="19"/>
    </row>
    <row r="3400">
      <c r="A3400" s="24"/>
      <c r="B3400" s="19"/>
      <c r="C3400" s="19"/>
      <c r="D3400" s="19"/>
      <c r="E3400" s="19"/>
      <c r="F3400" s="19"/>
      <c r="G3400" s="19"/>
      <c r="H3400" s="19"/>
      <c r="I3400" s="19"/>
      <c r="J3400" s="19"/>
      <c r="K3400" s="19"/>
      <c r="L3400" s="25"/>
      <c r="M3400" s="25"/>
      <c r="N3400" s="25"/>
      <c r="O3400" s="25"/>
      <c r="P3400" s="25"/>
      <c r="Q3400" s="19"/>
      <c r="R3400" s="19"/>
      <c r="S3400" s="19"/>
      <c r="T3400" s="19"/>
      <c r="U3400" s="25"/>
      <c r="V3400" s="19"/>
      <c r="W3400" s="19"/>
      <c r="X3400" s="19"/>
      <c r="Y3400" s="19"/>
      <c r="Z3400" s="19"/>
    </row>
    <row r="3401">
      <c r="A3401" s="24"/>
      <c r="B3401" s="19"/>
      <c r="C3401" s="19"/>
      <c r="D3401" s="19"/>
      <c r="E3401" s="19"/>
      <c r="F3401" s="19"/>
      <c r="G3401" s="19"/>
      <c r="H3401" s="19"/>
      <c r="I3401" s="19"/>
      <c r="J3401" s="19"/>
      <c r="K3401" s="19"/>
      <c r="L3401" s="25"/>
      <c r="M3401" s="25"/>
      <c r="N3401" s="25"/>
      <c r="O3401" s="25"/>
      <c r="P3401" s="25"/>
      <c r="Q3401" s="19"/>
      <c r="R3401" s="19"/>
      <c r="S3401" s="19"/>
      <c r="T3401" s="19"/>
      <c r="U3401" s="25"/>
      <c r="V3401" s="19"/>
      <c r="W3401" s="19"/>
      <c r="X3401" s="19"/>
      <c r="Y3401" s="19"/>
      <c r="Z3401" s="19"/>
    </row>
    <row r="3402">
      <c r="A3402" s="24"/>
      <c r="B3402" s="19"/>
      <c r="C3402" s="19"/>
      <c r="D3402" s="19"/>
      <c r="E3402" s="19"/>
      <c r="F3402" s="19"/>
      <c r="G3402" s="19"/>
      <c r="H3402" s="19"/>
      <c r="I3402" s="19"/>
      <c r="J3402" s="19"/>
      <c r="K3402" s="19"/>
      <c r="L3402" s="25"/>
      <c r="M3402" s="25"/>
      <c r="N3402" s="25"/>
      <c r="O3402" s="25"/>
      <c r="P3402" s="25"/>
      <c r="Q3402" s="19"/>
      <c r="R3402" s="19"/>
      <c r="S3402" s="19"/>
      <c r="T3402" s="19"/>
      <c r="U3402" s="25"/>
      <c r="V3402" s="19"/>
      <c r="W3402" s="19"/>
      <c r="X3402" s="19"/>
      <c r="Y3402" s="19"/>
      <c r="Z3402" s="19"/>
    </row>
    <row r="3403">
      <c r="A3403" s="24"/>
      <c r="B3403" s="19"/>
      <c r="C3403" s="19"/>
      <c r="D3403" s="19"/>
      <c r="E3403" s="19"/>
      <c r="F3403" s="19"/>
      <c r="G3403" s="19"/>
      <c r="H3403" s="19"/>
      <c r="I3403" s="19"/>
      <c r="J3403" s="19"/>
      <c r="K3403" s="19"/>
      <c r="L3403" s="25"/>
      <c r="M3403" s="25"/>
      <c r="N3403" s="25"/>
      <c r="O3403" s="25"/>
      <c r="P3403" s="25"/>
      <c r="Q3403" s="19"/>
      <c r="R3403" s="19"/>
      <c r="S3403" s="19"/>
      <c r="T3403" s="19"/>
      <c r="U3403" s="25"/>
      <c r="V3403" s="19"/>
      <c r="W3403" s="19"/>
      <c r="X3403" s="19"/>
      <c r="Y3403" s="19"/>
      <c r="Z3403" s="19"/>
    </row>
    <row r="3404">
      <c r="A3404" s="24"/>
      <c r="B3404" s="19"/>
      <c r="C3404" s="19"/>
      <c r="D3404" s="19"/>
      <c r="E3404" s="19"/>
      <c r="F3404" s="19"/>
      <c r="G3404" s="19"/>
      <c r="H3404" s="19"/>
      <c r="I3404" s="19"/>
      <c r="J3404" s="19"/>
      <c r="K3404" s="19"/>
      <c r="L3404" s="25"/>
      <c r="M3404" s="25"/>
      <c r="N3404" s="25"/>
      <c r="O3404" s="25"/>
      <c r="P3404" s="25"/>
      <c r="Q3404" s="19"/>
      <c r="R3404" s="19"/>
      <c r="S3404" s="19"/>
      <c r="T3404" s="19"/>
      <c r="U3404" s="25"/>
      <c r="V3404" s="19"/>
      <c r="W3404" s="19"/>
      <c r="X3404" s="19"/>
      <c r="Y3404" s="19"/>
      <c r="Z3404" s="19"/>
    </row>
    <row r="3405">
      <c r="A3405" s="24"/>
      <c r="B3405" s="19"/>
      <c r="C3405" s="19"/>
      <c r="D3405" s="19"/>
      <c r="E3405" s="19"/>
      <c r="F3405" s="19"/>
      <c r="G3405" s="19"/>
      <c r="H3405" s="19"/>
      <c r="I3405" s="19"/>
      <c r="J3405" s="19"/>
      <c r="K3405" s="19"/>
      <c r="L3405" s="25"/>
      <c r="M3405" s="25"/>
      <c r="N3405" s="25"/>
      <c r="O3405" s="25"/>
      <c r="P3405" s="25"/>
      <c r="Q3405" s="19"/>
      <c r="R3405" s="19"/>
      <c r="S3405" s="19"/>
      <c r="T3405" s="19"/>
      <c r="U3405" s="25"/>
      <c r="V3405" s="19"/>
      <c r="W3405" s="19"/>
      <c r="X3405" s="19"/>
      <c r="Y3405" s="19"/>
      <c r="Z3405" s="19"/>
    </row>
    <row r="3406">
      <c r="A3406" s="24"/>
      <c r="B3406" s="19"/>
      <c r="C3406" s="19"/>
      <c r="D3406" s="19"/>
      <c r="E3406" s="19"/>
      <c r="F3406" s="19"/>
      <c r="G3406" s="19"/>
      <c r="H3406" s="19"/>
      <c r="I3406" s="19"/>
      <c r="J3406" s="19"/>
      <c r="K3406" s="19"/>
      <c r="L3406" s="25"/>
      <c r="M3406" s="25"/>
      <c r="N3406" s="25"/>
      <c r="O3406" s="25"/>
      <c r="P3406" s="25"/>
      <c r="Q3406" s="19"/>
      <c r="R3406" s="19"/>
      <c r="S3406" s="19"/>
      <c r="T3406" s="19"/>
      <c r="U3406" s="25"/>
      <c r="V3406" s="19"/>
      <c r="W3406" s="19"/>
      <c r="X3406" s="19"/>
      <c r="Y3406" s="19"/>
      <c r="Z3406" s="19"/>
    </row>
    <row r="3407">
      <c r="A3407" s="24"/>
      <c r="B3407" s="19"/>
      <c r="C3407" s="19"/>
      <c r="D3407" s="19"/>
      <c r="E3407" s="19"/>
      <c r="F3407" s="19"/>
      <c r="G3407" s="19"/>
      <c r="H3407" s="19"/>
      <c r="I3407" s="19"/>
      <c r="J3407" s="19"/>
      <c r="K3407" s="19"/>
      <c r="L3407" s="25"/>
      <c r="M3407" s="25"/>
      <c r="N3407" s="25"/>
      <c r="O3407" s="25"/>
      <c r="P3407" s="25"/>
      <c r="Q3407" s="19"/>
      <c r="R3407" s="19"/>
      <c r="S3407" s="19"/>
      <c r="T3407" s="19"/>
      <c r="U3407" s="25"/>
      <c r="V3407" s="19"/>
      <c r="W3407" s="19"/>
      <c r="X3407" s="19"/>
      <c r="Y3407" s="19"/>
      <c r="Z3407" s="19"/>
    </row>
    <row r="3408">
      <c r="A3408" s="24"/>
      <c r="B3408" s="19"/>
      <c r="C3408" s="19"/>
      <c r="D3408" s="19"/>
      <c r="E3408" s="19"/>
      <c r="F3408" s="19"/>
      <c r="G3408" s="19"/>
      <c r="H3408" s="19"/>
      <c r="I3408" s="19"/>
      <c r="J3408" s="19"/>
      <c r="K3408" s="19"/>
      <c r="L3408" s="25"/>
      <c r="M3408" s="25"/>
      <c r="N3408" s="25"/>
      <c r="O3408" s="25"/>
      <c r="P3408" s="25"/>
      <c r="Q3408" s="19"/>
      <c r="R3408" s="19"/>
      <c r="S3408" s="19"/>
      <c r="T3408" s="19"/>
      <c r="U3408" s="25"/>
      <c r="V3408" s="19"/>
      <c r="W3408" s="19"/>
      <c r="X3408" s="19"/>
      <c r="Y3408" s="19"/>
      <c r="Z3408" s="19"/>
    </row>
    <row r="3409">
      <c r="A3409" s="24"/>
      <c r="B3409" s="19"/>
      <c r="C3409" s="19"/>
      <c r="D3409" s="19"/>
      <c r="E3409" s="19"/>
      <c r="F3409" s="19"/>
      <c r="G3409" s="19"/>
      <c r="H3409" s="19"/>
      <c r="I3409" s="19"/>
      <c r="J3409" s="19"/>
      <c r="K3409" s="19"/>
      <c r="L3409" s="25"/>
      <c r="M3409" s="25"/>
      <c r="N3409" s="25"/>
      <c r="O3409" s="25"/>
      <c r="P3409" s="25"/>
      <c r="Q3409" s="19"/>
      <c r="R3409" s="19"/>
      <c r="S3409" s="19"/>
      <c r="T3409" s="19"/>
      <c r="U3409" s="25"/>
      <c r="V3409" s="19"/>
      <c r="W3409" s="19"/>
      <c r="X3409" s="19"/>
      <c r="Y3409" s="19"/>
      <c r="Z3409" s="19"/>
    </row>
    <row r="3410">
      <c r="A3410" s="24"/>
      <c r="B3410" s="19"/>
      <c r="C3410" s="19"/>
      <c r="D3410" s="19"/>
      <c r="E3410" s="19"/>
      <c r="F3410" s="19"/>
      <c r="G3410" s="19"/>
      <c r="H3410" s="19"/>
      <c r="I3410" s="19"/>
      <c r="J3410" s="19"/>
      <c r="K3410" s="19"/>
      <c r="L3410" s="25"/>
      <c r="M3410" s="25"/>
      <c r="N3410" s="25"/>
      <c r="O3410" s="25"/>
      <c r="P3410" s="25"/>
      <c r="Q3410" s="19"/>
      <c r="R3410" s="19"/>
      <c r="S3410" s="19"/>
      <c r="T3410" s="19"/>
      <c r="U3410" s="25"/>
      <c r="V3410" s="19"/>
      <c r="W3410" s="19"/>
      <c r="X3410" s="19"/>
      <c r="Y3410" s="19"/>
      <c r="Z3410" s="19"/>
    </row>
    <row r="3411">
      <c r="A3411" s="24"/>
      <c r="B3411" s="19"/>
      <c r="C3411" s="19"/>
      <c r="D3411" s="19"/>
      <c r="E3411" s="19"/>
      <c r="F3411" s="19"/>
      <c r="G3411" s="19"/>
      <c r="H3411" s="19"/>
      <c r="I3411" s="19"/>
      <c r="J3411" s="19"/>
      <c r="K3411" s="19"/>
      <c r="L3411" s="25"/>
      <c r="M3411" s="25"/>
      <c r="N3411" s="25"/>
      <c r="O3411" s="25"/>
      <c r="P3411" s="25"/>
      <c r="Q3411" s="19"/>
      <c r="R3411" s="19"/>
      <c r="S3411" s="19"/>
      <c r="T3411" s="19"/>
      <c r="U3411" s="25"/>
      <c r="V3411" s="19"/>
      <c r="W3411" s="19"/>
      <c r="X3411" s="19"/>
      <c r="Y3411" s="19"/>
      <c r="Z3411" s="19"/>
    </row>
    <row r="3412">
      <c r="A3412" s="24"/>
      <c r="B3412" s="19"/>
      <c r="C3412" s="19"/>
      <c r="D3412" s="19"/>
      <c r="E3412" s="19"/>
      <c r="F3412" s="19"/>
      <c r="G3412" s="19"/>
      <c r="H3412" s="19"/>
      <c r="I3412" s="19"/>
      <c r="J3412" s="19"/>
      <c r="K3412" s="19"/>
      <c r="L3412" s="25"/>
      <c r="M3412" s="25"/>
      <c r="N3412" s="25"/>
      <c r="O3412" s="25"/>
      <c r="P3412" s="25"/>
      <c r="Q3412" s="19"/>
      <c r="R3412" s="19"/>
      <c r="S3412" s="19"/>
      <c r="T3412" s="19"/>
      <c r="U3412" s="25"/>
      <c r="V3412" s="19"/>
      <c r="W3412" s="19"/>
      <c r="X3412" s="19"/>
      <c r="Y3412" s="19"/>
      <c r="Z3412" s="19"/>
    </row>
    <row r="3413">
      <c r="A3413" s="24"/>
      <c r="B3413" s="19"/>
      <c r="C3413" s="19"/>
      <c r="D3413" s="19"/>
      <c r="E3413" s="19"/>
      <c r="F3413" s="19"/>
      <c r="G3413" s="19"/>
      <c r="H3413" s="19"/>
      <c r="I3413" s="19"/>
      <c r="J3413" s="19"/>
      <c r="K3413" s="19"/>
      <c r="L3413" s="25"/>
      <c r="M3413" s="25"/>
      <c r="N3413" s="25"/>
      <c r="O3413" s="25"/>
      <c r="P3413" s="25"/>
      <c r="Q3413" s="19"/>
      <c r="R3413" s="19"/>
      <c r="S3413" s="19"/>
      <c r="T3413" s="19"/>
      <c r="U3413" s="25"/>
      <c r="V3413" s="19"/>
      <c r="W3413" s="19"/>
      <c r="X3413" s="19"/>
      <c r="Y3413" s="19"/>
      <c r="Z3413" s="19"/>
    </row>
    <row r="3414">
      <c r="A3414" s="24"/>
      <c r="B3414" s="19"/>
      <c r="C3414" s="19"/>
      <c r="D3414" s="19"/>
      <c r="E3414" s="19"/>
      <c r="F3414" s="19"/>
      <c r="G3414" s="19"/>
      <c r="H3414" s="19"/>
      <c r="I3414" s="19"/>
      <c r="J3414" s="19"/>
      <c r="K3414" s="19"/>
      <c r="L3414" s="25"/>
      <c r="M3414" s="25"/>
      <c r="N3414" s="25"/>
      <c r="O3414" s="25"/>
      <c r="P3414" s="25"/>
      <c r="Q3414" s="19"/>
      <c r="R3414" s="19"/>
      <c r="S3414" s="19"/>
      <c r="T3414" s="19"/>
      <c r="U3414" s="25"/>
      <c r="V3414" s="19"/>
      <c r="W3414" s="19"/>
      <c r="X3414" s="19"/>
      <c r="Y3414" s="19"/>
      <c r="Z3414" s="19"/>
    </row>
    <row r="3415">
      <c r="A3415" s="24"/>
      <c r="B3415" s="19"/>
      <c r="C3415" s="19"/>
      <c r="D3415" s="19"/>
      <c r="E3415" s="19"/>
      <c r="F3415" s="19"/>
      <c r="G3415" s="19"/>
      <c r="H3415" s="19"/>
      <c r="I3415" s="19"/>
      <c r="J3415" s="19"/>
      <c r="K3415" s="19"/>
      <c r="L3415" s="25"/>
      <c r="M3415" s="25"/>
      <c r="N3415" s="25"/>
      <c r="O3415" s="25"/>
      <c r="P3415" s="25"/>
      <c r="Q3415" s="19"/>
      <c r="R3415" s="19"/>
      <c r="S3415" s="19"/>
      <c r="T3415" s="19"/>
      <c r="U3415" s="25"/>
      <c r="V3415" s="19"/>
      <c r="W3415" s="19"/>
      <c r="X3415" s="19"/>
      <c r="Y3415" s="19"/>
      <c r="Z3415" s="19"/>
    </row>
    <row r="3416">
      <c r="A3416" s="24"/>
      <c r="B3416" s="19"/>
      <c r="C3416" s="19"/>
      <c r="D3416" s="19"/>
      <c r="E3416" s="19"/>
      <c r="F3416" s="19"/>
      <c r="G3416" s="19"/>
      <c r="H3416" s="19"/>
      <c r="I3416" s="19"/>
      <c r="J3416" s="19"/>
      <c r="K3416" s="19"/>
      <c r="L3416" s="25"/>
      <c r="M3416" s="25"/>
      <c r="N3416" s="25"/>
      <c r="O3416" s="25"/>
      <c r="P3416" s="25"/>
      <c r="Q3416" s="19"/>
      <c r="R3416" s="19"/>
      <c r="S3416" s="19"/>
      <c r="T3416" s="19"/>
      <c r="U3416" s="25"/>
      <c r="V3416" s="19"/>
      <c r="W3416" s="19"/>
      <c r="X3416" s="19"/>
      <c r="Y3416" s="19"/>
      <c r="Z3416" s="19"/>
    </row>
    <row r="3417">
      <c r="A3417" s="24"/>
      <c r="B3417" s="19"/>
      <c r="C3417" s="19"/>
      <c r="D3417" s="19"/>
      <c r="E3417" s="19"/>
      <c r="F3417" s="19"/>
      <c r="G3417" s="19"/>
      <c r="H3417" s="19"/>
      <c r="I3417" s="19"/>
      <c r="J3417" s="19"/>
      <c r="K3417" s="19"/>
      <c r="L3417" s="25"/>
      <c r="M3417" s="25"/>
      <c r="N3417" s="25"/>
      <c r="O3417" s="25"/>
      <c r="P3417" s="25"/>
      <c r="Q3417" s="19"/>
      <c r="R3417" s="19"/>
      <c r="S3417" s="19"/>
      <c r="T3417" s="19"/>
      <c r="U3417" s="25"/>
      <c r="V3417" s="19"/>
      <c r="W3417" s="19"/>
      <c r="X3417" s="19"/>
      <c r="Y3417" s="19"/>
      <c r="Z3417" s="19"/>
    </row>
    <row r="3418">
      <c r="A3418" s="24"/>
      <c r="B3418" s="19"/>
      <c r="C3418" s="19"/>
      <c r="D3418" s="19"/>
      <c r="E3418" s="19"/>
      <c r="F3418" s="19"/>
      <c r="G3418" s="19"/>
      <c r="H3418" s="19"/>
      <c r="I3418" s="19"/>
      <c r="J3418" s="19"/>
      <c r="K3418" s="19"/>
      <c r="L3418" s="25"/>
      <c r="M3418" s="25"/>
      <c r="N3418" s="25"/>
      <c r="O3418" s="25"/>
      <c r="P3418" s="25"/>
      <c r="Q3418" s="19"/>
      <c r="R3418" s="19"/>
      <c r="S3418" s="19"/>
      <c r="T3418" s="19"/>
      <c r="U3418" s="25"/>
      <c r="V3418" s="19"/>
      <c r="W3418" s="19"/>
      <c r="X3418" s="19"/>
      <c r="Y3418" s="19"/>
      <c r="Z3418" s="19"/>
    </row>
    <row r="3419">
      <c r="A3419" s="24"/>
      <c r="B3419" s="19"/>
      <c r="C3419" s="19"/>
      <c r="D3419" s="19"/>
      <c r="E3419" s="19"/>
      <c r="F3419" s="19"/>
      <c r="G3419" s="19"/>
      <c r="H3419" s="19"/>
      <c r="I3419" s="19"/>
      <c r="J3419" s="19"/>
      <c r="K3419" s="19"/>
      <c r="L3419" s="25"/>
      <c r="M3419" s="25"/>
      <c r="N3419" s="25"/>
      <c r="O3419" s="25"/>
      <c r="P3419" s="25"/>
      <c r="Q3419" s="19"/>
      <c r="R3419" s="19"/>
      <c r="S3419" s="19"/>
      <c r="T3419" s="19"/>
      <c r="U3419" s="25"/>
      <c r="V3419" s="19"/>
      <c r="W3419" s="19"/>
      <c r="X3419" s="19"/>
      <c r="Y3419" s="19"/>
      <c r="Z3419" s="19"/>
    </row>
    <row r="3420">
      <c r="A3420" s="24"/>
      <c r="B3420" s="19"/>
      <c r="C3420" s="19"/>
      <c r="D3420" s="19"/>
      <c r="E3420" s="19"/>
      <c r="F3420" s="19"/>
      <c r="G3420" s="19"/>
      <c r="H3420" s="19"/>
      <c r="I3420" s="19"/>
      <c r="J3420" s="19"/>
      <c r="K3420" s="19"/>
      <c r="L3420" s="25"/>
      <c r="M3420" s="25"/>
      <c r="N3420" s="25"/>
      <c r="O3420" s="25"/>
      <c r="P3420" s="25"/>
      <c r="Q3420" s="19"/>
      <c r="R3420" s="19"/>
      <c r="S3420" s="19"/>
      <c r="T3420" s="19"/>
      <c r="U3420" s="25"/>
      <c r="V3420" s="19"/>
      <c r="W3420" s="19"/>
      <c r="X3420" s="19"/>
      <c r="Y3420" s="19"/>
      <c r="Z3420" s="19"/>
    </row>
    <row r="3421">
      <c r="A3421" s="24"/>
      <c r="B3421" s="19"/>
      <c r="C3421" s="19"/>
      <c r="D3421" s="19"/>
      <c r="E3421" s="19"/>
      <c r="F3421" s="19"/>
      <c r="G3421" s="19"/>
      <c r="H3421" s="19"/>
      <c r="I3421" s="19"/>
      <c r="J3421" s="19"/>
      <c r="K3421" s="19"/>
      <c r="L3421" s="25"/>
      <c r="M3421" s="25"/>
      <c r="N3421" s="25"/>
      <c r="O3421" s="25"/>
      <c r="P3421" s="25"/>
      <c r="Q3421" s="19"/>
      <c r="R3421" s="19"/>
      <c r="S3421" s="19"/>
      <c r="T3421" s="19"/>
      <c r="U3421" s="25"/>
      <c r="V3421" s="19"/>
      <c r="W3421" s="19"/>
      <c r="X3421" s="19"/>
      <c r="Y3421" s="19"/>
      <c r="Z3421" s="19"/>
    </row>
    <row r="3422">
      <c r="A3422" s="24"/>
      <c r="B3422" s="19"/>
      <c r="C3422" s="19"/>
      <c r="D3422" s="19"/>
      <c r="E3422" s="19"/>
      <c r="F3422" s="19"/>
      <c r="G3422" s="19"/>
      <c r="H3422" s="19"/>
      <c r="I3422" s="19"/>
      <c r="J3422" s="19"/>
      <c r="K3422" s="19"/>
      <c r="L3422" s="25"/>
      <c r="M3422" s="25"/>
      <c r="N3422" s="25"/>
      <c r="O3422" s="25"/>
      <c r="P3422" s="25"/>
      <c r="Q3422" s="19"/>
      <c r="R3422" s="19"/>
      <c r="S3422" s="19"/>
      <c r="T3422" s="19"/>
      <c r="U3422" s="25"/>
      <c r="V3422" s="19"/>
      <c r="W3422" s="19"/>
      <c r="X3422" s="19"/>
      <c r="Y3422" s="19"/>
      <c r="Z3422" s="19"/>
    </row>
    <row r="3423">
      <c r="A3423" s="24"/>
      <c r="B3423" s="19"/>
      <c r="C3423" s="19"/>
      <c r="D3423" s="19"/>
      <c r="E3423" s="19"/>
      <c r="F3423" s="19"/>
      <c r="G3423" s="19"/>
      <c r="H3423" s="19"/>
      <c r="I3423" s="19"/>
      <c r="J3423" s="19"/>
      <c r="K3423" s="19"/>
      <c r="L3423" s="25"/>
      <c r="M3423" s="25"/>
      <c r="N3423" s="25"/>
      <c r="O3423" s="25"/>
      <c r="P3423" s="25"/>
      <c r="Q3423" s="19"/>
      <c r="R3423" s="19"/>
      <c r="S3423" s="19"/>
      <c r="T3423" s="19"/>
      <c r="U3423" s="25"/>
      <c r="V3423" s="19"/>
      <c r="W3423" s="19"/>
      <c r="X3423" s="19"/>
      <c r="Y3423" s="19"/>
      <c r="Z3423" s="19"/>
    </row>
    <row r="3424">
      <c r="A3424" s="24"/>
      <c r="B3424" s="19"/>
      <c r="C3424" s="19"/>
      <c r="D3424" s="19"/>
      <c r="E3424" s="19"/>
      <c r="F3424" s="19"/>
      <c r="G3424" s="19"/>
      <c r="H3424" s="19"/>
      <c r="I3424" s="19"/>
      <c r="J3424" s="19"/>
      <c r="K3424" s="19"/>
      <c r="L3424" s="25"/>
      <c r="M3424" s="25"/>
      <c r="N3424" s="25"/>
      <c r="O3424" s="25"/>
      <c r="P3424" s="25"/>
      <c r="Q3424" s="19"/>
      <c r="R3424" s="19"/>
      <c r="S3424" s="19"/>
      <c r="T3424" s="19"/>
      <c r="U3424" s="25"/>
      <c r="V3424" s="19"/>
      <c r="W3424" s="19"/>
      <c r="X3424" s="19"/>
      <c r="Y3424" s="19"/>
      <c r="Z3424" s="19"/>
    </row>
    <row r="3425">
      <c r="A3425" s="24"/>
      <c r="B3425" s="19"/>
      <c r="C3425" s="19"/>
      <c r="D3425" s="19"/>
      <c r="E3425" s="19"/>
      <c r="F3425" s="19"/>
      <c r="G3425" s="19"/>
      <c r="H3425" s="19"/>
      <c r="I3425" s="19"/>
      <c r="J3425" s="19"/>
      <c r="K3425" s="19"/>
      <c r="L3425" s="25"/>
      <c r="M3425" s="25"/>
      <c r="N3425" s="25"/>
      <c r="O3425" s="25"/>
      <c r="P3425" s="25"/>
      <c r="Q3425" s="19"/>
      <c r="R3425" s="19"/>
      <c r="S3425" s="19"/>
      <c r="T3425" s="19"/>
      <c r="U3425" s="25"/>
      <c r="V3425" s="19"/>
      <c r="W3425" s="19"/>
      <c r="X3425" s="19"/>
      <c r="Y3425" s="19"/>
      <c r="Z3425" s="19"/>
    </row>
    <row r="3426">
      <c r="A3426" s="24"/>
      <c r="B3426" s="19"/>
      <c r="C3426" s="19"/>
      <c r="D3426" s="19"/>
      <c r="E3426" s="19"/>
      <c r="F3426" s="19"/>
      <c r="G3426" s="19"/>
      <c r="H3426" s="19"/>
      <c r="I3426" s="19"/>
      <c r="J3426" s="19"/>
      <c r="K3426" s="19"/>
      <c r="L3426" s="25"/>
      <c r="M3426" s="25"/>
      <c r="N3426" s="25"/>
      <c r="O3426" s="25"/>
      <c r="P3426" s="25"/>
      <c r="Q3426" s="19"/>
      <c r="R3426" s="19"/>
      <c r="S3426" s="19"/>
      <c r="T3426" s="19"/>
      <c r="U3426" s="25"/>
      <c r="V3426" s="19"/>
      <c r="W3426" s="19"/>
      <c r="X3426" s="19"/>
      <c r="Y3426" s="19"/>
      <c r="Z3426" s="19"/>
    </row>
    <row r="3427">
      <c r="A3427" s="24"/>
      <c r="B3427" s="19"/>
      <c r="C3427" s="19"/>
      <c r="D3427" s="19"/>
      <c r="E3427" s="19"/>
      <c r="F3427" s="19"/>
      <c r="G3427" s="19"/>
      <c r="H3427" s="19"/>
      <c r="I3427" s="19"/>
      <c r="J3427" s="19"/>
      <c r="K3427" s="19"/>
      <c r="L3427" s="25"/>
      <c r="M3427" s="25"/>
      <c r="N3427" s="25"/>
      <c r="O3427" s="25"/>
      <c r="P3427" s="25"/>
      <c r="Q3427" s="19"/>
      <c r="R3427" s="19"/>
      <c r="S3427" s="19"/>
      <c r="T3427" s="19"/>
      <c r="U3427" s="25"/>
      <c r="V3427" s="19"/>
      <c r="W3427" s="19"/>
      <c r="X3427" s="19"/>
      <c r="Y3427" s="19"/>
      <c r="Z3427" s="19"/>
    </row>
    <row r="3428">
      <c r="A3428" s="24"/>
      <c r="B3428" s="19"/>
      <c r="C3428" s="19"/>
      <c r="D3428" s="19"/>
      <c r="E3428" s="19"/>
      <c r="F3428" s="19"/>
      <c r="G3428" s="19"/>
      <c r="H3428" s="19"/>
      <c r="I3428" s="19"/>
      <c r="J3428" s="19"/>
      <c r="K3428" s="19"/>
      <c r="L3428" s="25"/>
      <c r="M3428" s="25"/>
      <c r="N3428" s="25"/>
      <c r="O3428" s="25"/>
      <c r="P3428" s="25"/>
      <c r="Q3428" s="19"/>
      <c r="R3428" s="19"/>
      <c r="S3428" s="19"/>
      <c r="T3428" s="19"/>
      <c r="U3428" s="25"/>
      <c r="V3428" s="19"/>
      <c r="W3428" s="19"/>
      <c r="X3428" s="19"/>
      <c r="Y3428" s="19"/>
      <c r="Z3428" s="19"/>
    </row>
    <row r="3429">
      <c r="A3429" s="24"/>
      <c r="B3429" s="19"/>
      <c r="C3429" s="19"/>
      <c r="D3429" s="19"/>
      <c r="E3429" s="19"/>
      <c r="F3429" s="19"/>
      <c r="G3429" s="19"/>
      <c r="H3429" s="19"/>
      <c r="I3429" s="19"/>
      <c r="J3429" s="19"/>
      <c r="K3429" s="19"/>
      <c r="L3429" s="25"/>
      <c r="M3429" s="25"/>
      <c r="N3429" s="25"/>
      <c r="O3429" s="25"/>
      <c r="P3429" s="25"/>
      <c r="Q3429" s="19"/>
      <c r="R3429" s="19"/>
      <c r="S3429" s="19"/>
      <c r="T3429" s="19"/>
      <c r="U3429" s="25"/>
      <c r="V3429" s="19"/>
      <c r="W3429" s="19"/>
      <c r="X3429" s="19"/>
      <c r="Y3429" s="19"/>
      <c r="Z3429" s="19"/>
    </row>
    <row r="3430">
      <c r="A3430" s="24"/>
      <c r="B3430" s="19"/>
      <c r="C3430" s="19"/>
      <c r="D3430" s="19"/>
      <c r="E3430" s="19"/>
      <c r="F3430" s="19"/>
      <c r="G3430" s="19"/>
      <c r="H3430" s="19"/>
      <c r="I3430" s="19"/>
      <c r="J3430" s="19"/>
      <c r="K3430" s="19"/>
      <c r="L3430" s="25"/>
      <c r="M3430" s="25"/>
      <c r="N3430" s="25"/>
      <c r="O3430" s="25"/>
      <c r="P3430" s="25"/>
      <c r="Q3430" s="19"/>
      <c r="R3430" s="19"/>
      <c r="S3430" s="19"/>
      <c r="T3430" s="19"/>
      <c r="U3430" s="25"/>
      <c r="V3430" s="19"/>
      <c r="W3430" s="19"/>
      <c r="X3430" s="19"/>
      <c r="Y3430" s="19"/>
      <c r="Z3430" s="19"/>
    </row>
    <row r="3431">
      <c r="A3431" s="24"/>
      <c r="B3431" s="19"/>
      <c r="C3431" s="19"/>
      <c r="D3431" s="19"/>
      <c r="E3431" s="19"/>
      <c r="F3431" s="19"/>
      <c r="G3431" s="19"/>
      <c r="H3431" s="19"/>
      <c r="I3431" s="19"/>
      <c r="J3431" s="19"/>
      <c r="K3431" s="19"/>
      <c r="L3431" s="25"/>
      <c r="M3431" s="25"/>
      <c r="N3431" s="25"/>
      <c r="O3431" s="25"/>
      <c r="P3431" s="25"/>
      <c r="Q3431" s="19"/>
      <c r="R3431" s="19"/>
      <c r="S3431" s="19"/>
      <c r="T3431" s="19"/>
      <c r="U3431" s="25"/>
      <c r="V3431" s="19"/>
      <c r="W3431" s="19"/>
      <c r="X3431" s="19"/>
      <c r="Y3431" s="19"/>
      <c r="Z3431" s="19"/>
    </row>
    <row r="3432">
      <c r="A3432" s="24"/>
      <c r="B3432" s="19"/>
      <c r="C3432" s="19"/>
      <c r="D3432" s="19"/>
      <c r="E3432" s="19"/>
      <c r="F3432" s="19"/>
      <c r="G3432" s="19"/>
      <c r="H3432" s="19"/>
      <c r="I3432" s="19"/>
      <c r="J3432" s="19"/>
      <c r="K3432" s="19"/>
      <c r="L3432" s="25"/>
      <c r="M3432" s="25"/>
      <c r="N3432" s="25"/>
      <c r="O3432" s="25"/>
      <c r="P3432" s="25"/>
      <c r="Q3432" s="19"/>
      <c r="R3432" s="19"/>
      <c r="S3432" s="19"/>
      <c r="T3432" s="19"/>
      <c r="U3432" s="25"/>
      <c r="V3432" s="19"/>
      <c r="W3432" s="19"/>
      <c r="X3432" s="19"/>
      <c r="Y3432" s="19"/>
      <c r="Z3432" s="19"/>
    </row>
    <row r="3433">
      <c r="A3433" s="24"/>
      <c r="B3433" s="19"/>
      <c r="C3433" s="19"/>
      <c r="D3433" s="19"/>
      <c r="E3433" s="19"/>
      <c r="F3433" s="19"/>
      <c r="G3433" s="19"/>
      <c r="H3433" s="19"/>
      <c r="I3433" s="19"/>
      <c r="J3433" s="19"/>
      <c r="K3433" s="19"/>
      <c r="L3433" s="25"/>
      <c r="M3433" s="25"/>
      <c r="N3433" s="25"/>
      <c r="O3433" s="25"/>
      <c r="P3433" s="25"/>
      <c r="Q3433" s="19"/>
      <c r="R3433" s="19"/>
      <c r="S3433" s="19"/>
      <c r="T3433" s="19"/>
      <c r="U3433" s="25"/>
      <c r="V3433" s="19"/>
      <c r="W3433" s="19"/>
      <c r="X3433" s="19"/>
      <c r="Y3433" s="19"/>
      <c r="Z3433" s="19"/>
    </row>
    <row r="3434">
      <c r="A3434" s="24"/>
      <c r="B3434" s="19"/>
      <c r="C3434" s="19"/>
      <c r="D3434" s="19"/>
      <c r="E3434" s="19"/>
      <c r="F3434" s="19"/>
      <c r="G3434" s="19"/>
      <c r="H3434" s="19"/>
      <c r="I3434" s="19"/>
      <c r="J3434" s="19"/>
      <c r="K3434" s="19"/>
      <c r="L3434" s="25"/>
      <c r="M3434" s="25"/>
      <c r="N3434" s="25"/>
      <c r="O3434" s="25"/>
      <c r="P3434" s="25"/>
      <c r="Q3434" s="19"/>
      <c r="R3434" s="19"/>
      <c r="S3434" s="19"/>
      <c r="T3434" s="19"/>
      <c r="U3434" s="25"/>
      <c r="V3434" s="19"/>
      <c r="W3434" s="19"/>
      <c r="X3434" s="19"/>
      <c r="Y3434" s="19"/>
      <c r="Z3434" s="19"/>
    </row>
    <row r="3435">
      <c r="A3435" s="24"/>
      <c r="B3435" s="19"/>
      <c r="C3435" s="19"/>
      <c r="D3435" s="19"/>
      <c r="E3435" s="19"/>
      <c r="F3435" s="19"/>
      <c r="G3435" s="19"/>
      <c r="H3435" s="19"/>
      <c r="I3435" s="19"/>
      <c r="J3435" s="19"/>
      <c r="K3435" s="19"/>
      <c r="L3435" s="25"/>
      <c r="M3435" s="25"/>
      <c r="N3435" s="25"/>
      <c r="O3435" s="25"/>
      <c r="P3435" s="25"/>
      <c r="Q3435" s="19"/>
      <c r="R3435" s="19"/>
      <c r="S3435" s="19"/>
      <c r="T3435" s="19"/>
      <c r="U3435" s="25"/>
      <c r="V3435" s="19"/>
      <c r="W3435" s="19"/>
      <c r="X3435" s="19"/>
      <c r="Y3435" s="19"/>
      <c r="Z3435" s="19"/>
    </row>
    <row r="3436">
      <c r="A3436" s="24"/>
      <c r="B3436" s="19"/>
      <c r="C3436" s="19"/>
      <c r="D3436" s="19"/>
      <c r="E3436" s="19"/>
      <c r="F3436" s="19"/>
      <c r="G3436" s="19"/>
      <c r="H3436" s="19"/>
      <c r="I3436" s="19"/>
      <c r="J3436" s="19"/>
      <c r="K3436" s="19"/>
      <c r="L3436" s="25"/>
      <c r="M3436" s="25"/>
      <c r="N3436" s="25"/>
      <c r="O3436" s="25"/>
      <c r="P3436" s="25"/>
      <c r="Q3436" s="19"/>
      <c r="R3436" s="19"/>
      <c r="S3436" s="19"/>
      <c r="T3436" s="19"/>
      <c r="U3436" s="25"/>
      <c r="V3436" s="19"/>
      <c r="W3436" s="19"/>
      <c r="X3436" s="19"/>
      <c r="Y3436" s="19"/>
      <c r="Z3436" s="19"/>
    </row>
    <row r="3437">
      <c r="A3437" s="24"/>
      <c r="B3437" s="19"/>
      <c r="C3437" s="19"/>
      <c r="D3437" s="19"/>
      <c r="E3437" s="19"/>
      <c r="F3437" s="19"/>
      <c r="G3437" s="19"/>
      <c r="H3437" s="19"/>
      <c r="I3437" s="19"/>
      <c r="J3437" s="19"/>
      <c r="K3437" s="19"/>
      <c r="L3437" s="25"/>
      <c r="M3437" s="25"/>
      <c r="N3437" s="25"/>
      <c r="O3437" s="25"/>
      <c r="P3437" s="25"/>
      <c r="Q3437" s="19"/>
      <c r="R3437" s="19"/>
      <c r="S3437" s="19"/>
      <c r="T3437" s="19"/>
      <c r="U3437" s="25"/>
      <c r="V3437" s="19"/>
      <c r="W3437" s="19"/>
      <c r="X3437" s="19"/>
      <c r="Y3437" s="19"/>
      <c r="Z3437" s="19"/>
    </row>
    <row r="3438">
      <c r="A3438" s="24"/>
      <c r="B3438" s="19"/>
      <c r="C3438" s="19"/>
      <c r="D3438" s="19"/>
      <c r="E3438" s="19"/>
      <c r="F3438" s="19"/>
      <c r="G3438" s="19"/>
      <c r="H3438" s="19"/>
      <c r="I3438" s="19"/>
      <c r="J3438" s="19"/>
      <c r="K3438" s="19"/>
      <c r="L3438" s="25"/>
      <c r="M3438" s="25"/>
      <c r="N3438" s="25"/>
      <c r="O3438" s="25"/>
      <c r="P3438" s="25"/>
      <c r="Q3438" s="19"/>
      <c r="R3438" s="19"/>
      <c r="S3438" s="19"/>
      <c r="T3438" s="19"/>
      <c r="U3438" s="25"/>
      <c r="V3438" s="19"/>
      <c r="W3438" s="19"/>
      <c r="X3438" s="19"/>
      <c r="Y3438" s="19"/>
      <c r="Z3438" s="19"/>
    </row>
    <row r="3439">
      <c r="A3439" s="24"/>
      <c r="B3439" s="19"/>
      <c r="C3439" s="19"/>
      <c r="D3439" s="19"/>
      <c r="E3439" s="19"/>
      <c r="F3439" s="19"/>
      <c r="G3439" s="19"/>
      <c r="H3439" s="19"/>
      <c r="I3439" s="19"/>
      <c r="J3439" s="19"/>
      <c r="K3439" s="19"/>
      <c r="L3439" s="25"/>
      <c r="M3439" s="25"/>
      <c r="N3439" s="25"/>
      <c r="O3439" s="25"/>
      <c r="P3439" s="25"/>
      <c r="Q3439" s="19"/>
      <c r="R3439" s="19"/>
      <c r="S3439" s="19"/>
      <c r="T3439" s="19"/>
      <c r="U3439" s="25"/>
      <c r="V3439" s="19"/>
      <c r="W3439" s="19"/>
      <c r="X3439" s="19"/>
      <c r="Y3439" s="19"/>
      <c r="Z3439" s="19"/>
    </row>
    <row r="3440">
      <c r="A3440" s="24"/>
      <c r="B3440" s="19"/>
      <c r="C3440" s="19"/>
      <c r="D3440" s="19"/>
      <c r="E3440" s="19"/>
      <c r="F3440" s="19"/>
      <c r="G3440" s="19"/>
      <c r="H3440" s="19"/>
      <c r="I3440" s="19"/>
      <c r="J3440" s="19"/>
      <c r="K3440" s="19"/>
      <c r="L3440" s="25"/>
      <c r="M3440" s="25"/>
      <c r="N3440" s="25"/>
      <c r="O3440" s="25"/>
      <c r="P3440" s="25"/>
      <c r="Q3440" s="19"/>
      <c r="R3440" s="19"/>
      <c r="S3440" s="19"/>
      <c r="T3440" s="19"/>
      <c r="U3440" s="25"/>
      <c r="V3440" s="19"/>
      <c r="W3440" s="19"/>
      <c r="X3440" s="19"/>
      <c r="Y3440" s="19"/>
      <c r="Z3440" s="19"/>
    </row>
    <row r="3441">
      <c r="A3441" s="24"/>
      <c r="B3441" s="19"/>
      <c r="C3441" s="19"/>
      <c r="D3441" s="19"/>
      <c r="E3441" s="19"/>
      <c r="F3441" s="19"/>
      <c r="G3441" s="19"/>
      <c r="H3441" s="19"/>
      <c r="I3441" s="19"/>
      <c r="J3441" s="19"/>
      <c r="K3441" s="19"/>
      <c r="L3441" s="25"/>
      <c r="M3441" s="25"/>
      <c r="N3441" s="25"/>
      <c r="O3441" s="25"/>
      <c r="P3441" s="25"/>
      <c r="Q3441" s="19"/>
      <c r="R3441" s="19"/>
      <c r="S3441" s="19"/>
      <c r="T3441" s="19"/>
      <c r="U3441" s="25"/>
      <c r="V3441" s="19"/>
      <c r="W3441" s="19"/>
      <c r="X3441" s="19"/>
      <c r="Y3441" s="19"/>
      <c r="Z3441" s="19"/>
    </row>
    <row r="3442">
      <c r="A3442" s="24"/>
      <c r="B3442" s="19"/>
      <c r="C3442" s="19"/>
      <c r="D3442" s="19"/>
      <c r="E3442" s="19"/>
      <c r="F3442" s="19"/>
      <c r="G3442" s="19"/>
      <c r="H3442" s="19"/>
      <c r="I3442" s="19"/>
      <c r="J3442" s="19"/>
      <c r="K3442" s="19"/>
      <c r="L3442" s="25"/>
      <c r="M3442" s="25"/>
      <c r="N3442" s="25"/>
      <c r="O3442" s="25"/>
      <c r="P3442" s="25"/>
      <c r="Q3442" s="19"/>
      <c r="R3442" s="19"/>
      <c r="S3442" s="19"/>
      <c r="T3442" s="19"/>
      <c r="U3442" s="25"/>
      <c r="V3442" s="19"/>
      <c r="W3442" s="19"/>
      <c r="X3442" s="19"/>
      <c r="Y3442" s="19"/>
      <c r="Z3442" s="19"/>
    </row>
    <row r="3443">
      <c r="A3443" s="24"/>
      <c r="B3443" s="19"/>
      <c r="C3443" s="19"/>
      <c r="D3443" s="19"/>
      <c r="E3443" s="19"/>
      <c r="F3443" s="19"/>
      <c r="G3443" s="19"/>
      <c r="H3443" s="19"/>
      <c r="I3443" s="19"/>
      <c r="J3443" s="19"/>
      <c r="K3443" s="19"/>
      <c r="L3443" s="25"/>
      <c r="M3443" s="25"/>
      <c r="N3443" s="25"/>
      <c r="O3443" s="25"/>
      <c r="P3443" s="25"/>
      <c r="Q3443" s="19"/>
      <c r="R3443" s="19"/>
      <c r="S3443" s="19"/>
      <c r="T3443" s="19"/>
      <c r="U3443" s="25"/>
      <c r="V3443" s="19"/>
      <c r="W3443" s="19"/>
      <c r="X3443" s="19"/>
      <c r="Y3443" s="19"/>
      <c r="Z3443" s="19"/>
    </row>
    <row r="3444">
      <c r="A3444" s="24"/>
      <c r="B3444" s="19"/>
      <c r="C3444" s="19"/>
      <c r="D3444" s="19"/>
      <c r="E3444" s="19"/>
      <c r="F3444" s="19"/>
      <c r="G3444" s="19"/>
      <c r="H3444" s="19"/>
      <c r="I3444" s="19"/>
      <c r="J3444" s="19"/>
      <c r="K3444" s="19"/>
      <c r="L3444" s="25"/>
      <c r="M3444" s="25"/>
      <c r="N3444" s="25"/>
      <c r="O3444" s="25"/>
      <c r="P3444" s="25"/>
      <c r="Q3444" s="19"/>
      <c r="R3444" s="19"/>
      <c r="S3444" s="19"/>
      <c r="T3444" s="19"/>
      <c r="U3444" s="25"/>
      <c r="V3444" s="19"/>
      <c r="W3444" s="19"/>
      <c r="X3444" s="19"/>
      <c r="Y3444" s="19"/>
      <c r="Z3444" s="19"/>
    </row>
    <row r="3445">
      <c r="A3445" s="24"/>
      <c r="B3445" s="19"/>
      <c r="C3445" s="19"/>
      <c r="D3445" s="19"/>
      <c r="E3445" s="19"/>
      <c r="F3445" s="19"/>
      <c r="G3445" s="19"/>
      <c r="H3445" s="19"/>
      <c r="I3445" s="19"/>
      <c r="J3445" s="19"/>
      <c r="K3445" s="19"/>
      <c r="L3445" s="25"/>
      <c r="M3445" s="25"/>
      <c r="N3445" s="25"/>
      <c r="O3445" s="25"/>
      <c r="P3445" s="25"/>
      <c r="Q3445" s="19"/>
      <c r="R3445" s="19"/>
      <c r="S3445" s="19"/>
      <c r="T3445" s="19"/>
      <c r="U3445" s="25"/>
      <c r="V3445" s="19"/>
      <c r="W3445" s="19"/>
      <c r="X3445" s="19"/>
      <c r="Y3445" s="19"/>
      <c r="Z3445" s="19"/>
    </row>
    <row r="3446">
      <c r="A3446" s="24"/>
      <c r="B3446" s="19"/>
      <c r="C3446" s="19"/>
      <c r="D3446" s="19"/>
      <c r="E3446" s="19"/>
      <c r="F3446" s="19"/>
      <c r="G3446" s="19"/>
      <c r="H3446" s="19"/>
      <c r="I3446" s="19"/>
      <c r="J3446" s="19"/>
      <c r="K3446" s="19"/>
      <c r="L3446" s="25"/>
      <c r="M3446" s="25"/>
      <c r="N3446" s="25"/>
      <c r="O3446" s="25"/>
      <c r="P3446" s="25"/>
      <c r="Q3446" s="19"/>
      <c r="R3446" s="19"/>
      <c r="S3446" s="19"/>
      <c r="T3446" s="19"/>
      <c r="U3446" s="25"/>
      <c r="V3446" s="19"/>
      <c r="W3446" s="19"/>
      <c r="X3446" s="19"/>
      <c r="Y3446" s="19"/>
      <c r="Z3446" s="19"/>
    </row>
    <row r="3447">
      <c r="A3447" s="24"/>
      <c r="B3447" s="19"/>
      <c r="C3447" s="19"/>
      <c r="D3447" s="19"/>
      <c r="E3447" s="19"/>
      <c r="F3447" s="19"/>
      <c r="G3447" s="19"/>
      <c r="H3447" s="19"/>
      <c r="I3447" s="19"/>
      <c r="J3447" s="19"/>
      <c r="K3447" s="19"/>
      <c r="L3447" s="25"/>
      <c r="M3447" s="25"/>
      <c r="N3447" s="25"/>
      <c r="O3447" s="25"/>
      <c r="P3447" s="25"/>
      <c r="Q3447" s="19"/>
      <c r="R3447" s="19"/>
      <c r="S3447" s="19"/>
      <c r="T3447" s="19"/>
      <c r="U3447" s="25"/>
      <c r="V3447" s="19"/>
      <c r="W3447" s="19"/>
      <c r="X3447" s="19"/>
      <c r="Y3447" s="19"/>
      <c r="Z3447" s="19"/>
    </row>
    <row r="3448">
      <c r="A3448" s="24"/>
      <c r="B3448" s="19"/>
      <c r="C3448" s="19"/>
      <c r="D3448" s="19"/>
      <c r="E3448" s="19"/>
      <c r="F3448" s="19"/>
      <c r="G3448" s="19"/>
      <c r="H3448" s="19"/>
      <c r="I3448" s="19"/>
      <c r="J3448" s="19"/>
      <c r="K3448" s="19"/>
      <c r="L3448" s="25"/>
      <c r="M3448" s="25"/>
      <c r="N3448" s="25"/>
      <c r="O3448" s="25"/>
      <c r="P3448" s="25"/>
      <c r="Q3448" s="19"/>
      <c r="R3448" s="19"/>
      <c r="S3448" s="19"/>
      <c r="T3448" s="19"/>
      <c r="U3448" s="25"/>
      <c r="V3448" s="19"/>
      <c r="W3448" s="19"/>
      <c r="X3448" s="19"/>
      <c r="Y3448" s="19"/>
      <c r="Z3448" s="19"/>
    </row>
    <row r="3449">
      <c r="A3449" s="24"/>
      <c r="B3449" s="19"/>
      <c r="C3449" s="19"/>
      <c r="D3449" s="19"/>
      <c r="E3449" s="19"/>
      <c r="F3449" s="19"/>
      <c r="G3449" s="19"/>
      <c r="H3449" s="19"/>
      <c r="I3449" s="19"/>
      <c r="J3449" s="19"/>
      <c r="K3449" s="19"/>
      <c r="L3449" s="25"/>
      <c r="M3449" s="25"/>
      <c r="N3449" s="25"/>
      <c r="O3449" s="25"/>
      <c r="P3449" s="25"/>
      <c r="Q3449" s="19"/>
      <c r="R3449" s="19"/>
      <c r="S3449" s="19"/>
      <c r="T3449" s="19"/>
      <c r="U3449" s="25"/>
      <c r="V3449" s="19"/>
      <c r="W3449" s="19"/>
      <c r="X3449" s="19"/>
      <c r="Y3449" s="19"/>
      <c r="Z3449" s="19"/>
    </row>
    <row r="3450">
      <c r="A3450" s="24"/>
      <c r="B3450" s="19"/>
      <c r="C3450" s="19"/>
      <c r="D3450" s="19"/>
      <c r="E3450" s="19"/>
      <c r="F3450" s="19"/>
      <c r="G3450" s="19"/>
      <c r="H3450" s="19"/>
      <c r="I3450" s="19"/>
      <c r="J3450" s="19"/>
      <c r="K3450" s="19"/>
      <c r="L3450" s="25"/>
      <c r="M3450" s="25"/>
      <c r="N3450" s="25"/>
      <c r="O3450" s="25"/>
      <c r="P3450" s="25"/>
      <c r="Q3450" s="19"/>
      <c r="R3450" s="19"/>
      <c r="S3450" s="19"/>
      <c r="T3450" s="19"/>
      <c r="U3450" s="25"/>
      <c r="V3450" s="19"/>
      <c r="W3450" s="19"/>
      <c r="X3450" s="19"/>
      <c r="Y3450" s="19"/>
      <c r="Z3450" s="19"/>
    </row>
    <row r="3451">
      <c r="A3451" s="24"/>
      <c r="B3451" s="19"/>
      <c r="C3451" s="19"/>
      <c r="D3451" s="19"/>
      <c r="E3451" s="19"/>
      <c r="F3451" s="19"/>
      <c r="G3451" s="19"/>
      <c r="H3451" s="19"/>
      <c r="I3451" s="19"/>
      <c r="J3451" s="19"/>
      <c r="K3451" s="19"/>
      <c r="L3451" s="25"/>
      <c r="M3451" s="25"/>
      <c r="N3451" s="25"/>
      <c r="O3451" s="25"/>
      <c r="P3451" s="25"/>
      <c r="Q3451" s="19"/>
      <c r="R3451" s="19"/>
      <c r="S3451" s="19"/>
      <c r="T3451" s="19"/>
      <c r="U3451" s="25"/>
      <c r="V3451" s="19"/>
      <c r="W3451" s="19"/>
      <c r="X3451" s="19"/>
      <c r="Y3451" s="19"/>
      <c r="Z3451" s="19"/>
    </row>
    <row r="3452">
      <c r="A3452" s="24"/>
      <c r="B3452" s="19"/>
      <c r="C3452" s="19"/>
      <c r="D3452" s="19"/>
      <c r="E3452" s="19"/>
      <c r="F3452" s="19"/>
      <c r="G3452" s="19"/>
      <c r="H3452" s="19"/>
      <c r="I3452" s="19"/>
      <c r="J3452" s="19"/>
      <c r="K3452" s="19"/>
      <c r="L3452" s="25"/>
      <c r="M3452" s="25"/>
      <c r="N3452" s="25"/>
      <c r="O3452" s="25"/>
      <c r="P3452" s="25"/>
      <c r="Q3452" s="19"/>
      <c r="R3452" s="19"/>
      <c r="S3452" s="19"/>
      <c r="T3452" s="19"/>
      <c r="U3452" s="25"/>
      <c r="V3452" s="19"/>
      <c r="W3452" s="19"/>
      <c r="X3452" s="19"/>
      <c r="Y3452" s="19"/>
      <c r="Z3452" s="19"/>
    </row>
    <row r="3453">
      <c r="A3453" s="24"/>
      <c r="B3453" s="19"/>
      <c r="C3453" s="19"/>
      <c r="D3453" s="19"/>
      <c r="E3453" s="19"/>
      <c r="F3453" s="19"/>
      <c r="G3453" s="19"/>
      <c r="H3453" s="19"/>
      <c r="I3453" s="19"/>
      <c r="J3453" s="19"/>
      <c r="K3453" s="19"/>
      <c r="L3453" s="25"/>
      <c r="M3453" s="25"/>
      <c r="N3453" s="25"/>
      <c r="O3453" s="25"/>
      <c r="P3453" s="25"/>
      <c r="Q3453" s="19"/>
      <c r="R3453" s="19"/>
      <c r="S3453" s="19"/>
      <c r="T3453" s="19"/>
      <c r="U3453" s="25"/>
      <c r="V3453" s="19"/>
      <c r="W3453" s="19"/>
      <c r="X3453" s="19"/>
      <c r="Y3453" s="19"/>
      <c r="Z3453" s="19"/>
    </row>
    <row r="3454">
      <c r="A3454" s="24"/>
      <c r="B3454" s="19"/>
      <c r="C3454" s="19"/>
      <c r="D3454" s="19"/>
      <c r="E3454" s="19"/>
      <c r="F3454" s="19"/>
      <c r="G3454" s="19"/>
      <c r="H3454" s="19"/>
      <c r="I3454" s="19"/>
      <c r="J3454" s="19"/>
      <c r="K3454" s="19"/>
      <c r="L3454" s="25"/>
      <c r="M3454" s="25"/>
      <c r="N3454" s="25"/>
      <c r="O3454" s="25"/>
      <c r="P3454" s="25"/>
      <c r="Q3454" s="19"/>
      <c r="R3454" s="19"/>
      <c r="S3454" s="19"/>
      <c r="T3454" s="19"/>
      <c r="U3454" s="25"/>
      <c r="V3454" s="19"/>
      <c r="W3454" s="19"/>
      <c r="X3454" s="19"/>
      <c r="Y3454" s="19"/>
      <c r="Z3454" s="19"/>
    </row>
    <row r="3455">
      <c r="A3455" s="24"/>
      <c r="B3455" s="19"/>
      <c r="C3455" s="19"/>
      <c r="D3455" s="19"/>
      <c r="E3455" s="19"/>
      <c r="F3455" s="19"/>
      <c r="G3455" s="19"/>
      <c r="H3455" s="19"/>
      <c r="I3455" s="19"/>
      <c r="J3455" s="19"/>
      <c r="K3455" s="19"/>
      <c r="L3455" s="25"/>
      <c r="M3455" s="25"/>
      <c r="N3455" s="25"/>
      <c r="O3455" s="25"/>
      <c r="P3455" s="25"/>
      <c r="Q3455" s="19"/>
      <c r="R3455" s="19"/>
      <c r="S3455" s="19"/>
      <c r="T3455" s="19"/>
      <c r="U3455" s="25"/>
      <c r="V3455" s="19"/>
      <c r="W3455" s="19"/>
      <c r="X3455" s="19"/>
      <c r="Y3455" s="19"/>
      <c r="Z3455" s="19"/>
    </row>
    <row r="3456">
      <c r="A3456" s="24"/>
      <c r="B3456" s="19"/>
      <c r="C3456" s="19"/>
      <c r="D3456" s="19"/>
      <c r="E3456" s="19"/>
      <c r="F3456" s="19"/>
      <c r="G3456" s="19"/>
      <c r="H3456" s="19"/>
      <c r="I3456" s="19"/>
      <c r="J3456" s="19"/>
      <c r="K3456" s="19"/>
      <c r="L3456" s="25"/>
      <c r="M3456" s="25"/>
      <c r="N3456" s="25"/>
      <c r="O3456" s="25"/>
      <c r="P3456" s="25"/>
      <c r="Q3456" s="19"/>
      <c r="R3456" s="19"/>
      <c r="S3456" s="19"/>
      <c r="T3456" s="19"/>
      <c r="U3456" s="25"/>
      <c r="V3456" s="19"/>
      <c r="W3456" s="19"/>
      <c r="X3456" s="19"/>
      <c r="Y3456" s="19"/>
      <c r="Z3456" s="19"/>
    </row>
    <row r="3457">
      <c r="A3457" s="24"/>
      <c r="B3457" s="19"/>
      <c r="C3457" s="19"/>
      <c r="D3457" s="19"/>
      <c r="E3457" s="19"/>
      <c r="F3457" s="19"/>
      <c r="G3457" s="19"/>
      <c r="H3457" s="19"/>
      <c r="I3457" s="19"/>
      <c r="J3457" s="19"/>
      <c r="K3457" s="19"/>
      <c r="L3457" s="25"/>
      <c r="M3457" s="25"/>
      <c r="N3457" s="25"/>
      <c r="O3457" s="25"/>
      <c r="P3457" s="25"/>
      <c r="Q3457" s="19"/>
      <c r="R3457" s="19"/>
      <c r="S3457" s="19"/>
      <c r="T3457" s="19"/>
      <c r="U3457" s="25"/>
      <c r="V3457" s="19"/>
      <c r="W3457" s="19"/>
      <c r="X3457" s="19"/>
      <c r="Y3457" s="19"/>
      <c r="Z3457" s="19"/>
    </row>
    <row r="3458">
      <c r="A3458" s="24"/>
      <c r="B3458" s="19"/>
      <c r="C3458" s="19"/>
      <c r="D3458" s="19"/>
      <c r="E3458" s="19"/>
      <c r="F3458" s="19"/>
      <c r="G3458" s="19"/>
      <c r="H3458" s="19"/>
      <c r="I3458" s="19"/>
      <c r="J3458" s="19"/>
      <c r="K3458" s="19"/>
      <c r="L3458" s="25"/>
      <c r="M3458" s="25"/>
      <c r="N3458" s="25"/>
      <c r="O3458" s="25"/>
      <c r="P3458" s="25"/>
      <c r="Q3458" s="19"/>
      <c r="R3458" s="19"/>
      <c r="S3458" s="19"/>
      <c r="T3458" s="19"/>
      <c r="U3458" s="25"/>
      <c r="V3458" s="19"/>
      <c r="W3458" s="19"/>
      <c r="X3458" s="19"/>
      <c r="Y3458" s="19"/>
      <c r="Z3458" s="19"/>
    </row>
    <row r="3459">
      <c r="A3459" s="24"/>
      <c r="B3459" s="19"/>
      <c r="C3459" s="19"/>
      <c r="D3459" s="19"/>
      <c r="E3459" s="19"/>
      <c r="F3459" s="19"/>
      <c r="G3459" s="19"/>
      <c r="H3459" s="19"/>
      <c r="I3459" s="19"/>
      <c r="J3459" s="19"/>
      <c r="K3459" s="19"/>
      <c r="L3459" s="25"/>
      <c r="M3459" s="25"/>
      <c r="N3459" s="25"/>
      <c r="O3459" s="25"/>
      <c r="P3459" s="25"/>
      <c r="Q3459" s="19"/>
      <c r="R3459" s="19"/>
      <c r="S3459" s="19"/>
      <c r="T3459" s="19"/>
      <c r="U3459" s="25"/>
      <c r="V3459" s="19"/>
      <c r="W3459" s="19"/>
      <c r="X3459" s="19"/>
      <c r="Y3459" s="19"/>
      <c r="Z3459" s="19"/>
    </row>
    <row r="3460">
      <c r="A3460" s="24"/>
      <c r="B3460" s="19"/>
      <c r="C3460" s="19"/>
      <c r="D3460" s="19"/>
      <c r="E3460" s="19"/>
      <c r="F3460" s="19"/>
      <c r="G3460" s="19"/>
      <c r="H3460" s="19"/>
      <c r="I3460" s="19"/>
      <c r="J3460" s="19"/>
      <c r="K3460" s="19"/>
      <c r="L3460" s="25"/>
      <c r="M3460" s="25"/>
      <c r="N3460" s="25"/>
      <c r="O3460" s="25"/>
      <c r="P3460" s="25"/>
      <c r="Q3460" s="19"/>
      <c r="R3460" s="19"/>
      <c r="S3460" s="19"/>
      <c r="T3460" s="19"/>
      <c r="U3460" s="25"/>
      <c r="V3460" s="19"/>
      <c r="W3460" s="19"/>
      <c r="X3460" s="19"/>
      <c r="Y3460" s="19"/>
      <c r="Z3460" s="19"/>
    </row>
    <row r="3461">
      <c r="A3461" s="24"/>
      <c r="B3461" s="19"/>
      <c r="C3461" s="19"/>
      <c r="D3461" s="19"/>
      <c r="E3461" s="19"/>
      <c r="F3461" s="19"/>
      <c r="G3461" s="19"/>
      <c r="H3461" s="19"/>
      <c r="I3461" s="19"/>
      <c r="J3461" s="19"/>
      <c r="K3461" s="19"/>
      <c r="L3461" s="25"/>
      <c r="M3461" s="25"/>
      <c r="N3461" s="25"/>
      <c r="O3461" s="25"/>
      <c r="P3461" s="25"/>
      <c r="Q3461" s="19"/>
      <c r="R3461" s="19"/>
      <c r="S3461" s="19"/>
      <c r="T3461" s="19"/>
      <c r="U3461" s="25"/>
      <c r="V3461" s="19"/>
      <c r="W3461" s="19"/>
      <c r="X3461" s="19"/>
      <c r="Y3461" s="19"/>
      <c r="Z3461" s="19"/>
    </row>
    <row r="3462">
      <c r="A3462" s="24"/>
      <c r="B3462" s="19"/>
      <c r="C3462" s="19"/>
      <c r="D3462" s="19"/>
      <c r="E3462" s="19"/>
      <c r="F3462" s="19"/>
      <c r="G3462" s="19"/>
      <c r="H3462" s="19"/>
      <c r="I3462" s="19"/>
      <c r="J3462" s="19"/>
      <c r="K3462" s="19"/>
      <c r="L3462" s="25"/>
      <c r="M3462" s="25"/>
      <c r="N3462" s="25"/>
      <c r="O3462" s="25"/>
      <c r="P3462" s="25"/>
      <c r="Q3462" s="19"/>
      <c r="R3462" s="19"/>
      <c r="S3462" s="19"/>
      <c r="T3462" s="19"/>
      <c r="U3462" s="25"/>
      <c r="V3462" s="19"/>
      <c r="W3462" s="19"/>
      <c r="X3462" s="19"/>
      <c r="Y3462" s="19"/>
      <c r="Z3462" s="19"/>
    </row>
    <row r="3463">
      <c r="A3463" s="24"/>
      <c r="B3463" s="19"/>
      <c r="C3463" s="19"/>
      <c r="D3463" s="19"/>
      <c r="E3463" s="19"/>
      <c r="F3463" s="19"/>
      <c r="G3463" s="19"/>
      <c r="H3463" s="19"/>
      <c r="I3463" s="19"/>
      <c r="J3463" s="19"/>
      <c r="K3463" s="19"/>
      <c r="L3463" s="25"/>
      <c r="M3463" s="25"/>
      <c r="N3463" s="25"/>
      <c r="O3463" s="25"/>
      <c r="P3463" s="25"/>
      <c r="Q3463" s="19"/>
      <c r="R3463" s="19"/>
      <c r="S3463" s="19"/>
      <c r="T3463" s="19"/>
      <c r="U3463" s="25"/>
      <c r="V3463" s="19"/>
      <c r="W3463" s="19"/>
      <c r="X3463" s="19"/>
      <c r="Y3463" s="19"/>
      <c r="Z3463" s="19"/>
    </row>
    <row r="3464">
      <c r="A3464" s="24"/>
      <c r="B3464" s="19"/>
      <c r="C3464" s="19"/>
      <c r="D3464" s="19"/>
      <c r="E3464" s="19"/>
      <c r="F3464" s="19"/>
      <c r="G3464" s="19"/>
      <c r="H3464" s="19"/>
      <c r="I3464" s="19"/>
      <c r="J3464" s="19"/>
      <c r="K3464" s="19"/>
      <c r="L3464" s="25"/>
      <c r="M3464" s="25"/>
      <c r="N3464" s="25"/>
      <c r="O3464" s="25"/>
      <c r="P3464" s="25"/>
      <c r="Q3464" s="19"/>
      <c r="R3464" s="19"/>
      <c r="S3464" s="19"/>
      <c r="T3464" s="19"/>
      <c r="U3464" s="25"/>
      <c r="V3464" s="19"/>
      <c r="W3464" s="19"/>
      <c r="X3464" s="19"/>
      <c r="Y3464" s="19"/>
      <c r="Z3464" s="19"/>
    </row>
    <row r="3465">
      <c r="A3465" s="24"/>
      <c r="B3465" s="19"/>
      <c r="C3465" s="19"/>
      <c r="D3465" s="19"/>
      <c r="E3465" s="19"/>
      <c r="F3465" s="19"/>
      <c r="G3465" s="19"/>
      <c r="H3465" s="19"/>
      <c r="I3465" s="19"/>
      <c r="J3465" s="19"/>
      <c r="K3465" s="19"/>
      <c r="L3465" s="25"/>
      <c r="M3465" s="25"/>
      <c r="N3465" s="25"/>
      <c r="O3465" s="25"/>
      <c r="P3465" s="25"/>
      <c r="Q3465" s="19"/>
      <c r="R3465" s="19"/>
      <c r="S3465" s="19"/>
      <c r="T3465" s="19"/>
      <c r="U3465" s="25"/>
      <c r="V3465" s="19"/>
      <c r="W3465" s="19"/>
      <c r="X3465" s="19"/>
      <c r="Y3465" s="19"/>
      <c r="Z3465" s="19"/>
    </row>
    <row r="3466">
      <c r="A3466" s="24"/>
      <c r="B3466" s="19"/>
      <c r="C3466" s="19"/>
      <c r="D3466" s="19"/>
      <c r="E3466" s="19"/>
      <c r="F3466" s="19"/>
      <c r="G3466" s="19"/>
      <c r="H3466" s="19"/>
      <c r="I3466" s="19"/>
      <c r="J3466" s="19"/>
      <c r="K3466" s="19"/>
      <c r="L3466" s="25"/>
      <c r="M3466" s="25"/>
      <c r="N3466" s="25"/>
      <c r="O3466" s="25"/>
      <c r="P3466" s="25"/>
      <c r="Q3466" s="19"/>
      <c r="R3466" s="19"/>
      <c r="S3466" s="19"/>
      <c r="T3466" s="19"/>
      <c r="U3466" s="25"/>
      <c r="V3466" s="19"/>
      <c r="W3466" s="19"/>
      <c r="X3466" s="19"/>
      <c r="Y3466" s="19"/>
      <c r="Z3466" s="19"/>
    </row>
    <row r="3467">
      <c r="A3467" s="24"/>
      <c r="B3467" s="19"/>
      <c r="C3467" s="19"/>
      <c r="D3467" s="19"/>
      <c r="E3467" s="19"/>
      <c r="F3467" s="19"/>
      <c r="G3467" s="19"/>
      <c r="H3467" s="19"/>
      <c r="I3467" s="19"/>
      <c r="J3467" s="19"/>
      <c r="K3467" s="19"/>
      <c r="L3467" s="25"/>
      <c r="M3467" s="25"/>
      <c r="N3467" s="25"/>
      <c r="O3467" s="25"/>
      <c r="P3467" s="25"/>
      <c r="Q3467" s="19"/>
      <c r="R3467" s="19"/>
      <c r="S3467" s="19"/>
      <c r="T3467" s="19"/>
      <c r="U3467" s="25"/>
      <c r="V3467" s="19"/>
      <c r="W3467" s="19"/>
      <c r="X3467" s="19"/>
      <c r="Y3467" s="19"/>
      <c r="Z3467" s="19"/>
    </row>
    <row r="3468">
      <c r="A3468" s="24"/>
      <c r="B3468" s="19"/>
      <c r="C3468" s="19"/>
      <c r="D3468" s="19"/>
      <c r="E3468" s="19"/>
      <c r="F3468" s="19"/>
      <c r="G3468" s="19"/>
      <c r="H3468" s="19"/>
      <c r="I3468" s="19"/>
      <c r="J3468" s="19"/>
      <c r="K3468" s="19"/>
      <c r="L3468" s="25"/>
      <c r="M3468" s="25"/>
      <c r="N3468" s="25"/>
      <c r="O3468" s="25"/>
      <c r="P3468" s="25"/>
      <c r="Q3468" s="19"/>
      <c r="R3468" s="19"/>
      <c r="S3468" s="19"/>
      <c r="T3468" s="19"/>
      <c r="U3468" s="25"/>
      <c r="V3468" s="19"/>
      <c r="W3468" s="19"/>
      <c r="X3468" s="19"/>
      <c r="Y3468" s="19"/>
      <c r="Z3468" s="19"/>
    </row>
    <row r="3469">
      <c r="A3469" s="24"/>
      <c r="B3469" s="19"/>
      <c r="C3469" s="19"/>
      <c r="D3469" s="19"/>
      <c r="E3469" s="19"/>
      <c r="F3469" s="19"/>
      <c r="G3469" s="19"/>
      <c r="H3469" s="19"/>
      <c r="I3469" s="19"/>
      <c r="J3469" s="19"/>
      <c r="K3469" s="19"/>
      <c r="L3469" s="25"/>
      <c r="M3469" s="25"/>
      <c r="N3469" s="25"/>
      <c r="O3469" s="25"/>
      <c r="P3469" s="25"/>
      <c r="Q3469" s="19"/>
      <c r="R3469" s="19"/>
      <c r="S3469" s="19"/>
      <c r="T3469" s="19"/>
      <c r="U3469" s="25"/>
      <c r="V3469" s="19"/>
      <c r="W3469" s="19"/>
      <c r="X3469" s="19"/>
      <c r="Y3469" s="19"/>
      <c r="Z3469" s="19"/>
    </row>
    <row r="3470">
      <c r="A3470" s="24"/>
      <c r="B3470" s="19"/>
      <c r="C3470" s="19"/>
      <c r="D3470" s="19"/>
      <c r="E3470" s="19"/>
      <c r="F3470" s="19"/>
      <c r="G3470" s="19"/>
      <c r="H3470" s="19"/>
      <c r="I3470" s="19"/>
      <c r="J3470" s="19"/>
      <c r="K3470" s="19"/>
      <c r="L3470" s="25"/>
      <c r="M3470" s="25"/>
      <c r="N3470" s="25"/>
      <c r="O3470" s="25"/>
      <c r="P3470" s="25"/>
      <c r="Q3470" s="19"/>
      <c r="R3470" s="19"/>
      <c r="S3470" s="19"/>
      <c r="T3470" s="19"/>
      <c r="U3470" s="25"/>
      <c r="V3470" s="19"/>
      <c r="W3470" s="19"/>
      <c r="X3470" s="19"/>
      <c r="Y3470" s="19"/>
      <c r="Z3470" s="19"/>
    </row>
    <row r="3471">
      <c r="A3471" s="24"/>
      <c r="B3471" s="19"/>
      <c r="C3471" s="19"/>
      <c r="D3471" s="19"/>
      <c r="E3471" s="19"/>
      <c r="F3471" s="19"/>
      <c r="G3471" s="19"/>
      <c r="H3471" s="19"/>
      <c r="I3471" s="19"/>
      <c r="J3471" s="19"/>
      <c r="K3471" s="19"/>
      <c r="L3471" s="25"/>
      <c r="M3471" s="25"/>
      <c r="N3471" s="25"/>
      <c r="O3471" s="25"/>
      <c r="P3471" s="25"/>
      <c r="Q3471" s="19"/>
      <c r="R3471" s="19"/>
      <c r="S3471" s="19"/>
      <c r="T3471" s="19"/>
      <c r="U3471" s="25"/>
      <c r="V3471" s="19"/>
      <c r="W3471" s="19"/>
      <c r="X3471" s="19"/>
      <c r="Y3471" s="19"/>
      <c r="Z3471" s="19"/>
    </row>
    <row r="3472">
      <c r="A3472" s="24"/>
      <c r="B3472" s="19"/>
      <c r="C3472" s="19"/>
      <c r="D3472" s="19"/>
      <c r="E3472" s="19"/>
      <c r="F3472" s="19"/>
      <c r="G3472" s="19"/>
      <c r="H3472" s="19"/>
      <c r="I3472" s="19"/>
      <c r="J3472" s="19"/>
      <c r="K3472" s="19"/>
      <c r="L3472" s="25"/>
      <c r="M3472" s="25"/>
      <c r="N3472" s="25"/>
      <c r="O3472" s="25"/>
      <c r="P3472" s="25"/>
      <c r="Q3472" s="19"/>
      <c r="R3472" s="19"/>
      <c r="S3472" s="19"/>
      <c r="T3472" s="19"/>
      <c r="U3472" s="25"/>
      <c r="V3472" s="19"/>
      <c r="W3472" s="19"/>
      <c r="X3472" s="19"/>
      <c r="Y3472" s="19"/>
      <c r="Z3472" s="19"/>
    </row>
    <row r="3473">
      <c r="A3473" s="24"/>
      <c r="B3473" s="19"/>
      <c r="C3473" s="19"/>
      <c r="D3473" s="19"/>
      <c r="E3473" s="19"/>
      <c r="F3473" s="19"/>
      <c r="G3473" s="19"/>
      <c r="H3473" s="19"/>
      <c r="I3473" s="19"/>
      <c r="J3473" s="19"/>
      <c r="K3473" s="19"/>
      <c r="L3473" s="25"/>
      <c r="M3473" s="25"/>
      <c r="N3473" s="25"/>
      <c r="O3473" s="25"/>
      <c r="P3473" s="25"/>
      <c r="Q3473" s="19"/>
      <c r="R3473" s="19"/>
      <c r="S3473" s="19"/>
      <c r="T3473" s="19"/>
      <c r="U3473" s="25"/>
      <c r="V3473" s="19"/>
      <c r="W3473" s="19"/>
      <c r="X3473" s="19"/>
      <c r="Y3473" s="19"/>
      <c r="Z3473" s="19"/>
    </row>
    <row r="3474">
      <c r="A3474" s="24"/>
      <c r="B3474" s="19"/>
      <c r="C3474" s="19"/>
      <c r="D3474" s="19"/>
      <c r="E3474" s="19"/>
      <c r="F3474" s="19"/>
      <c r="G3474" s="19"/>
      <c r="H3474" s="19"/>
      <c r="I3474" s="19"/>
      <c r="J3474" s="19"/>
      <c r="K3474" s="19"/>
      <c r="L3474" s="25"/>
      <c r="M3474" s="25"/>
      <c r="N3474" s="25"/>
      <c r="O3474" s="25"/>
      <c r="P3474" s="25"/>
      <c r="Q3474" s="19"/>
      <c r="R3474" s="19"/>
      <c r="S3474" s="19"/>
      <c r="T3474" s="19"/>
      <c r="U3474" s="25"/>
      <c r="V3474" s="19"/>
      <c r="W3474" s="19"/>
      <c r="X3474" s="19"/>
      <c r="Y3474" s="19"/>
      <c r="Z3474" s="19"/>
    </row>
    <row r="3475">
      <c r="A3475" s="24"/>
      <c r="B3475" s="19"/>
      <c r="C3475" s="19"/>
      <c r="D3475" s="19"/>
      <c r="E3475" s="19"/>
      <c r="F3475" s="19"/>
      <c r="G3475" s="19"/>
      <c r="H3475" s="19"/>
      <c r="I3475" s="19"/>
      <c r="J3475" s="19"/>
      <c r="K3475" s="19"/>
      <c r="L3475" s="25"/>
      <c r="M3475" s="25"/>
      <c r="N3475" s="25"/>
      <c r="O3475" s="25"/>
      <c r="P3475" s="25"/>
      <c r="Q3475" s="19"/>
      <c r="R3475" s="19"/>
      <c r="S3475" s="19"/>
      <c r="T3475" s="19"/>
      <c r="U3475" s="25"/>
      <c r="V3475" s="19"/>
      <c r="W3475" s="19"/>
      <c r="X3475" s="19"/>
      <c r="Y3475" s="19"/>
      <c r="Z3475" s="19"/>
    </row>
    <row r="3476">
      <c r="A3476" s="24"/>
      <c r="B3476" s="19"/>
      <c r="C3476" s="19"/>
      <c r="D3476" s="19"/>
      <c r="E3476" s="19"/>
      <c r="F3476" s="19"/>
      <c r="G3476" s="19"/>
      <c r="H3476" s="19"/>
      <c r="I3476" s="19"/>
      <c r="J3476" s="19"/>
      <c r="K3476" s="19"/>
      <c r="L3476" s="25"/>
      <c r="M3476" s="25"/>
      <c r="N3476" s="25"/>
      <c r="O3476" s="25"/>
      <c r="P3476" s="25"/>
      <c r="Q3476" s="19"/>
      <c r="R3476" s="19"/>
      <c r="S3476" s="19"/>
      <c r="T3476" s="19"/>
      <c r="U3476" s="25"/>
      <c r="V3476" s="19"/>
      <c r="W3476" s="19"/>
      <c r="X3476" s="19"/>
      <c r="Y3476" s="19"/>
      <c r="Z3476" s="19"/>
    </row>
    <row r="3477">
      <c r="A3477" s="24"/>
      <c r="B3477" s="19"/>
      <c r="C3477" s="19"/>
      <c r="D3477" s="19"/>
      <c r="E3477" s="19"/>
      <c r="F3477" s="19"/>
      <c r="G3477" s="19"/>
      <c r="H3477" s="19"/>
      <c r="I3477" s="19"/>
      <c r="J3477" s="19"/>
      <c r="K3477" s="19"/>
      <c r="L3477" s="25"/>
      <c r="M3477" s="25"/>
      <c r="N3477" s="25"/>
      <c r="O3477" s="25"/>
      <c r="P3477" s="25"/>
      <c r="Q3477" s="19"/>
      <c r="R3477" s="19"/>
      <c r="S3477" s="19"/>
      <c r="T3477" s="19"/>
      <c r="U3477" s="25"/>
      <c r="V3477" s="19"/>
      <c r="W3477" s="19"/>
      <c r="X3477" s="19"/>
      <c r="Y3477" s="19"/>
      <c r="Z3477" s="19"/>
    </row>
    <row r="3478">
      <c r="A3478" s="24"/>
      <c r="B3478" s="19"/>
      <c r="C3478" s="19"/>
      <c r="D3478" s="19"/>
      <c r="E3478" s="19"/>
      <c r="F3478" s="19"/>
      <c r="G3478" s="19"/>
      <c r="H3478" s="19"/>
      <c r="I3478" s="19"/>
      <c r="J3478" s="19"/>
      <c r="K3478" s="19"/>
      <c r="L3478" s="25"/>
      <c r="M3478" s="25"/>
      <c r="N3478" s="25"/>
      <c r="O3478" s="25"/>
      <c r="P3478" s="25"/>
      <c r="Q3478" s="19"/>
      <c r="R3478" s="19"/>
      <c r="S3478" s="19"/>
      <c r="T3478" s="19"/>
      <c r="U3478" s="25"/>
      <c r="V3478" s="19"/>
      <c r="W3478" s="19"/>
      <c r="X3478" s="19"/>
      <c r="Y3478" s="19"/>
      <c r="Z3478" s="19"/>
    </row>
    <row r="3479">
      <c r="A3479" s="24"/>
      <c r="B3479" s="19"/>
      <c r="C3479" s="19"/>
      <c r="D3479" s="19"/>
      <c r="E3479" s="19"/>
      <c r="F3479" s="19"/>
      <c r="G3479" s="19"/>
      <c r="H3479" s="19"/>
      <c r="I3479" s="19"/>
      <c r="J3479" s="19"/>
      <c r="K3479" s="19"/>
      <c r="L3479" s="25"/>
      <c r="M3479" s="25"/>
      <c r="N3479" s="25"/>
      <c r="O3479" s="25"/>
      <c r="P3479" s="25"/>
      <c r="Q3479" s="19"/>
      <c r="R3479" s="19"/>
      <c r="S3479" s="19"/>
      <c r="T3479" s="19"/>
      <c r="U3479" s="25"/>
      <c r="V3479" s="19"/>
      <c r="W3479" s="19"/>
      <c r="X3479" s="19"/>
      <c r="Y3479" s="19"/>
      <c r="Z3479" s="19"/>
    </row>
    <row r="3480">
      <c r="A3480" s="24"/>
      <c r="B3480" s="19"/>
      <c r="C3480" s="19"/>
      <c r="D3480" s="19"/>
      <c r="E3480" s="19"/>
      <c r="F3480" s="19"/>
      <c r="G3480" s="19"/>
      <c r="H3480" s="19"/>
      <c r="I3480" s="19"/>
      <c r="J3480" s="19"/>
      <c r="K3480" s="19"/>
      <c r="L3480" s="25"/>
      <c r="M3480" s="25"/>
      <c r="N3480" s="25"/>
      <c r="O3480" s="25"/>
      <c r="P3480" s="25"/>
      <c r="Q3480" s="19"/>
      <c r="R3480" s="19"/>
      <c r="S3480" s="19"/>
      <c r="T3480" s="19"/>
      <c r="U3480" s="25"/>
      <c r="V3480" s="19"/>
      <c r="W3480" s="19"/>
      <c r="X3480" s="19"/>
      <c r="Y3480" s="19"/>
      <c r="Z3480" s="19"/>
    </row>
    <row r="3481">
      <c r="A3481" s="24"/>
      <c r="B3481" s="19"/>
      <c r="C3481" s="19"/>
      <c r="D3481" s="19"/>
      <c r="E3481" s="19"/>
      <c r="F3481" s="19"/>
      <c r="G3481" s="19"/>
      <c r="H3481" s="19"/>
      <c r="I3481" s="19"/>
      <c r="J3481" s="19"/>
      <c r="K3481" s="19"/>
      <c r="L3481" s="25"/>
      <c r="M3481" s="25"/>
      <c r="N3481" s="25"/>
      <c r="O3481" s="25"/>
      <c r="P3481" s="25"/>
      <c r="Q3481" s="19"/>
      <c r="R3481" s="19"/>
      <c r="S3481" s="19"/>
      <c r="T3481" s="19"/>
      <c r="U3481" s="25"/>
      <c r="V3481" s="19"/>
      <c r="W3481" s="19"/>
      <c r="X3481" s="19"/>
      <c r="Y3481" s="19"/>
      <c r="Z3481" s="19"/>
    </row>
    <row r="3482">
      <c r="A3482" s="24"/>
      <c r="B3482" s="19"/>
      <c r="C3482" s="19"/>
      <c r="D3482" s="19"/>
      <c r="E3482" s="19"/>
      <c r="F3482" s="19"/>
      <c r="G3482" s="19"/>
      <c r="H3482" s="19"/>
      <c r="I3482" s="19"/>
      <c r="J3482" s="19"/>
      <c r="K3482" s="19"/>
      <c r="L3482" s="25"/>
      <c r="M3482" s="25"/>
      <c r="N3482" s="25"/>
      <c r="O3482" s="25"/>
      <c r="P3482" s="25"/>
      <c r="Q3482" s="19"/>
      <c r="R3482" s="19"/>
      <c r="S3482" s="19"/>
      <c r="T3482" s="19"/>
      <c r="U3482" s="25"/>
      <c r="V3482" s="19"/>
      <c r="W3482" s="19"/>
      <c r="X3482" s="19"/>
      <c r="Y3482" s="19"/>
      <c r="Z3482" s="19"/>
    </row>
    <row r="3483">
      <c r="A3483" s="24"/>
      <c r="B3483" s="19"/>
      <c r="C3483" s="19"/>
      <c r="D3483" s="19"/>
      <c r="E3483" s="19"/>
      <c r="F3483" s="19"/>
      <c r="G3483" s="19"/>
      <c r="H3483" s="19"/>
      <c r="I3483" s="19"/>
      <c r="J3483" s="19"/>
      <c r="K3483" s="19"/>
      <c r="L3483" s="25"/>
      <c r="M3483" s="25"/>
      <c r="N3483" s="25"/>
      <c r="O3483" s="25"/>
      <c r="P3483" s="25"/>
      <c r="Q3483" s="19"/>
      <c r="R3483" s="19"/>
      <c r="S3483" s="19"/>
      <c r="T3483" s="19"/>
      <c r="U3483" s="25"/>
      <c r="V3483" s="19"/>
      <c r="W3483" s="19"/>
      <c r="X3483" s="19"/>
      <c r="Y3483" s="19"/>
      <c r="Z3483" s="19"/>
    </row>
    <row r="3484">
      <c r="A3484" s="24"/>
      <c r="B3484" s="19"/>
      <c r="C3484" s="19"/>
      <c r="D3484" s="19"/>
      <c r="E3484" s="19"/>
      <c r="F3484" s="19"/>
      <c r="G3484" s="19"/>
      <c r="H3484" s="19"/>
      <c r="I3484" s="19"/>
      <c r="J3484" s="19"/>
      <c r="K3484" s="19"/>
      <c r="L3484" s="25"/>
      <c r="M3484" s="25"/>
      <c r="N3484" s="25"/>
      <c r="O3484" s="25"/>
      <c r="P3484" s="25"/>
      <c r="Q3484" s="19"/>
      <c r="R3484" s="19"/>
      <c r="S3484" s="19"/>
      <c r="T3484" s="19"/>
      <c r="U3484" s="25"/>
      <c r="V3484" s="19"/>
      <c r="W3484" s="19"/>
      <c r="X3484" s="19"/>
      <c r="Y3484" s="19"/>
      <c r="Z3484" s="19"/>
    </row>
    <row r="3485">
      <c r="A3485" s="24"/>
      <c r="B3485" s="19"/>
      <c r="C3485" s="19"/>
      <c r="D3485" s="19"/>
      <c r="E3485" s="19"/>
      <c r="F3485" s="19"/>
      <c r="G3485" s="19"/>
      <c r="H3485" s="19"/>
      <c r="I3485" s="19"/>
      <c r="J3485" s="19"/>
      <c r="K3485" s="19"/>
      <c r="L3485" s="25"/>
      <c r="M3485" s="25"/>
      <c r="N3485" s="25"/>
      <c r="O3485" s="25"/>
      <c r="P3485" s="25"/>
      <c r="Q3485" s="19"/>
      <c r="R3485" s="19"/>
      <c r="S3485" s="19"/>
      <c r="T3485" s="19"/>
      <c r="U3485" s="25"/>
      <c r="V3485" s="19"/>
      <c r="W3485" s="19"/>
      <c r="X3485" s="19"/>
      <c r="Y3485" s="19"/>
      <c r="Z3485" s="19"/>
    </row>
    <row r="3486">
      <c r="A3486" s="24"/>
      <c r="B3486" s="19"/>
      <c r="C3486" s="19"/>
      <c r="D3486" s="19"/>
      <c r="E3486" s="19"/>
      <c r="F3486" s="19"/>
      <c r="G3486" s="19"/>
      <c r="H3486" s="19"/>
      <c r="I3486" s="19"/>
      <c r="J3486" s="19"/>
      <c r="K3486" s="19"/>
      <c r="L3486" s="25"/>
      <c r="M3486" s="25"/>
      <c r="N3486" s="25"/>
      <c r="O3486" s="25"/>
      <c r="P3486" s="25"/>
      <c r="Q3486" s="19"/>
      <c r="R3486" s="19"/>
      <c r="S3486" s="19"/>
      <c r="T3486" s="19"/>
      <c r="U3486" s="25"/>
      <c r="V3486" s="19"/>
      <c r="W3486" s="19"/>
      <c r="X3486" s="19"/>
      <c r="Y3486" s="19"/>
      <c r="Z3486" s="19"/>
    </row>
    <row r="3487">
      <c r="A3487" s="24"/>
      <c r="B3487" s="19"/>
      <c r="C3487" s="19"/>
      <c r="D3487" s="19"/>
      <c r="E3487" s="19"/>
      <c r="F3487" s="19"/>
      <c r="G3487" s="19"/>
      <c r="H3487" s="19"/>
      <c r="I3487" s="19"/>
      <c r="J3487" s="19"/>
      <c r="K3487" s="19"/>
      <c r="L3487" s="25"/>
      <c r="M3487" s="25"/>
      <c r="N3487" s="25"/>
      <c r="O3487" s="25"/>
      <c r="P3487" s="25"/>
      <c r="Q3487" s="19"/>
      <c r="R3487" s="19"/>
      <c r="S3487" s="19"/>
      <c r="T3487" s="19"/>
      <c r="U3487" s="25"/>
      <c r="V3487" s="19"/>
      <c r="W3487" s="19"/>
      <c r="X3487" s="19"/>
      <c r="Y3487" s="19"/>
      <c r="Z3487" s="19"/>
    </row>
    <row r="3488">
      <c r="A3488" s="24"/>
      <c r="B3488" s="19"/>
      <c r="C3488" s="19"/>
      <c r="D3488" s="19"/>
      <c r="E3488" s="19"/>
      <c r="F3488" s="19"/>
      <c r="G3488" s="19"/>
      <c r="H3488" s="19"/>
      <c r="I3488" s="19"/>
      <c r="J3488" s="19"/>
      <c r="K3488" s="19"/>
      <c r="L3488" s="25"/>
      <c r="M3488" s="25"/>
      <c r="N3488" s="25"/>
      <c r="O3488" s="25"/>
      <c r="P3488" s="25"/>
      <c r="Q3488" s="19"/>
      <c r="R3488" s="19"/>
      <c r="S3488" s="19"/>
      <c r="T3488" s="19"/>
      <c r="U3488" s="25"/>
      <c r="V3488" s="19"/>
      <c r="W3488" s="19"/>
      <c r="X3488" s="19"/>
      <c r="Y3488" s="19"/>
      <c r="Z3488" s="19"/>
    </row>
    <row r="3489">
      <c r="A3489" s="24"/>
      <c r="B3489" s="19"/>
      <c r="C3489" s="19"/>
      <c r="D3489" s="19"/>
      <c r="E3489" s="19"/>
      <c r="F3489" s="19"/>
      <c r="G3489" s="19"/>
      <c r="H3489" s="19"/>
      <c r="I3489" s="19"/>
      <c r="J3489" s="19"/>
      <c r="K3489" s="19"/>
      <c r="L3489" s="25"/>
      <c r="M3489" s="25"/>
      <c r="N3489" s="25"/>
      <c r="O3489" s="25"/>
      <c r="P3489" s="25"/>
      <c r="Q3489" s="19"/>
      <c r="R3489" s="19"/>
      <c r="S3489" s="19"/>
      <c r="T3489" s="19"/>
      <c r="U3489" s="25"/>
      <c r="V3489" s="19"/>
      <c r="W3489" s="19"/>
      <c r="X3489" s="19"/>
      <c r="Y3489" s="19"/>
      <c r="Z3489" s="19"/>
    </row>
    <row r="3490">
      <c r="A3490" s="24"/>
      <c r="B3490" s="19"/>
      <c r="C3490" s="19"/>
      <c r="D3490" s="19"/>
      <c r="E3490" s="19"/>
      <c r="F3490" s="19"/>
      <c r="G3490" s="19"/>
      <c r="H3490" s="19"/>
      <c r="I3490" s="19"/>
      <c r="J3490" s="19"/>
      <c r="K3490" s="19"/>
      <c r="L3490" s="25"/>
      <c r="M3490" s="25"/>
      <c r="N3490" s="25"/>
      <c r="O3490" s="25"/>
      <c r="P3490" s="25"/>
      <c r="Q3490" s="19"/>
      <c r="R3490" s="19"/>
      <c r="S3490" s="19"/>
      <c r="T3490" s="19"/>
      <c r="U3490" s="25"/>
      <c r="V3490" s="19"/>
      <c r="W3490" s="19"/>
      <c r="X3490" s="19"/>
      <c r="Y3490" s="19"/>
      <c r="Z3490" s="19"/>
    </row>
    <row r="3491">
      <c r="A3491" s="24"/>
      <c r="B3491" s="19"/>
      <c r="C3491" s="19"/>
      <c r="D3491" s="19"/>
      <c r="E3491" s="19"/>
      <c r="F3491" s="19"/>
      <c r="G3491" s="19"/>
      <c r="H3491" s="19"/>
      <c r="I3491" s="19"/>
      <c r="J3491" s="19"/>
      <c r="K3491" s="19"/>
      <c r="L3491" s="25"/>
      <c r="M3491" s="25"/>
      <c r="N3491" s="25"/>
      <c r="O3491" s="25"/>
      <c r="P3491" s="25"/>
      <c r="Q3491" s="19"/>
      <c r="R3491" s="19"/>
      <c r="S3491" s="19"/>
      <c r="T3491" s="19"/>
      <c r="U3491" s="25"/>
      <c r="V3491" s="19"/>
      <c r="W3491" s="19"/>
      <c r="X3491" s="19"/>
      <c r="Y3491" s="19"/>
      <c r="Z3491" s="19"/>
    </row>
    <row r="3492">
      <c r="A3492" s="24"/>
      <c r="B3492" s="19"/>
      <c r="C3492" s="19"/>
      <c r="D3492" s="19"/>
      <c r="E3492" s="19"/>
      <c r="F3492" s="19"/>
      <c r="G3492" s="19"/>
      <c r="H3492" s="19"/>
      <c r="I3492" s="19"/>
      <c r="J3492" s="19"/>
      <c r="K3492" s="19"/>
      <c r="L3492" s="25"/>
      <c r="M3492" s="25"/>
      <c r="N3492" s="25"/>
      <c r="O3492" s="25"/>
      <c r="P3492" s="25"/>
      <c r="Q3492" s="19"/>
      <c r="R3492" s="19"/>
      <c r="S3492" s="19"/>
      <c r="T3492" s="19"/>
      <c r="U3492" s="25"/>
      <c r="V3492" s="19"/>
      <c r="W3492" s="19"/>
      <c r="X3492" s="19"/>
      <c r="Y3492" s="19"/>
      <c r="Z3492" s="19"/>
    </row>
    <row r="3493">
      <c r="A3493" s="24"/>
      <c r="B3493" s="19"/>
      <c r="C3493" s="19"/>
      <c r="D3493" s="19"/>
      <c r="E3493" s="19"/>
      <c r="F3493" s="19"/>
      <c r="G3493" s="19"/>
      <c r="H3493" s="19"/>
      <c r="I3493" s="19"/>
      <c r="J3493" s="19"/>
      <c r="K3493" s="19"/>
      <c r="L3493" s="25"/>
      <c r="M3493" s="25"/>
      <c r="N3493" s="25"/>
      <c r="O3493" s="25"/>
      <c r="P3493" s="25"/>
      <c r="Q3493" s="19"/>
      <c r="R3493" s="19"/>
      <c r="S3493" s="19"/>
      <c r="T3493" s="19"/>
      <c r="U3493" s="25"/>
      <c r="V3493" s="19"/>
      <c r="W3493" s="19"/>
      <c r="X3493" s="19"/>
      <c r="Y3493" s="19"/>
      <c r="Z3493" s="19"/>
    </row>
    <row r="3494">
      <c r="A3494" s="24"/>
      <c r="B3494" s="19"/>
      <c r="C3494" s="19"/>
      <c r="D3494" s="19"/>
      <c r="E3494" s="19"/>
      <c r="F3494" s="19"/>
      <c r="G3494" s="19"/>
      <c r="H3494" s="19"/>
      <c r="I3494" s="19"/>
      <c r="J3494" s="19"/>
      <c r="K3494" s="19"/>
      <c r="L3494" s="25"/>
      <c r="M3494" s="25"/>
      <c r="N3494" s="25"/>
      <c r="O3494" s="25"/>
      <c r="P3494" s="25"/>
      <c r="Q3494" s="19"/>
      <c r="R3494" s="19"/>
      <c r="S3494" s="19"/>
      <c r="T3494" s="19"/>
      <c r="U3494" s="25"/>
      <c r="V3494" s="19"/>
      <c r="W3494" s="19"/>
      <c r="X3494" s="19"/>
      <c r="Y3494" s="19"/>
      <c r="Z3494" s="19"/>
    </row>
    <row r="3495">
      <c r="A3495" s="24"/>
      <c r="B3495" s="19"/>
      <c r="C3495" s="19"/>
      <c r="D3495" s="19"/>
      <c r="E3495" s="19"/>
      <c r="F3495" s="19"/>
      <c r="G3495" s="19"/>
      <c r="H3495" s="19"/>
      <c r="I3495" s="19"/>
      <c r="J3495" s="19"/>
      <c r="K3495" s="19"/>
      <c r="L3495" s="25"/>
      <c r="M3495" s="25"/>
      <c r="N3495" s="25"/>
      <c r="O3495" s="25"/>
      <c r="P3495" s="25"/>
      <c r="Q3495" s="19"/>
      <c r="R3495" s="19"/>
      <c r="S3495" s="19"/>
      <c r="T3495" s="19"/>
      <c r="U3495" s="25"/>
      <c r="V3495" s="19"/>
      <c r="W3495" s="19"/>
      <c r="X3495" s="19"/>
      <c r="Y3495" s="19"/>
      <c r="Z3495" s="19"/>
    </row>
    <row r="3496">
      <c r="A3496" s="24"/>
      <c r="B3496" s="19"/>
      <c r="C3496" s="19"/>
      <c r="D3496" s="19"/>
      <c r="E3496" s="19"/>
      <c r="F3496" s="19"/>
      <c r="G3496" s="19"/>
      <c r="H3496" s="19"/>
      <c r="I3496" s="19"/>
      <c r="J3496" s="19"/>
      <c r="K3496" s="19"/>
      <c r="L3496" s="25"/>
      <c r="M3496" s="25"/>
      <c r="N3496" s="25"/>
      <c r="O3496" s="25"/>
      <c r="P3496" s="25"/>
      <c r="Q3496" s="19"/>
      <c r="R3496" s="19"/>
      <c r="S3496" s="19"/>
      <c r="T3496" s="19"/>
      <c r="U3496" s="25"/>
      <c r="V3496" s="19"/>
      <c r="W3496" s="19"/>
      <c r="X3496" s="19"/>
      <c r="Y3496" s="19"/>
      <c r="Z3496" s="19"/>
    </row>
    <row r="3497">
      <c r="A3497" s="24"/>
      <c r="B3497" s="19"/>
      <c r="C3497" s="19"/>
      <c r="D3497" s="19"/>
      <c r="E3497" s="19"/>
      <c r="F3497" s="19"/>
      <c r="G3497" s="19"/>
      <c r="H3497" s="19"/>
      <c r="I3497" s="19"/>
      <c r="J3497" s="19"/>
      <c r="K3497" s="19"/>
      <c r="L3497" s="25"/>
      <c r="M3497" s="25"/>
      <c r="N3497" s="25"/>
      <c r="O3497" s="25"/>
      <c r="P3497" s="25"/>
      <c r="Q3497" s="19"/>
      <c r="R3497" s="19"/>
      <c r="S3497" s="19"/>
      <c r="T3497" s="19"/>
      <c r="U3497" s="25"/>
      <c r="V3497" s="19"/>
      <c r="W3497" s="19"/>
      <c r="X3497" s="19"/>
      <c r="Y3497" s="19"/>
      <c r="Z3497" s="19"/>
    </row>
    <row r="3498">
      <c r="A3498" s="24"/>
      <c r="B3498" s="19"/>
      <c r="C3498" s="19"/>
      <c r="D3498" s="19"/>
      <c r="E3498" s="19"/>
      <c r="F3498" s="19"/>
      <c r="G3498" s="19"/>
      <c r="H3498" s="19"/>
      <c r="I3498" s="19"/>
      <c r="J3498" s="19"/>
      <c r="K3498" s="19"/>
      <c r="L3498" s="25"/>
      <c r="M3498" s="25"/>
      <c r="N3498" s="25"/>
      <c r="O3498" s="25"/>
      <c r="P3498" s="25"/>
      <c r="Q3498" s="19"/>
      <c r="R3498" s="19"/>
      <c r="S3498" s="19"/>
      <c r="T3498" s="19"/>
      <c r="U3498" s="25"/>
      <c r="V3498" s="19"/>
      <c r="W3498" s="19"/>
      <c r="X3498" s="19"/>
      <c r="Y3498" s="19"/>
      <c r="Z3498" s="19"/>
    </row>
    <row r="3499">
      <c r="A3499" s="24"/>
      <c r="B3499" s="19"/>
      <c r="C3499" s="19"/>
      <c r="D3499" s="19"/>
      <c r="E3499" s="19"/>
      <c r="F3499" s="19"/>
      <c r="G3499" s="19"/>
      <c r="H3499" s="19"/>
      <c r="I3499" s="19"/>
      <c r="J3499" s="19"/>
      <c r="K3499" s="19"/>
      <c r="L3499" s="25"/>
      <c r="M3499" s="25"/>
      <c r="N3499" s="25"/>
      <c r="O3499" s="25"/>
      <c r="P3499" s="25"/>
      <c r="Q3499" s="19"/>
      <c r="R3499" s="19"/>
      <c r="S3499" s="19"/>
      <c r="T3499" s="19"/>
      <c r="U3499" s="25"/>
      <c r="V3499" s="19"/>
      <c r="W3499" s="19"/>
      <c r="X3499" s="19"/>
      <c r="Y3499" s="19"/>
      <c r="Z3499" s="19"/>
    </row>
    <row r="3500">
      <c r="A3500" s="24"/>
      <c r="B3500" s="19"/>
      <c r="C3500" s="19"/>
      <c r="D3500" s="19"/>
      <c r="E3500" s="19"/>
      <c r="F3500" s="19"/>
      <c r="G3500" s="19"/>
      <c r="H3500" s="19"/>
      <c r="I3500" s="19"/>
      <c r="J3500" s="19"/>
      <c r="K3500" s="19"/>
      <c r="L3500" s="25"/>
      <c r="M3500" s="25"/>
      <c r="N3500" s="25"/>
      <c r="O3500" s="25"/>
      <c r="P3500" s="25"/>
      <c r="Q3500" s="19"/>
      <c r="R3500" s="19"/>
      <c r="S3500" s="19"/>
      <c r="T3500" s="19"/>
      <c r="U3500" s="25"/>
      <c r="V3500" s="19"/>
      <c r="W3500" s="19"/>
      <c r="X3500" s="19"/>
      <c r="Y3500" s="19"/>
      <c r="Z3500" s="19"/>
    </row>
    <row r="3501">
      <c r="A3501" s="24"/>
      <c r="B3501" s="19"/>
      <c r="C3501" s="19"/>
      <c r="D3501" s="19"/>
      <c r="E3501" s="19"/>
      <c r="F3501" s="19"/>
      <c r="G3501" s="19"/>
      <c r="H3501" s="19"/>
      <c r="I3501" s="19"/>
      <c r="J3501" s="19"/>
      <c r="K3501" s="19"/>
      <c r="L3501" s="25"/>
      <c r="M3501" s="25"/>
      <c r="N3501" s="25"/>
      <c r="O3501" s="25"/>
      <c r="P3501" s="25"/>
      <c r="Q3501" s="19"/>
      <c r="R3501" s="19"/>
      <c r="S3501" s="19"/>
      <c r="T3501" s="19"/>
      <c r="U3501" s="25"/>
      <c r="V3501" s="19"/>
      <c r="W3501" s="19"/>
      <c r="X3501" s="19"/>
      <c r="Y3501" s="19"/>
      <c r="Z3501" s="19"/>
    </row>
    <row r="3502">
      <c r="A3502" s="24"/>
      <c r="B3502" s="19"/>
      <c r="C3502" s="19"/>
      <c r="D3502" s="19"/>
      <c r="E3502" s="19"/>
      <c r="F3502" s="19"/>
      <c r="G3502" s="19"/>
      <c r="H3502" s="19"/>
      <c r="I3502" s="19"/>
      <c r="J3502" s="19"/>
      <c r="K3502" s="19"/>
      <c r="L3502" s="25"/>
      <c r="M3502" s="25"/>
      <c r="N3502" s="25"/>
      <c r="O3502" s="25"/>
      <c r="P3502" s="25"/>
      <c r="Q3502" s="19"/>
      <c r="R3502" s="19"/>
      <c r="S3502" s="19"/>
      <c r="T3502" s="19"/>
      <c r="U3502" s="25"/>
      <c r="V3502" s="19"/>
      <c r="W3502" s="19"/>
      <c r="X3502" s="19"/>
      <c r="Y3502" s="19"/>
      <c r="Z3502" s="19"/>
    </row>
    <row r="3503">
      <c r="A3503" s="24"/>
      <c r="B3503" s="19"/>
      <c r="C3503" s="19"/>
      <c r="D3503" s="19"/>
      <c r="E3503" s="19"/>
      <c r="F3503" s="19"/>
      <c r="G3503" s="19"/>
      <c r="H3503" s="19"/>
      <c r="I3503" s="19"/>
      <c r="J3503" s="19"/>
      <c r="K3503" s="19"/>
      <c r="L3503" s="25"/>
      <c r="M3503" s="25"/>
      <c r="N3503" s="25"/>
      <c r="O3503" s="25"/>
      <c r="P3503" s="25"/>
      <c r="Q3503" s="19"/>
      <c r="R3503" s="19"/>
      <c r="S3503" s="19"/>
      <c r="T3503" s="19"/>
      <c r="U3503" s="25"/>
      <c r="V3503" s="19"/>
      <c r="W3503" s="19"/>
      <c r="X3503" s="19"/>
      <c r="Y3503" s="19"/>
      <c r="Z3503" s="19"/>
    </row>
    <row r="3504">
      <c r="A3504" s="24"/>
      <c r="B3504" s="19"/>
      <c r="C3504" s="19"/>
      <c r="D3504" s="19"/>
      <c r="E3504" s="19"/>
      <c r="F3504" s="19"/>
      <c r="G3504" s="19"/>
      <c r="H3504" s="19"/>
      <c r="I3504" s="19"/>
      <c r="J3504" s="19"/>
      <c r="K3504" s="19"/>
      <c r="L3504" s="25"/>
      <c r="M3504" s="25"/>
      <c r="N3504" s="25"/>
      <c r="O3504" s="25"/>
      <c r="P3504" s="25"/>
      <c r="Q3504" s="19"/>
      <c r="R3504" s="19"/>
      <c r="S3504" s="19"/>
      <c r="T3504" s="19"/>
      <c r="U3504" s="25"/>
      <c r="V3504" s="19"/>
      <c r="W3504" s="19"/>
      <c r="X3504" s="19"/>
      <c r="Y3504" s="19"/>
      <c r="Z3504" s="19"/>
    </row>
    <row r="3505">
      <c r="A3505" s="24"/>
      <c r="B3505" s="19"/>
      <c r="C3505" s="19"/>
      <c r="D3505" s="19"/>
      <c r="E3505" s="19"/>
      <c r="F3505" s="19"/>
      <c r="G3505" s="19"/>
      <c r="H3505" s="19"/>
      <c r="I3505" s="19"/>
      <c r="J3505" s="19"/>
      <c r="K3505" s="19"/>
      <c r="L3505" s="25"/>
      <c r="M3505" s="25"/>
      <c r="N3505" s="25"/>
      <c r="O3505" s="25"/>
      <c r="P3505" s="25"/>
      <c r="Q3505" s="19"/>
      <c r="R3505" s="19"/>
      <c r="S3505" s="19"/>
      <c r="T3505" s="19"/>
      <c r="U3505" s="25"/>
      <c r="V3505" s="19"/>
      <c r="W3505" s="19"/>
      <c r="X3505" s="19"/>
      <c r="Y3505" s="19"/>
      <c r="Z3505" s="19"/>
    </row>
    <row r="3506">
      <c r="A3506" s="24"/>
      <c r="B3506" s="19"/>
      <c r="C3506" s="19"/>
      <c r="D3506" s="19"/>
      <c r="E3506" s="19"/>
      <c r="F3506" s="19"/>
      <c r="G3506" s="19"/>
      <c r="H3506" s="19"/>
      <c r="I3506" s="19"/>
      <c r="J3506" s="19"/>
      <c r="K3506" s="19"/>
      <c r="L3506" s="25"/>
      <c r="M3506" s="25"/>
      <c r="N3506" s="25"/>
      <c r="O3506" s="25"/>
      <c r="P3506" s="25"/>
      <c r="Q3506" s="19"/>
      <c r="R3506" s="19"/>
      <c r="S3506" s="19"/>
      <c r="T3506" s="19"/>
      <c r="U3506" s="25"/>
      <c r="V3506" s="19"/>
      <c r="W3506" s="19"/>
      <c r="X3506" s="19"/>
      <c r="Y3506" s="19"/>
      <c r="Z3506" s="19"/>
    </row>
    <row r="3507">
      <c r="A3507" s="24"/>
      <c r="B3507" s="19"/>
      <c r="C3507" s="19"/>
      <c r="D3507" s="19"/>
      <c r="E3507" s="19"/>
      <c r="F3507" s="19"/>
      <c r="G3507" s="19"/>
      <c r="H3507" s="19"/>
      <c r="I3507" s="19"/>
      <c r="J3507" s="19"/>
      <c r="K3507" s="19"/>
      <c r="L3507" s="25"/>
      <c r="M3507" s="25"/>
      <c r="N3507" s="25"/>
      <c r="O3507" s="25"/>
      <c r="P3507" s="25"/>
      <c r="Q3507" s="19"/>
      <c r="R3507" s="19"/>
      <c r="S3507" s="19"/>
      <c r="T3507" s="19"/>
      <c r="U3507" s="25"/>
      <c r="V3507" s="19"/>
      <c r="W3507" s="19"/>
      <c r="X3507" s="19"/>
      <c r="Y3507" s="19"/>
      <c r="Z3507" s="19"/>
    </row>
    <row r="3508">
      <c r="A3508" s="24"/>
      <c r="B3508" s="19"/>
      <c r="C3508" s="19"/>
      <c r="D3508" s="19"/>
      <c r="E3508" s="19"/>
      <c r="F3508" s="19"/>
      <c r="G3508" s="19"/>
      <c r="H3508" s="19"/>
      <c r="I3508" s="19"/>
      <c r="J3508" s="19"/>
      <c r="K3508" s="19"/>
      <c r="L3508" s="25"/>
      <c r="M3508" s="25"/>
      <c r="N3508" s="25"/>
      <c r="O3508" s="25"/>
      <c r="P3508" s="25"/>
      <c r="Q3508" s="19"/>
      <c r="R3508" s="19"/>
      <c r="S3508" s="19"/>
      <c r="T3508" s="19"/>
      <c r="U3508" s="25"/>
      <c r="V3508" s="19"/>
      <c r="W3508" s="19"/>
      <c r="X3508" s="19"/>
      <c r="Y3508" s="19"/>
      <c r="Z3508" s="19"/>
    </row>
    <row r="3509">
      <c r="A3509" s="24"/>
      <c r="B3509" s="19"/>
      <c r="C3509" s="19"/>
      <c r="D3509" s="19"/>
      <c r="E3509" s="19"/>
      <c r="F3509" s="19"/>
      <c r="G3509" s="19"/>
      <c r="H3509" s="19"/>
      <c r="I3509" s="19"/>
      <c r="J3509" s="19"/>
      <c r="K3509" s="19"/>
      <c r="L3509" s="25"/>
      <c r="M3509" s="25"/>
      <c r="N3509" s="25"/>
      <c r="O3509" s="25"/>
      <c r="P3509" s="25"/>
      <c r="Q3509" s="19"/>
      <c r="R3509" s="19"/>
      <c r="S3509" s="19"/>
      <c r="T3509" s="19"/>
      <c r="U3509" s="25"/>
      <c r="V3509" s="19"/>
      <c r="W3509" s="19"/>
      <c r="X3509" s="19"/>
      <c r="Y3509" s="19"/>
      <c r="Z3509" s="19"/>
    </row>
    <row r="3510">
      <c r="A3510" s="24"/>
      <c r="B3510" s="19"/>
      <c r="C3510" s="19"/>
      <c r="D3510" s="19"/>
      <c r="E3510" s="19"/>
      <c r="F3510" s="19"/>
      <c r="G3510" s="19"/>
      <c r="H3510" s="19"/>
      <c r="I3510" s="19"/>
      <c r="J3510" s="19"/>
      <c r="K3510" s="19"/>
      <c r="L3510" s="25"/>
      <c r="M3510" s="25"/>
      <c r="N3510" s="25"/>
      <c r="O3510" s="25"/>
      <c r="P3510" s="25"/>
      <c r="Q3510" s="19"/>
      <c r="R3510" s="19"/>
      <c r="S3510" s="19"/>
      <c r="T3510" s="19"/>
      <c r="U3510" s="25"/>
      <c r="V3510" s="19"/>
      <c r="W3510" s="19"/>
      <c r="X3510" s="19"/>
      <c r="Y3510" s="19"/>
      <c r="Z3510" s="19"/>
    </row>
    <row r="3511">
      <c r="A3511" s="24"/>
      <c r="B3511" s="19"/>
      <c r="C3511" s="19"/>
      <c r="D3511" s="19"/>
      <c r="E3511" s="19"/>
      <c r="F3511" s="19"/>
      <c r="G3511" s="19"/>
      <c r="H3511" s="19"/>
      <c r="I3511" s="19"/>
      <c r="J3511" s="19"/>
      <c r="K3511" s="19"/>
      <c r="L3511" s="25"/>
      <c r="M3511" s="25"/>
      <c r="N3511" s="25"/>
      <c r="O3511" s="25"/>
      <c r="P3511" s="25"/>
      <c r="Q3511" s="19"/>
      <c r="R3511" s="19"/>
      <c r="S3511" s="19"/>
      <c r="T3511" s="19"/>
      <c r="U3511" s="25"/>
      <c r="V3511" s="19"/>
      <c r="W3511" s="19"/>
      <c r="X3511" s="19"/>
      <c r="Y3511" s="19"/>
      <c r="Z3511" s="19"/>
    </row>
    <row r="3512">
      <c r="A3512" s="24"/>
      <c r="B3512" s="19"/>
      <c r="C3512" s="19"/>
      <c r="D3512" s="19"/>
      <c r="E3512" s="19"/>
      <c r="F3512" s="19"/>
      <c r="G3512" s="19"/>
      <c r="H3512" s="19"/>
      <c r="I3512" s="19"/>
      <c r="J3512" s="19"/>
      <c r="K3512" s="19"/>
      <c r="L3512" s="25"/>
      <c r="M3512" s="25"/>
      <c r="N3512" s="25"/>
      <c r="O3512" s="25"/>
      <c r="P3512" s="25"/>
      <c r="Q3512" s="19"/>
      <c r="R3512" s="19"/>
      <c r="S3512" s="19"/>
      <c r="T3512" s="19"/>
      <c r="U3512" s="25"/>
      <c r="V3512" s="19"/>
      <c r="W3512" s="19"/>
      <c r="X3512" s="19"/>
      <c r="Y3512" s="19"/>
      <c r="Z3512" s="19"/>
    </row>
    <row r="3513">
      <c r="A3513" s="24"/>
      <c r="B3513" s="19"/>
      <c r="C3513" s="19"/>
      <c r="D3513" s="19"/>
      <c r="E3513" s="19"/>
      <c r="F3513" s="19"/>
      <c r="G3513" s="19"/>
      <c r="H3513" s="19"/>
      <c r="I3513" s="19"/>
      <c r="J3513" s="19"/>
      <c r="K3513" s="19"/>
      <c r="L3513" s="25"/>
      <c r="M3513" s="25"/>
      <c r="N3513" s="25"/>
      <c r="O3513" s="25"/>
      <c r="P3513" s="25"/>
      <c r="Q3513" s="19"/>
      <c r="R3513" s="19"/>
      <c r="S3513" s="19"/>
      <c r="T3513" s="19"/>
      <c r="U3513" s="25"/>
      <c r="V3513" s="19"/>
      <c r="W3513" s="19"/>
      <c r="X3513" s="19"/>
      <c r="Y3513" s="19"/>
      <c r="Z3513" s="19"/>
    </row>
    <row r="3514">
      <c r="A3514" s="24"/>
      <c r="B3514" s="19"/>
      <c r="C3514" s="19"/>
      <c r="D3514" s="19"/>
      <c r="E3514" s="19"/>
      <c r="F3514" s="19"/>
      <c r="G3514" s="19"/>
      <c r="H3514" s="19"/>
      <c r="I3514" s="19"/>
      <c r="J3514" s="19"/>
      <c r="K3514" s="19"/>
      <c r="L3514" s="25"/>
      <c r="M3514" s="25"/>
      <c r="N3514" s="25"/>
      <c r="O3514" s="25"/>
      <c r="P3514" s="25"/>
      <c r="Q3514" s="19"/>
      <c r="R3514" s="19"/>
      <c r="S3514" s="19"/>
      <c r="T3514" s="19"/>
      <c r="U3514" s="25"/>
      <c r="V3514" s="19"/>
      <c r="W3514" s="19"/>
      <c r="X3514" s="19"/>
      <c r="Y3514" s="19"/>
      <c r="Z3514" s="19"/>
    </row>
    <row r="3515">
      <c r="A3515" s="24"/>
      <c r="B3515" s="19"/>
      <c r="C3515" s="19"/>
      <c r="D3515" s="19"/>
      <c r="E3515" s="19"/>
      <c r="F3515" s="19"/>
      <c r="G3515" s="19"/>
      <c r="H3515" s="19"/>
      <c r="I3515" s="19"/>
      <c r="J3515" s="19"/>
      <c r="K3515" s="19"/>
      <c r="L3515" s="25"/>
      <c r="M3515" s="25"/>
      <c r="N3515" s="25"/>
      <c r="O3515" s="25"/>
      <c r="P3515" s="25"/>
      <c r="Q3515" s="19"/>
      <c r="R3515" s="19"/>
      <c r="S3515" s="19"/>
      <c r="T3515" s="19"/>
      <c r="U3515" s="25"/>
      <c r="V3515" s="19"/>
      <c r="W3515" s="19"/>
      <c r="X3515" s="19"/>
      <c r="Y3515" s="19"/>
      <c r="Z3515" s="19"/>
    </row>
    <row r="3516">
      <c r="A3516" s="24"/>
      <c r="B3516" s="19"/>
      <c r="C3516" s="19"/>
      <c r="D3516" s="19"/>
      <c r="E3516" s="19"/>
      <c r="F3516" s="19"/>
      <c r="G3516" s="19"/>
      <c r="H3516" s="19"/>
      <c r="I3516" s="19"/>
      <c r="J3516" s="19"/>
      <c r="K3516" s="19"/>
      <c r="L3516" s="25"/>
      <c r="M3516" s="25"/>
      <c r="N3516" s="25"/>
      <c r="O3516" s="25"/>
      <c r="P3516" s="25"/>
      <c r="Q3516" s="19"/>
      <c r="R3516" s="19"/>
      <c r="S3516" s="19"/>
      <c r="T3516" s="19"/>
      <c r="U3516" s="25"/>
      <c r="V3516" s="19"/>
      <c r="W3516" s="19"/>
      <c r="X3516" s="19"/>
      <c r="Y3516" s="19"/>
      <c r="Z3516" s="19"/>
    </row>
    <row r="3517">
      <c r="A3517" s="24"/>
      <c r="B3517" s="19"/>
      <c r="C3517" s="19"/>
      <c r="D3517" s="19"/>
      <c r="E3517" s="19"/>
      <c r="F3517" s="19"/>
      <c r="G3517" s="19"/>
      <c r="H3517" s="19"/>
      <c r="I3517" s="19"/>
      <c r="J3517" s="19"/>
      <c r="K3517" s="19"/>
      <c r="L3517" s="25"/>
      <c r="M3517" s="25"/>
      <c r="N3517" s="25"/>
      <c r="O3517" s="25"/>
      <c r="P3517" s="25"/>
      <c r="Q3517" s="19"/>
      <c r="R3517" s="19"/>
      <c r="S3517" s="19"/>
      <c r="T3517" s="19"/>
      <c r="U3517" s="25"/>
      <c r="V3517" s="19"/>
      <c r="W3517" s="19"/>
      <c r="X3517" s="19"/>
      <c r="Y3517" s="19"/>
      <c r="Z3517" s="19"/>
    </row>
    <row r="3518">
      <c r="A3518" s="24"/>
      <c r="B3518" s="19"/>
      <c r="C3518" s="19"/>
      <c r="D3518" s="19"/>
      <c r="E3518" s="19"/>
      <c r="F3518" s="19"/>
      <c r="G3518" s="19"/>
      <c r="H3518" s="19"/>
      <c r="I3518" s="19"/>
      <c r="J3518" s="19"/>
      <c r="K3518" s="19"/>
      <c r="L3518" s="25"/>
      <c r="M3518" s="25"/>
      <c r="N3518" s="25"/>
      <c r="O3518" s="25"/>
      <c r="P3518" s="25"/>
      <c r="Q3518" s="19"/>
      <c r="R3518" s="19"/>
      <c r="S3518" s="19"/>
      <c r="T3518" s="19"/>
      <c r="U3518" s="25"/>
      <c r="V3518" s="19"/>
      <c r="W3518" s="19"/>
      <c r="X3518" s="19"/>
      <c r="Y3518" s="19"/>
      <c r="Z3518" s="19"/>
    </row>
    <row r="3519">
      <c r="A3519" s="24"/>
      <c r="B3519" s="19"/>
      <c r="C3519" s="19"/>
      <c r="D3519" s="19"/>
      <c r="E3519" s="19"/>
      <c r="F3519" s="19"/>
      <c r="G3519" s="19"/>
      <c r="H3519" s="19"/>
      <c r="I3519" s="19"/>
      <c r="J3519" s="19"/>
      <c r="K3519" s="19"/>
      <c r="L3519" s="25"/>
      <c r="M3519" s="25"/>
      <c r="N3519" s="25"/>
      <c r="O3519" s="25"/>
      <c r="P3519" s="25"/>
      <c r="Q3519" s="19"/>
      <c r="R3519" s="19"/>
      <c r="S3519" s="19"/>
      <c r="T3519" s="19"/>
      <c r="U3519" s="25"/>
      <c r="V3519" s="19"/>
      <c r="W3519" s="19"/>
      <c r="X3519" s="19"/>
      <c r="Y3519" s="19"/>
      <c r="Z3519" s="19"/>
    </row>
    <row r="3520">
      <c r="A3520" s="24"/>
      <c r="B3520" s="19"/>
      <c r="C3520" s="19"/>
      <c r="D3520" s="19"/>
      <c r="E3520" s="19"/>
      <c r="F3520" s="19"/>
      <c r="G3520" s="19"/>
      <c r="H3520" s="19"/>
      <c r="I3520" s="19"/>
      <c r="J3520" s="19"/>
      <c r="K3520" s="19"/>
      <c r="L3520" s="25"/>
      <c r="M3520" s="25"/>
      <c r="N3520" s="25"/>
      <c r="O3520" s="25"/>
      <c r="P3520" s="25"/>
      <c r="Q3520" s="19"/>
      <c r="R3520" s="19"/>
      <c r="S3520" s="19"/>
      <c r="T3520" s="19"/>
      <c r="U3520" s="25"/>
      <c r="V3520" s="19"/>
      <c r="W3520" s="19"/>
      <c r="X3520" s="19"/>
      <c r="Y3520" s="19"/>
      <c r="Z3520" s="19"/>
    </row>
    <row r="3521">
      <c r="A3521" s="24"/>
      <c r="B3521" s="19"/>
      <c r="C3521" s="19"/>
      <c r="D3521" s="19"/>
      <c r="E3521" s="19"/>
      <c r="F3521" s="19"/>
      <c r="G3521" s="19"/>
      <c r="H3521" s="19"/>
      <c r="I3521" s="19"/>
      <c r="J3521" s="19"/>
      <c r="K3521" s="19"/>
      <c r="L3521" s="25"/>
      <c r="M3521" s="25"/>
      <c r="N3521" s="25"/>
      <c r="O3521" s="25"/>
      <c r="P3521" s="25"/>
      <c r="Q3521" s="19"/>
      <c r="R3521" s="19"/>
      <c r="S3521" s="19"/>
      <c r="T3521" s="19"/>
      <c r="U3521" s="25"/>
      <c r="V3521" s="19"/>
      <c r="W3521" s="19"/>
      <c r="X3521" s="19"/>
      <c r="Y3521" s="19"/>
      <c r="Z3521" s="19"/>
    </row>
    <row r="3522">
      <c r="A3522" s="24"/>
      <c r="B3522" s="19"/>
      <c r="C3522" s="19"/>
      <c r="D3522" s="19"/>
      <c r="E3522" s="19"/>
      <c r="F3522" s="19"/>
      <c r="G3522" s="19"/>
      <c r="H3522" s="19"/>
      <c r="I3522" s="19"/>
      <c r="J3522" s="19"/>
      <c r="K3522" s="19"/>
      <c r="L3522" s="25"/>
      <c r="M3522" s="25"/>
      <c r="N3522" s="25"/>
      <c r="O3522" s="25"/>
      <c r="P3522" s="25"/>
      <c r="Q3522" s="19"/>
      <c r="R3522" s="19"/>
      <c r="S3522" s="19"/>
      <c r="T3522" s="19"/>
      <c r="U3522" s="25"/>
      <c r="V3522" s="19"/>
      <c r="W3522" s="19"/>
      <c r="X3522" s="19"/>
      <c r="Y3522" s="19"/>
      <c r="Z3522" s="19"/>
    </row>
    <row r="3523">
      <c r="A3523" s="24"/>
      <c r="B3523" s="19"/>
      <c r="C3523" s="19"/>
      <c r="D3523" s="19"/>
      <c r="E3523" s="19"/>
      <c r="F3523" s="19"/>
      <c r="G3523" s="19"/>
      <c r="H3523" s="19"/>
      <c r="I3523" s="19"/>
      <c r="J3523" s="19"/>
      <c r="K3523" s="19"/>
      <c r="L3523" s="25"/>
      <c r="M3523" s="25"/>
      <c r="N3523" s="25"/>
      <c r="O3523" s="25"/>
      <c r="P3523" s="25"/>
      <c r="Q3523" s="19"/>
      <c r="R3523" s="19"/>
      <c r="S3523" s="19"/>
      <c r="T3523" s="19"/>
      <c r="U3523" s="25"/>
      <c r="V3523" s="19"/>
      <c r="W3523" s="19"/>
      <c r="X3523" s="19"/>
      <c r="Y3523" s="19"/>
      <c r="Z3523" s="19"/>
    </row>
    <row r="3524">
      <c r="A3524" s="24"/>
      <c r="B3524" s="19"/>
      <c r="C3524" s="19"/>
      <c r="D3524" s="19"/>
      <c r="E3524" s="19"/>
      <c r="F3524" s="19"/>
      <c r="G3524" s="19"/>
      <c r="H3524" s="19"/>
      <c r="I3524" s="19"/>
      <c r="J3524" s="19"/>
      <c r="K3524" s="19"/>
      <c r="L3524" s="25"/>
      <c r="M3524" s="25"/>
      <c r="N3524" s="25"/>
      <c r="O3524" s="25"/>
      <c r="P3524" s="25"/>
      <c r="Q3524" s="19"/>
      <c r="R3524" s="19"/>
      <c r="S3524" s="19"/>
      <c r="T3524" s="19"/>
      <c r="U3524" s="25"/>
      <c r="V3524" s="19"/>
      <c r="W3524" s="19"/>
      <c r="X3524" s="19"/>
      <c r="Y3524" s="19"/>
      <c r="Z3524" s="19"/>
    </row>
    <row r="3525">
      <c r="A3525" s="24"/>
      <c r="B3525" s="19"/>
      <c r="C3525" s="19"/>
      <c r="D3525" s="19"/>
      <c r="E3525" s="19"/>
      <c r="F3525" s="19"/>
      <c r="G3525" s="19"/>
      <c r="H3525" s="19"/>
      <c r="I3525" s="19"/>
      <c r="J3525" s="19"/>
      <c r="K3525" s="19"/>
      <c r="L3525" s="25"/>
      <c r="M3525" s="25"/>
      <c r="N3525" s="25"/>
      <c r="O3525" s="25"/>
      <c r="P3525" s="25"/>
      <c r="Q3525" s="19"/>
      <c r="R3525" s="19"/>
      <c r="S3525" s="19"/>
      <c r="T3525" s="19"/>
      <c r="U3525" s="25"/>
      <c r="V3525" s="19"/>
      <c r="W3525" s="19"/>
      <c r="X3525" s="19"/>
      <c r="Y3525" s="19"/>
      <c r="Z3525" s="19"/>
    </row>
    <row r="3526">
      <c r="A3526" s="24"/>
      <c r="B3526" s="19"/>
      <c r="C3526" s="19"/>
      <c r="D3526" s="19"/>
      <c r="E3526" s="19"/>
      <c r="F3526" s="19"/>
      <c r="G3526" s="19"/>
      <c r="H3526" s="19"/>
      <c r="I3526" s="19"/>
      <c r="J3526" s="19"/>
      <c r="K3526" s="19"/>
      <c r="L3526" s="25"/>
      <c r="M3526" s="25"/>
      <c r="N3526" s="25"/>
      <c r="O3526" s="25"/>
      <c r="P3526" s="25"/>
      <c r="Q3526" s="19"/>
      <c r="R3526" s="19"/>
      <c r="S3526" s="19"/>
      <c r="T3526" s="19"/>
      <c r="U3526" s="25"/>
      <c r="V3526" s="19"/>
      <c r="W3526" s="19"/>
      <c r="X3526" s="19"/>
      <c r="Y3526" s="19"/>
      <c r="Z3526" s="19"/>
    </row>
    <row r="3527">
      <c r="A3527" s="24"/>
      <c r="B3527" s="19"/>
      <c r="C3527" s="19"/>
      <c r="D3527" s="19"/>
      <c r="E3527" s="19"/>
      <c r="F3527" s="19"/>
      <c r="G3527" s="19"/>
      <c r="H3527" s="19"/>
      <c r="I3527" s="19"/>
      <c r="J3527" s="19"/>
      <c r="K3527" s="19"/>
      <c r="L3527" s="25"/>
      <c r="M3527" s="25"/>
      <c r="N3527" s="25"/>
      <c r="O3527" s="25"/>
      <c r="P3527" s="25"/>
      <c r="Q3527" s="19"/>
      <c r="R3527" s="19"/>
      <c r="S3527" s="19"/>
      <c r="T3527" s="19"/>
      <c r="U3527" s="25"/>
      <c r="V3527" s="19"/>
      <c r="W3527" s="19"/>
      <c r="X3527" s="19"/>
      <c r="Y3527" s="19"/>
      <c r="Z3527" s="19"/>
    </row>
    <row r="3528">
      <c r="A3528" s="24"/>
      <c r="B3528" s="19"/>
      <c r="C3528" s="19"/>
      <c r="D3528" s="19"/>
      <c r="E3528" s="19"/>
      <c r="F3528" s="19"/>
      <c r="G3528" s="19"/>
      <c r="H3528" s="19"/>
      <c r="I3528" s="19"/>
      <c r="J3528" s="19"/>
      <c r="K3528" s="19"/>
      <c r="L3528" s="25"/>
      <c r="M3528" s="25"/>
      <c r="N3528" s="25"/>
      <c r="O3528" s="25"/>
      <c r="P3528" s="25"/>
      <c r="Q3528" s="19"/>
      <c r="R3528" s="19"/>
      <c r="S3528" s="19"/>
      <c r="T3528" s="19"/>
      <c r="U3528" s="25"/>
      <c r="V3528" s="19"/>
      <c r="W3528" s="19"/>
      <c r="X3528" s="19"/>
      <c r="Y3528" s="19"/>
      <c r="Z3528" s="19"/>
    </row>
    <row r="3529">
      <c r="A3529" s="24"/>
      <c r="B3529" s="19"/>
      <c r="C3529" s="19"/>
      <c r="D3529" s="19"/>
      <c r="E3529" s="19"/>
      <c r="F3529" s="19"/>
      <c r="G3529" s="19"/>
      <c r="H3529" s="19"/>
      <c r="I3529" s="19"/>
      <c r="J3529" s="19"/>
      <c r="K3529" s="19"/>
      <c r="L3529" s="25"/>
      <c r="M3529" s="25"/>
      <c r="N3529" s="25"/>
      <c r="O3529" s="25"/>
      <c r="P3529" s="25"/>
      <c r="Q3529" s="19"/>
      <c r="R3529" s="19"/>
      <c r="S3529" s="19"/>
      <c r="T3529" s="19"/>
      <c r="U3529" s="25"/>
      <c r="V3529" s="19"/>
      <c r="W3529" s="19"/>
      <c r="X3529" s="19"/>
      <c r="Y3529" s="19"/>
      <c r="Z3529" s="19"/>
    </row>
    <row r="3530">
      <c r="A3530" s="24"/>
      <c r="B3530" s="19"/>
      <c r="C3530" s="19"/>
      <c r="D3530" s="19"/>
      <c r="E3530" s="19"/>
      <c r="F3530" s="19"/>
      <c r="G3530" s="19"/>
      <c r="H3530" s="19"/>
      <c r="I3530" s="19"/>
      <c r="J3530" s="19"/>
      <c r="K3530" s="19"/>
      <c r="L3530" s="25"/>
      <c r="M3530" s="25"/>
      <c r="N3530" s="25"/>
      <c r="O3530" s="25"/>
      <c r="P3530" s="25"/>
      <c r="Q3530" s="19"/>
      <c r="R3530" s="19"/>
      <c r="S3530" s="19"/>
      <c r="T3530" s="19"/>
      <c r="U3530" s="25"/>
      <c r="V3530" s="19"/>
      <c r="W3530" s="19"/>
      <c r="X3530" s="19"/>
      <c r="Y3530" s="19"/>
      <c r="Z3530" s="19"/>
    </row>
    <row r="3531">
      <c r="A3531" s="24"/>
      <c r="B3531" s="19"/>
      <c r="C3531" s="19"/>
      <c r="D3531" s="19"/>
      <c r="E3531" s="19"/>
      <c r="F3531" s="19"/>
      <c r="G3531" s="19"/>
      <c r="H3531" s="19"/>
      <c r="I3531" s="19"/>
      <c r="J3531" s="19"/>
      <c r="K3531" s="19"/>
      <c r="L3531" s="25"/>
      <c r="M3531" s="25"/>
      <c r="N3531" s="25"/>
      <c r="O3531" s="25"/>
      <c r="P3531" s="25"/>
      <c r="Q3531" s="19"/>
      <c r="R3531" s="19"/>
      <c r="S3531" s="19"/>
      <c r="T3531" s="19"/>
      <c r="U3531" s="25"/>
      <c r="V3531" s="19"/>
      <c r="W3531" s="19"/>
      <c r="X3531" s="19"/>
      <c r="Y3531" s="19"/>
      <c r="Z3531" s="19"/>
    </row>
    <row r="3532">
      <c r="A3532" s="24"/>
      <c r="B3532" s="19"/>
      <c r="C3532" s="19"/>
      <c r="D3532" s="19"/>
      <c r="E3532" s="19"/>
      <c r="F3532" s="19"/>
      <c r="G3532" s="19"/>
      <c r="H3532" s="19"/>
      <c r="I3532" s="19"/>
      <c r="J3532" s="19"/>
      <c r="K3532" s="19"/>
      <c r="L3532" s="25"/>
      <c r="M3532" s="25"/>
      <c r="N3532" s="25"/>
      <c r="O3532" s="25"/>
      <c r="P3532" s="25"/>
      <c r="Q3532" s="19"/>
      <c r="R3532" s="19"/>
      <c r="S3532" s="19"/>
      <c r="T3532" s="19"/>
      <c r="U3532" s="25"/>
      <c r="V3532" s="19"/>
      <c r="W3532" s="19"/>
      <c r="X3532" s="19"/>
      <c r="Y3532" s="19"/>
      <c r="Z3532" s="19"/>
    </row>
    <row r="3533">
      <c r="A3533" s="24"/>
      <c r="B3533" s="19"/>
      <c r="C3533" s="19"/>
      <c r="D3533" s="19"/>
      <c r="E3533" s="19"/>
      <c r="F3533" s="19"/>
      <c r="G3533" s="19"/>
      <c r="H3533" s="19"/>
      <c r="I3533" s="19"/>
      <c r="J3533" s="19"/>
      <c r="K3533" s="19"/>
      <c r="L3533" s="25"/>
      <c r="M3533" s="25"/>
      <c r="N3533" s="25"/>
      <c r="O3533" s="25"/>
      <c r="P3533" s="25"/>
      <c r="Q3533" s="19"/>
      <c r="R3533" s="19"/>
      <c r="S3533" s="19"/>
      <c r="T3533" s="19"/>
      <c r="U3533" s="25"/>
      <c r="V3533" s="19"/>
      <c r="W3533" s="19"/>
      <c r="X3533" s="19"/>
      <c r="Y3533" s="19"/>
      <c r="Z3533" s="19"/>
    </row>
    <row r="3534">
      <c r="A3534" s="24"/>
      <c r="B3534" s="19"/>
      <c r="C3534" s="19"/>
      <c r="D3534" s="19"/>
      <c r="E3534" s="19"/>
      <c r="F3534" s="19"/>
      <c r="G3534" s="19"/>
      <c r="H3534" s="19"/>
      <c r="I3534" s="19"/>
      <c r="J3534" s="19"/>
      <c r="K3534" s="19"/>
      <c r="L3534" s="25"/>
      <c r="M3534" s="25"/>
      <c r="N3534" s="25"/>
      <c r="O3534" s="25"/>
      <c r="P3534" s="25"/>
      <c r="Q3534" s="19"/>
      <c r="R3534" s="19"/>
      <c r="S3534" s="19"/>
      <c r="T3534" s="19"/>
      <c r="U3534" s="25"/>
      <c r="V3534" s="19"/>
      <c r="W3534" s="19"/>
      <c r="X3534" s="19"/>
      <c r="Y3534" s="19"/>
      <c r="Z3534" s="19"/>
    </row>
    <row r="3535">
      <c r="A3535" s="24"/>
      <c r="B3535" s="19"/>
      <c r="C3535" s="19"/>
      <c r="D3535" s="19"/>
      <c r="E3535" s="19"/>
      <c r="F3535" s="19"/>
      <c r="G3535" s="19"/>
      <c r="H3535" s="19"/>
      <c r="I3535" s="19"/>
      <c r="J3535" s="19"/>
      <c r="K3535" s="19"/>
      <c r="L3535" s="25"/>
      <c r="M3535" s="25"/>
      <c r="N3535" s="25"/>
      <c r="O3535" s="25"/>
      <c r="P3535" s="25"/>
      <c r="Q3535" s="19"/>
      <c r="R3535" s="19"/>
      <c r="S3535" s="19"/>
      <c r="T3535" s="19"/>
      <c r="U3535" s="25"/>
      <c r="V3535" s="19"/>
      <c r="W3535" s="19"/>
      <c r="X3535" s="19"/>
      <c r="Y3535" s="19"/>
      <c r="Z3535" s="19"/>
    </row>
    <row r="3536">
      <c r="A3536" s="24"/>
      <c r="B3536" s="19"/>
      <c r="C3536" s="19"/>
      <c r="D3536" s="19"/>
      <c r="E3536" s="19"/>
      <c r="F3536" s="19"/>
      <c r="G3536" s="19"/>
      <c r="H3536" s="19"/>
      <c r="I3536" s="19"/>
      <c r="J3536" s="19"/>
      <c r="K3536" s="19"/>
      <c r="L3536" s="25"/>
      <c r="M3536" s="25"/>
      <c r="N3536" s="25"/>
      <c r="O3536" s="25"/>
      <c r="P3536" s="25"/>
      <c r="Q3536" s="19"/>
      <c r="R3536" s="19"/>
      <c r="S3536" s="19"/>
      <c r="T3536" s="19"/>
      <c r="U3536" s="25"/>
      <c r="V3536" s="19"/>
      <c r="W3536" s="19"/>
      <c r="X3536" s="19"/>
      <c r="Y3536" s="19"/>
      <c r="Z3536" s="19"/>
    </row>
    <row r="3537">
      <c r="A3537" s="24"/>
      <c r="B3537" s="19"/>
      <c r="C3537" s="19"/>
      <c r="D3537" s="19"/>
      <c r="E3537" s="19"/>
      <c r="F3537" s="19"/>
      <c r="G3537" s="19"/>
      <c r="H3537" s="19"/>
      <c r="I3537" s="19"/>
      <c r="J3537" s="19"/>
      <c r="K3537" s="19"/>
      <c r="L3537" s="25"/>
      <c r="M3537" s="25"/>
      <c r="N3537" s="25"/>
      <c r="O3537" s="25"/>
      <c r="P3537" s="25"/>
      <c r="Q3537" s="19"/>
      <c r="R3537" s="19"/>
      <c r="S3537" s="19"/>
      <c r="T3537" s="19"/>
      <c r="U3537" s="25"/>
      <c r="V3537" s="19"/>
      <c r="W3537" s="19"/>
      <c r="X3537" s="19"/>
      <c r="Y3537" s="19"/>
      <c r="Z3537" s="19"/>
    </row>
    <row r="3538">
      <c r="A3538" s="24"/>
      <c r="B3538" s="19"/>
      <c r="C3538" s="19"/>
      <c r="D3538" s="19"/>
      <c r="E3538" s="19"/>
      <c r="F3538" s="19"/>
      <c r="G3538" s="19"/>
      <c r="H3538" s="19"/>
      <c r="I3538" s="19"/>
      <c r="J3538" s="19"/>
      <c r="K3538" s="19"/>
      <c r="L3538" s="25"/>
      <c r="M3538" s="25"/>
      <c r="N3538" s="25"/>
      <c r="O3538" s="25"/>
      <c r="P3538" s="25"/>
      <c r="Q3538" s="19"/>
      <c r="R3538" s="19"/>
      <c r="S3538" s="19"/>
      <c r="T3538" s="19"/>
      <c r="U3538" s="25"/>
      <c r="V3538" s="19"/>
      <c r="W3538" s="19"/>
      <c r="X3538" s="19"/>
      <c r="Y3538" s="19"/>
      <c r="Z3538" s="19"/>
    </row>
    <row r="3539">
      <c r="A3539" s="24"/>
      <c r="B3539" s="19"/>
      <c r="C3539" s="19"/>
      <c r="D3539" s="19"/>
      <c r="E3539" s="19"/>
      <c r="F3539" s="19"/>
      <c r="G3539" s="19"/>
      <c r="H3539" s="19"/>
      <c r="I3539" s="19"/>
      <c r="J3539" s="19"/>
      <c r="K3539" s="19"/>
      <c r="L3539" s="25"/>
      <c r="M3539" s="25"/>
      <c r="N3539" s="25"/>
      <c r="O3539" s="25"/>
      <c r="P3539" s="25"/>
      <c r="Q3539" s="19"/>
      <c r="R3539" s="19"/>
      <c r="S3539" s="19"/>
      <c r="T3539" s="19"/>
      <c r="U3539" s="25"/>
      <c r="V3539" s="19"/>
      <c r="W3539" s="19"/>
      <c r="X3539" s="19"/>
      <c r="Y3539" s="19"/>
      <c r="Z3539" s="19"/>
    </row>
    <row r="3540">
      <c r="A3540" s="24"/>
      <c r="B3540" s="19"/>
      <c r="C3540" s="19"/>
      <c r="D3540" s="19"/>
      <c r="E3540" s="19"/>
      <c r="F3540" s="19"/>
      <c r="G3540" s="19"/>
      <c r="H3540" s="19"/>
      <c r="I3540" s="19"/>
      <c r="J3540" s="19"/>
      <c r="K3540" s="19"/>
      <c r="L3540" s="25"/>
      <c r="M3540" s="25"/>
      <c r="N3540" s="25"/>
      <c r="O3540" s="25"/>
      <c r="P3540" s="25"/>
      <c r="Q3540" s="19"/>
      <c r="R3540" s="19"/>
      <c r="S3540" s="19"/>
      <c r="T3540" s="19"/>
      <c r="U3540" s="25"/>
      <c r="V3540" s="19"/>
      <c r="W3540" s="19"/>
      <c r="X3540" s="19"/>
      <c r="Y3540" s="19"/>
      <c r="Z3540" s="19"/>
    </row>
    <row r="3541">
      <c r="A3541" s="24"/>
      <c r="B3541" s="19"/>
      <c r="C3541" s="19"/>
      <c r="D3541" s="19"/>
      <c r="E3541" s="19"/>
      <c r="F3541" s="19"/>
      <c r="G3541" s="19"/>
      <c r="H3541" s="19"/>
      <c r="I3541" s="19"/>
      <c r="J3541" s="19"/>
      <c r="K3541" s="19"/>
      <c r="L3541" s="25"/>
      <c r="M3541" s="25"/>
      <c r="N3541" s="25"/>
      <c r="O3541" s="25"/>
      <c r="P3541" s="25"/>
      <c r="Q3541" s="19"/>
      <c r="R3541" s="19"/>
      <c r="S3541" s="19"/>
      <c r="T3541" s="19"/>
      <c r="U3541" s="25"/>
      <c r="V3541" s="19"/>
      <c r="W3541" s="19"/>
      <c r="X3541" s="19"/>
      <c r="Y3541" s="19"/>
      <c r="Z3541" s="19"/>
    </row>
    <row r="3542">
      <c r="A3542" s="24"/>
      <c r="B3542" s="19"/>
      <c r="C3542" s="19"/>
      <c r="D3542" s="19"/>
      <c r="E3542" s="19"/>
      <c r="F3542" s="19"/>
      <c r="G3542" s="19"/>
      <c r="H3542" s="19"/>
      <c r="I3542" s="19"/>
      <c r="J3542" s="19"/>
      <c r="K3542" s="19"/>
      <c r="L3542" s="25"/>
      <c r="M3542" s="25"/>
      <c r="N3542" s="25"/>
      <c r="O3542" s="25"/>
      <c r="P3542" s="25"/>
      <c r="Q3542" s="19"/>
      <c r="R3542" s="19"/>
      <c r="S3542" s="19"/>
      <c r="T3542" s="19"/>
      <c r="U3542" s="25"/>
      <c r="V3542" s="19"/>
      <c r="W3542" s="19"/>
      <c r="X3542" s="19"/>
      <c r="Y3542" s="19"/>
      <c r="Z3542" s="19"/>
    </row>
    <row r="3543">
      <c r="A3543" s="24"/>
      <c r="B3543" s="19"/>
      <c r="C3543" s="19"/>
      <c r="D3543" s="19"/>
      <c r="E3543" s="19"/>
      <c r="F3543" s="19"/>
      <c r="G3543" s="19"/>
      <c r="H3543" s="19"/>
      <c r="I3543" s="19"/>
      <c r="J3543" s="19"/>
      <c r="K3543" s="19"/>
      <c r="L3543" s="25"/>
      <c r="M3543" s="25"/>
      <c r="N3543" s="25"/>
      <c r="O3543" s="25"/>
      <c r="P3543" s="25"/>
      <c r="Q3543" s="19"/>
      <c r="R3543" s="19"/>
      <c r="S3543" s="19"/>
      <c r="T3543" s="19"/>
      <c r="U3543" s="25"/>
      <c r="V3543" s="19"/>
      <c r="W3543" s="19"/>
      <c r="X3543" s="19"/>
      <c r="Y3543" s="19"/>
      <c r="Z3543" s="19"/>
    </row>
    <row r="3544">
      <c r="A3544" s="24"/>
      <c r="B3544" s="19"/>
      <c r="C3544" s="19"/>
      <c r="D3544" s="19"/>
      <c r="E3544" s="19"/>
      <c r="F3544" s="19"/>
      <c r="G3544" s="19"/>
      <c r="H3544" s="19"/>
      <c r="I3544" s="19"/>
      <c r="J3544" s="19"/>
      <c r="K3544" s="19"/>
      <c r="L3544" s="25"/>
      <c r="M3544" s="25"/>
      <c r="N3544" s="25"/>
      <c r="O3544" s="25"/>
      <c r="P3544" s="25"/>
      <c r="Q3544" s="19"/>
      <c r="R3544" s="19"/>
      <c r="S3544" s="19"/>
      <c r="T3544" s="19"/>
      <c r="U3544" s="25"/>
      <c r="V3544" s="19"/>
      <c r="W3544" s="19"/>
      <c r="X3544" s="19"/>
      <c r="Y3544" s="19"/>
      <c r="Z3544" s="19"/>
    </row>
    <row r="3545">
      <c r="A3545" s="24"/>
      <c r="B3545" s="19"/>
      <c r="C3545" s="19"/>
      <c r="D3545" s="19"/>
      <c r="E3545" s="19"/>
      <c r="F3545" s="19"/>
      <c r="G3545" s="19"/>
      <c r="H3545" s="19"/>
      <c r="I3545" s="19"/>
      <c r="J3545" s="19"/>
      <c r="K3545" s="19"/>
      <c r="L3545" s="25"/>
      <c r="M3545" s="25"/>
      <c r="N3545" s="25"/>
      <c r="O3545" s="25"/>
      <c r="P3545" s="25"/>
      <c r="Q3545" s="19"/>
      <c r="R3545" s="19"/>
      <c r="S3545" s="19"/>
      <c r="T3545" s="19"/>
      <c r="U3545" s="25"/>
      <c r="V3545" s="19"/>
      <c r="W3545" s="19"/>
      <c r="X3545" s="19"/>
      <c r="Y3545" s="19"/>
      <c r="Z3545" s="19"/>
    </row>
    <row r="3546">
      <c r="A3546" s="24"/>
      <c r="B3546" s="19"/>
      <c r="C3546" s="19"/>
      <c r="D3546" s="19"/>
      <c r="E3546" s="19"/>
      <c r="F3546" s="19"/>
      <c r="G3546" s="19"/>
      <c r="H3546" s="19"/>
      <c r="I3546" s="19"/>
      <c r="J3546" s="19"/>
      <c r="K3546" s="19"/>
      <c r="L3546" s="25"/>
      <c r="M3546" s="25"/>
      <c r="N3546" s="25"/>
      <c r="O3546" s="25"/>
      <c r="P3546" s="25"/>
      <c r="Q3546" s="19"/>
      <c r="R3546" s="19"/>
      <c r="S3546" s="19"/>
      <c r="T3546" s="19"/>
      <c r="U3546" s="25"/>
      <c r="V3546" s="19"/>
      <c r="W3546" s="19"/>
      <c r="X3546" s="19"/>
      <c r="Y3546" s="19"/>
      <c r="Z3546" s="19"/>
    </row>
    <row r="3547">
      <c r="A3547" s="24"/>
      <c r="B3547" s="19"/>
      <c r="C3547" s="19"/>
      <c r="D3547" s="19"/>
      <c r="E3547" s="19"/>
      <c r="F3547" s="19"/>
      <c r="G3547" s="19"/>
      <c r="H3547" s="19"/>
      <c r="I3547" s="19"/>
      <c r="J3547" s="19"/>
      <c r="K3547" s="19"/>
      <c r="L3547" s="25"/>
      <c r="M3547" s="25"/>
      <c r="N3547" s="25"/>
      <c r="O3547" s="25"/>
      <c r="P3547" s="25"/>
      <c r="Q3547" s="19"/>
      <c r="R3547" s="19"/>
      <c r="S3547" s="19"/>
      <c r="T3547" s="19"/>
      <c r="U3547" s="25"/>
      <c r="V3547" s="19"/>
      <c r="W3547" s="19"/>
      <c r="X3547" s="19"/>
      <c r="Y3547" s="19"/>
      <c r="Z3547" s="19"/>
    </row>
    <row r="3548">
      <c r="A3548" s="24"/>
      <c r="B3548" s="19"/>
      <c r="C3548" s="19"/>
      <c r="D3548" s="19"/>
      <c r="E3548" s="19"/>
      <c r="F3548" s="19"/>
      <c r="G3548" s="19"/>
      <c r="H3548" s="19"/>
      <c r="I3548" s="19"/>
      <c r="J3548" s="19"/>
      <c r="K3548" s="19"/>
      <c r="L3548" s="25"/>
      <c r="M3548" s="25"/>
      <c r="N3548" s="25"/>
      <c r="O3548" s="25"/>
      <c r="P3548" s="25"/>
      <c r="Q3548" s="19"/>
      <c r="R3548" s="19"/>
      <c r="S3548" s="19"/>
      <c r="T3548" s="19"/>
      <c r="U3548" s="25"/>
      <c r="V3548" s="19"/>
      <c r="W3548" s="19"/>
      <c r="X3548" s="19"/>
      <c r="Y3548" s="19"/>
      <c r="Z3548" s="19"/>
    </row>
    <row r="3549">
      <c r="A3549" s="24"/>
      <c r="B3549" s="19"/>
      <c r="C3549" s="19"/>
      <c r="D3549" s="19"/>
      <c r="E3549" s="19"/>
      <c r="F3549" s="19"/>
      <c r="G3549" s="19"/>
      <c r="H3549" s="19"/>
      <c r="I3549" s="19"/>
      <c r="J3549" s="19"/>
      <c r="K3549" s="19"/>
      <c r="L3549" s="25"/>
      <c r="M3549" s="25"/>
      <c r="N3549" s="25"/>
      <c r="O3549" s="25"/>
      <c r="P3549" s="25"/>
      <c r="Q3549" s="19"/>
      <c r="R3549" s="19"/>
      <c r="S3549" s="19"/>
      <c r="T3549" s="19"/>
      <c r="U3549" s="25"/>
      <c r="V3549" s="19"/>
      <c r="W3549" s="19"/>
      <c r="X3549" s="19"/>
      <c r="Y3549" s="19"/>
      <c r="Z3549" s="19"/>
    </row>
    <row r="3550">
      <c r="A3550" s="24"/>
      <c r="B3550" s="19"/>
      <c r="C3550" s="19"/>
      <c r="D3550" s="19"/>
      <c r="E3550" s="19"/>
      <c r="F3550" s="19"/>
      <c r="G3550" s="19"/>
      <c r="H3550" s="19"/>
      <c r="I3550" s="19"/>
      <c r="J3550" s="19"/>
      <c r="K3550" s="19"/>
      <c r="L3550" s="25"/>
      <c r="M3550" s="25"/>
      <c r="N3550" s="25"/>
      <c r="O3550" s="25"/>
      <c r="P3550" s="25"/>
      <c r="Q3550" s="19"/>
      <c r="R3550" s="19"/>
      <c r="S3550" s="19"/>
      <c r="T3550" s="19"/>
      <c r="U3550" s="25"/>
      <c r="V3550" s="19"/>
      <c r="W3550" s="19"/>
      <c r="X3550" s="19"/>
      <c r="Y3550" s="19"/>
      <c r="Z3550" s="19"/>
    </row>
    <row r="3551">
      <c r="A3551" s="24"/>
      <c r="B3551" s="19"/>
      <c r="C3551" s="19"/>
      <c r="D3551" s="19"/>
      <c r="E3551" s="19"/>
      <c r="F3551" s="19"/>
      <c r="G3551" s="19"/>
      <c r="H3551" s="19"/>
      <c r="I3551" s="19"/>
      <c r="J3551" s="19"/>
      <c r="K3551" s="19"/>
      <c r="L3551" s="25"/>
      <c r="M3551" s="25"/>
      <c r="N3551" s="25"/>
      <c r="O3551" s="25"/>
      <c r="P3551" s="25"/>
      <c r="Q3551" s="19"/>
      <c r="R3551" s="19"/>
      <c r="S3551" s="19"/>
      <c r="T3551" s="19"/>
      <c r="U3551" s="25"/>
      <c r="V3551" s="19"/>
      <c r="W3551" s="19"/>
      <c r="X3551" s="19"/>
      <c r="Y3551" s="19"/>
      <c r="Z3551" s="19"/>
    </row>
    <row r="3552">
      <c r="A3552" s="24"/>
      <c r="B3552" s="19"/>
      <c r="C3552" s="19"/>
      <c r="D3552" s="19"/>
      <c r="E3552" s="19"/>
      <c r="F3552" s="19"/>
      <c r="G3552" s="19"/>
      <c r="H3552" s="19"/>
      <c r="I3552" s="19"/>
      <c r="J3552" s="19"/>
      <c r="K3552" s="19"/>
      <c r="L3552" s="25"/>
      <c r="M3552" s="25"/>
      <c r="N3552" s="25"/>
      <c r="O3552" s="25"/>
      <c r="P3552" s="25"/>
      <c r="Q3552" s="19"/>
      <c r="R3552" s="19"/>
      <c r="S3552" s="19"/>
      <c r="T3552" s="19"/>
      <c r="U3552" s="25"/>
      <c r="V3552" s="19"/>
      <c r="W3552" s="19"/>
      <c r="X3552" s="19"/>
      <c r="Y3552" s="19"/>
      <c r="Z3552" s="19"/>
    </row>
    <row r="3553">
      <c r="A3553" s="24"/>
      <c r="B3553" s="19"/>
      <c r="C3553" s="19"/>
      <c r="D3553" s="19"/>
      <c r="E3553" s="19"/>
      <c r="F3553" s="19"/>
      <c r="G3553" s="19"/>
      <c r="H3553" s="19"/>
      <c r="I3553" s="19"/>
      <c r="J3553" s="19"/>
      <c r="K3553" s="19"/>
      <c r="L3553" s="25"/>
      <c r="M3553" s="25"/>
      <c r="N3553" s="25"/>
      <c r="O3553" s="25"/>
      <c r="P3553" s="25"/>
      <c r="Q3553" s="19"/>
      <c r="R3553" s="19"/>
      <c r="S3553" s="19"/>
      <c r="T3553" s="19"/>
      <c r="U3553" s="25"/>
      <c r="V3553" s="19"/>
      <c r="W3553" s="19"/>
      <c r="X3553" s="19"/>
      <c r="Y3553" s="19"/>
      <c r="Z3553" s="19"/>
    </row>
    <row r="3554">
      <c r="A3554" s="24"/>
      <c r="B3554" s="19"/>
      <c r="C3554" s="19"/>
      <c r="D3554" s="19"/>
      <c r="E3554" s="19"/>
      <c r="F3554" s="19"/>
      <c r="G3554" s="19"/>
      <c r="H3554" s="19"/>
      <c r="I3554" s="19"/>
      <c r="J3554" s="19"/>
      <c r="K3554" s="19"/>
      <c r="L3554" s="25"/>
      <c r="M3554" s="25"/>
      <c r="N3554" s="25"/>
      <c r="O3554" s="25"/>
      <c r="P3554" s="25"/>
      <c r="Q3554" s="19"/>
      <c r="R3554" s="19"/>
      <c r="S3554" s="19"/>
      <c r="T3554" s="19"/>
      <c r="U3554" s="25"/>
      <c r="V3554" s="19"/>
      <c r="W3554" s="19"/>
      <c r="X3554" s="19"/>
      <c r="Y3554" s="19"/>
      <c r="Z3554" s="19"/>
    </row>
    <row r="3555">
      <c r="A3555" s="24"/>
      <c r="B3555" s="19"/>
      <c r="C3555" s="19"/>
      <c r="D3555" s="19"/>
      <c r="E3555" s="19"/>
      <c r="F3555" s="19"/>
      <c r="G3555" s="19"/>
      <c r="H3555" s="19"/>
      <c r="I3555" s="19"/>
      <c r="J3555" s="19"/>
      <c r="K3555" s="19"/>
      <c r="L3555" s="25"/>
      <c r="M3555" s="25"/>
      <c r="N3555" s="25"/>
      <c r="O3555" s="25"/>
      <c r="P3555" s="25"/>
      <c r="Q3555" s="19"/>
      <c r="R3555" s="19"/>
      <c r="S3555" s="19"/>
      <c r="T3555" s="19"/>
      <c r="U3555" s="25"/>
      <c r="V3555" s="19"/>
      <c r="W3555" s="19"/>
      <c r="X3555" s="19"/>
      <c r="Y3555" s="19"/>
      <c r="Z3555" s="19"/>
    </row>
    <row r="3556">
      <c r="A3556" s="24"/>
      <c r="B3556" s="19"/>
      <c r="C3556" s="19"/>
      <c r="D3556" s="19"/>
      <c r="E3556" s="19"/>
      <c r="F3556" s="19"/>
      <c r="G3556" s="19"/>
      <c r="H3556" s="19"/>
      <c r="I3556" s="19"/>
      <c r="J3556" s="19"/>
      <c r="K3556" s="19"/>
      <c r="L3556" s="25"/>
      <c r="M3556" s="25"/>
      <c r="N3556" s="25"/>
      <c r="O3556" s="25"/>
      <c r="P3556" s="25"/>
      <c r="Q3556" s="19"/>
      <c r="R3556" s="19"/>
      <c r="S3556" s="19"/>
      <c r="T3556" s="19"/>
      <c r="U3556" s="25"/>
      <c r="V3556" s="19"/>
      <c r="W3556" s="19"/>
      <c r="X3556" s="19"/>
      <c r="Y3556" s="19"/>
      <c r="Z3556" s="19"/>
    </row>
    <row r="3557">
      <c r="A3557" s="24"/>
      <c r="B3557" s="19"/>
      <c r="C3557" s="19"/>
      <c r="D3557" s="19"/>
      <c r="E3557" s="19"/>
      <c r="F3557" s="19"/>
      <c r="G3557" s="19"/>
      <c r="H3557" s="19"/>
      <c r="I3557" s="19"/>
      <c r="J3557" s="19"/>
      <c r="K3557" s="19"/>
      <c r="L3557" s="25"/>
      <c r="M3557" s="25"/>
      <c r="N3557" s="25"/>
      <c r="O3557" s="25"/>
      <c r="P3557" s="25"/>
      <c r="Q3557" s="19"/>
      <c r="R3557" s="19"/>
      <c r="S3557" s="19"/>
      <c r="T3557" s="19"/>
      <c r="U3557" s="25"/>
      <c r="V3557" s="19"/>
      <c r="W3557" s="19"/>
      <c r="X3557" s="19"/>
      <c r="Y3557" s="19"/>
      <c r="Z3557" s="19"/>
    </row>
    <row r="3558">
      <c r="A3558" s="24"/>
      <c r="B3558" s="19"/>
      <c r="C3558" s="19"/>
      <c r="D3558" s="19"/>
      <c r="E3558" s="19"/>
      <c r="F3558" s="19"/>
      <c r="G3558" s="19"/>
      <c r="H3558" s="19"/>
      <c r="I3558" s="19"/>
      <c r="J3558" s="19"/>
      <c r="K3558" s="19"/>
      <c r="L3558" s="25"/>
      <c r="M3558" s="25"/>
      <c r="N3558" s="25"/>
      <c r="O3558" s="25"/>
      <c r="P3558" s="25"/>
      <c r="Q3558" s="19"/>
      <c r="R3558" s="19"/>
      <c r="S3558" s="19"/>
      <c r="T3558" s="19"/>
      <c r="U3558" s="25"/>
      <c r="V3558" s="19"/>
      <c r="W3558" s="19"/>
      <c r="X3558" s="19"/>
      <c r="Y3558" s="19"/>
      <c r="Z3558" s="19"/>
    </row>
    <row r="3559">
      <c r="A3559" s="24"/>
      <c r="B3559" s="19"/>
      <c r="C3559" s="19"/>
      <c r="D3559" s="19"/>
      <c r="E3559" s="19"/>
      <c r="F3559" s="19"/>
      <c r="G3559" s="19"/>
      <c r="H3559" s="19"/>
      <c r="I3559" s="19"/>
      <c r="J3559" s="19"/>
      <c r="K3559" s="19"/>
      <c r="L3559" s="25"/>
      <c r="M3559" s="25"/>
      <c r="N3559" s="25"/>
      <c r="O3559" s="25"/>
      <c r="P3559" s="25"/>
      <c r="Q3559" s="19"/>
      <c r="R3559" s="19"/>
      <c r="S3559" s="19"/>
      <c r="T3559" s="19"/>
      <c r="U3559" s="25"/>
      <c r="V3559" s="19"/>
      <c r="W3559" s="19"/>
      <c r="X3559" s="19"/>
      <c r="Y3559" s="19"/>
      <c r="Z3559" s="19"/>
    </row>
    <row r="3560">
      <c r="A3560" s="24"/>
      <c r="B3560" s="19"/>
      <c r="C3560" s="19"/>
      <c r="D3560" s="19"/>
      <c r="E3560" s="19"/>
      <c r="F3560" s="19"/>
      <c r="G3560" s="19"/>
      <c r="H3560" s="19"/>
      <c r="I3560" s="19"/>
      <c r="J3560" s="19"/>
      <c r="K3560" s="19"/>
      <c r="L3560" s="25"/>
      <c r="M3560" s="25"/>
      <c r="N3560" s="25"/>
      <c r="O3560" s="25"/>
      <c r="P3560" s="25"/>
      <c r="Q3560" s="19"/>
      <c r="R3560" s="19"/>
      <c r="S3560" s="19"/>
      <c r="T3560" s="19"/>
      <c r="U3560" s="25"/>
      <c r="V3560" s="19"/>
      <c r="W3560" s="19"/>
      <c r="X3560" s="19"/>
      <c r="Y3560" s="19"/>
      <c r="Z3560" s="19"/>
    </row>
    <row r="3561">
      <c r="A3561" s="24"/>
      <c r="B3561" s="19"/>
      <c r="C3561" s="19"/>
      <c r="D3561" s="19"/>
      <c r="E3561" s="19"/>
      <c r="F3561" s="19"/>
      <c r="G3561" s="19"/>
      <c r="H3561" s="19"/>
      <c r="I3561" s="19"/>
      <c r="J3561" s="19"/>
      <c r="K3561" s="19"/>
      <c r="L3561" s="25"/>
      <c r="M3561" s="25"/>
      <c r="N3561" s="25"/>
      <c r="O3561" s="25"/>
      <c r="P3561" s="25"/>
      <c r="Q3561" s="19"/>
      <c r="R3561" s="19"/>
      <c r="S3561" s="19"/>
      <c r="T3561" s="19"/>
      <c r="U3561" s="25"/>
      <c r="V3561" s="19"/>
      <c r="W3561" s="19"/>
      <c r="X3561" s="19"/>
      <c r="Y3561" s="19"/>
      <c r="Z3561" s="19"/>
    </row>
    <row r="3562">
      <c r="A3562" s="24"/>
      <c r="B3562" s="19"/>
      <c r="C3562" s="19"/>
      <c r="D3562" s="19"/>
      <c r="E3562" s="19"/>
      <c r="F3562" s="19"/>
      <c r="G3562" s="19"/>
      <c r="H3562" s="19"/>
      <c r="I3562" s="19"/>
      <c r="J3562" s="19"/>
      <c r="K3562" s="19"/>
      <c r="L3562" s="25"/>
      <c r="M3562" s="25"/>
      <c r="N3562" s="25"/>
      <c r="O3562" s="25"/>
      <c r="P3562" s="25"/>
      <c r="Q3562" s="19"/>
      <c r="R3562" s="19"/>
      <c r="S3562" s="19"/>
      <c r="T3562" s="19"/>
      <c r="U3562" s="25"/>
      <c r="V3562" s="19"/>
      <c r="W3562" s="19"/>
      <c r="X3562" s="19"/>
      <c r="Y3562" s="19"/>
      <c r="Z3562" s="19"/>
    </row>
    <row r="3563">
      <c r="A3563" s="24"/>
      <c r="B3563" s="19"/>
      <c r="C3563" s="19"/>
      <c r="D3563" s="19"/>
      <c r="E3563" s="19"/>
      <c r="F3563" s="19"/>
      <c r="G3563" s="19"/>
      <c r="H3563" s="19"/>
      <c r="I3563" s="19"/>
      <c r="J3563" s="19"/>
      <c r="K3563" s="19"/>
      <c r="L3563" s="25"/>
      <c r="M3563" s="25"/>
      <c r="N3563" s="25"/>
      <c r="O3563" s="25"/>
      <c r="P3563" s="25"/>
      <c r="Q3563" s="19"/>
      <c r="R3563" s="19"/>
      <c r="S3563" s="19"/>
      <c r="T3563" s="19"/>
      <c r="U3563" s="25"/>
      <c r="V3563" s="19"/>
      <c r="W3563" s="19"/>
      <c r="X3563" s="19"/>
      <c r="Y3563" s="19"/>
      <c r="Z3563" s="19"/>
    </row>
    <row r="3564">
      <c r="A3564" s="24"/>
      <c r="B3564" s="19"/>
      <c r="C3564" s="19"/>
      <c r="D3564" s="19"/>
      <c r="E3564" s="19"/>
      <c r="F3564" s="19"/>
      <c r="G3564" s="19"/>
      <c r="H3564" s="19"/>
      <c r="I3564" s="19"/>
      <c r="J3564" s="19"/>
      <c r="K3564" s="19"/>
      <c r="L3564" s="25"/>
      <c r="M3564" s="25"/>
      <c r="N3564" s="25"/>
      <c r="O3564" s="25"/>
      <c r="P3564" s="25"/>
      <c r="Q3564" s="19"/>
      <c r="R3564" s="19"/>
      <c r="S3564" s="19"/>
      <c r="T3564" s="19"/>
      <c r="U3564" s="25"/>
      <c r="V3564" s="19"/>
      <c r="W3564" s="19"/>
      <c r="X3564" s="19"/>
      <c r="Y3564" s="19"/>
      <c r="Z3564" s="19"/>
    </row>
    <row r="3565">
      <c r="A3565" s="24"/>
      <c r="B3565" s="19"/>
      <c r="C3565" s="19"/>
      <c r="D3565" s="19"/>
      <c r="E3565" s="19"/>
      <c r="F3565" s="19"/>
      <c r="G3565" s="19"/>
      <c r="H3565" s="19"/>
      <c r="I3565" s="19"/>
      <c r="J3565" s="19"/>
      <c r="K3565" s="19"/>
      <c r="L3565" s="25"/>
      <c r="M3565" s="25"/>
      <c r="N3565" s="25"/>
      <c r="O3565" s="25"/>
      <c r="P3565" s="25"/>
      <c r="Q3565" s="19"/>
      <c r="R3565" s="19"/>
      <c r="S3565" s="19"/>
      <c r="T3565" s="19"/>
      <c r="U3565" s="25"/>
      <c r="V3565" s="19"/>
      <c r="W3565" s="19"/>
      <c r="X3565" s="19"/>
      <c r="Y3565" s="19"/>
      <c r="Z3565" s="19"/>
    </row>
    <row r="3566">
      <c r="A3566" s="24"/>
      <c r="B3566" s="19"/>
      <c r="C3566" s="19"/>
      <c r="D3566" s="19"/>
      <c r="E3566" s="19"/>
      <c r="F3566" s="19"/>
      <c r="G3566" s="19"/>
      <c r="H3566" s="19"/>
      <c r="I3566" s="19"/>
      <c r="J3566" s="19"/>
      <c r="K3566" s="19"/>
      <c r="L3566" s="25"/>
      <c r="M3566" s="25"/>
      <c r="N3566" s="25"/>
      <c r="O3566" s="25"/>
      <c r="P3566" s="25"/>
      <c r="Q3566" s="19"/>
      <c r="R3566" s="19"/>
      <c r="S3566" s="19"/>
      <c r="T3566" s="19"/>
      <c r="U3566" s="25"/>
      <c r="V3566" s="19"/>
      <c r="W3566" s="19"/>
      <c r="X3566" s="19"/>
      <c r="Y3566" s="19"/>
      <c r="Z3566" s="19"/>
    </row>
    <row r="3567">
      <c r="A3567" s="24"/>
      <c r="B3567" s="19"/>
      <c r="C3567" s="19"/>
      <c r="D3567" s="19"/>
      <c r="E3567" s="19"/>
      <c r="F3567" s="19"/>
      <c r="G3567" s="19"/>
      <c r="H3567" s="19"/>
      <c r="I3567" s="19"/>
      <c r="J3567" s="19"/>
      <c r="K3567" s="19"/>
      <c r="L3567" s="25"/>
      <c r="M3567" s="25"/>
      <c r="N3567" s="25"/>
      <c r="O3567" s="25"/>
      <c r="P3567" s="25"/>
      <c r="Q3567" s="19"/>
      <c r="R3567" s="19"/>
      <c r="S3567" s="19"/>
      <c r="T3567" s="19"/>
      <c r="U3567" s="25"/>
      <c r="V3567" s="19"/>
      <c r="W3567" s="19"/>
      <c r="X3567" s="19"/>
      <c r="Y3567" s="19"/>
      <c r="Z3567" s="19"/>
    </row>
    <row r="3568">
      <c r="A3568" s="24"/>
      <c r="B3568" s="19"/>
      <c r="C3568" s="19"/>
      <c r="D3568" s="19"/>
      <c r="E3568" s="19"/>
      <c r="F3568" s="19"/>
      <c r="G3568" s="19"/>
      <c r="H3568" s="19"/>
      <c r="I3568" s="19"/>
      <c r="J3568" s="19"/>
      <c r="K3568" s="19"/>
      <c r="L3568" s="25"/>
      <c r="M3568" s="25"/>
      <c r="N3568" s="25"/>
      <c r="O3568" s="25"/>
      <c r="P3568" s="25"/>
      <c r="Q3568" s="19"/>
      <c r="R3568" s="19"/>
      <c r="S3568" s="19"/>
      <c r="T3568" s="19"/>
      <c r="U3568" s="25"/>
      <c r="V3568" s="19"/>
      <c r="W3568" s="19"/>
      <c r="X3568" s="19"/>
      <c r="Y3568" s="19"/>
      <c r="Z3568" s="19"/>
    </row>
    <row r="3569">
      <c r="A3569" s="24"/>
      <c r="B3569" s="19"/>
      <c r="C3569" s="19"/>
      <c r="D3569" s="19"/>
      <c r="E3569" s="19"/>
      <c r="F3569" s="19"/>
      <c r="G3569" s="19"/>
      <c r="H3569" s="19"/>
      <c r="I3569" s="19"/>
      <c r="J3569" s="19"/>
      <c r="K3569" s="19"/>
      <c r="L3569" s="25"/>
      <c r="M3569" s="25"/>
      <c r="N3569" s="25"/>
      <c r="O3569" s="25"/>
      <c r="P3569" s="25"/>
      <c r="Q3569" s="19"/>
      <c r="R3569" s="19"/>
      <c r="S3569" s="19"/>
      <c r="T3569" s="19"/>
      <c r="U3569" s="25"/>
      <c r="V3569" s="19"/>
      <c r="W3569" s="19"/>
      <c r="X3569" s="19"/>
      <c r="Y3569" s="19"/>
      <c r="Z3569" s="19"/>
    </row>
    <row r="3570">
      <c r="A3570" s="24"/>
      <c r="B3570" s="19"/>
      <c r="C3570" s="19"/>
      <c r="D3570" s="19"/>
      <c r="E3570" s="19"/>
      <c r="F3570" s="19"/>
      <c r="G3570" s="19"/>
      <c r="H3570" s="19"/>
      <c r="I3570" s="19"/>
      <c r="J3570" s="19"/>
      <c r="K3570" s="19"/>
      <c r="L3570" s="25"/>
      <c r="M3570" s="25"/>
      <c r="N3570" s="25"/>
      <c r="O3570" s="25"/>
      <c r="P3570" s="25"/>
      <c r="Q3570" s="19"/>
      <c r="R3570" s="19"/>
      <c r="S3570" s="19"/>
      <c r="T3570" s="19"/>
      <c r="U3570" s="25"/>
      <c r="V3570" s="19"/>
      <c r="W3570" s="19"/>
      <c r="X3570" s="19"/>
      <c r="Y3570" s="19"/>
      <c r="Z3570" s="19"/>
    </row>
    <row r="3571">
      <c r="A3571" s="24"/>
      <c r="B3571" s="19"/>
      <c r="C3571" s="19"/>
      <c r="D3571" s="19"/>
      <c r="E3571" s="19"/>
      <c r="F3571" s="19"/>
      <c r="G3571" s="19"/>
      <c r="H3571" s="19"/>
      <c r="I3571" s="19"/>
      <c r="J3571" s="19"/>
      <c r="K3571" s="19"/>
      <c r="L3571" s="25"/>
      <c r="M3571" s="25"/>
      <c r="N3571" s="25"/>
      <c r="O3571" s="25"/>
      <c r="P3571" s="25"/>
      <c r="Q3571" s="19"/>
      <c r="R3571" s="19"/>
      <c r="S3571" s="19"/>
      <c r="T3571" s="19"/>
      <c r="U3571" s="25"/>
      <c r="V3571" s="19"/>
      <c r="W3571" s="19"/>
      <c r="X3571" s="19"/>
      <c r="Y3571" s="19"/>
      <c r="Z3571" s="19"/>
    </row>
    <row r="3572">
      <c r="A3572" s="24"/>
      <c r="B3572" s="19"/>
      <c r="C3572" s="19"/>
      <c r="D3572" s="19"/>
      <c r="E3572" s="19"/>
      <c r="F3572" s="19"/>
      <c r="G3572" s="19"/>
      <c r="H3572" s="19"/>
      <c r="I3572" s="19"/>
      <c r="J3572" s="19"/>
      <c r="K3572" s="19"/>
      <c r="L3572" s="25"/>
      <c r="M3572" s="25"/>
      <c r="N3572" s="25"/>
      <c r="O3572" s="25"/>
      <c r="P3572" s="25"/>
      <c r="Q3572" s="19"/>
      <c r="R3572" s="19"/>
      <c r="S3572" s="19"/>
      <c r="T3572" s="19"/>
      <c r="U3572" s="25"/>
      <c r="V3572" s="19"/>
      <c r="W3572" s="19"/>
      <c r="X3572" s="19"/>
      <c r="Y3572" s="19"/>
      <c r="Z3572" s="19"/>
    </row>
    <row r="3573">
      <c r="A3573" s="24"/>
      <c r="B3573" s="19"/>
      <c r="C3573" s="19"/>
      <c r="D3573" s="19"/>
      <c r="E3573" s="19"/>
      <c r="F3573" s="19"/>
      <c r="G3573" s="19"/>
      <c r="H3573" s="19"/>
      <c r="I3573" s="19"/>
      <c r="J3573" s="19"/>
      <c r="K3573" s="19"/>
      <c r="L3573" s="25"/>
      <c r="M3573" s="25"/>
      <c r="N3573" s="25"/>
      <c r="O3573" s="25"/>
      <c r="P3573" s="25"/>
      <c r="Q3573" s="19"/>
      <c r="R3573" s="19"/>
      <c r="S3573" s="19"/>
      <c r="T3573" s="19"/>
      <c r="U3573" s="25"/>
      <c r="V3573" s="19"/>
      <c r="W3573" s="19"/>
      <c r="X3573" s="19"/>
      <c r="Y3573" s="19"/>
      <c r="Z3573" s="19"/>
    </row>
    <row r="3574">
      <c r="A3574" s="24"/>
      <c r="B3574" s="19"/>
      <c r="C3574" s="19"/>
      <c r="D3574" s="19"/>
      <c r="E3574" s="19"/>
      <c r="F3574" s="19"/>
      <c r="G3574" s="19"/>
      <c r="H3574" s="19"/>
      <c r="I3574" s="19"/>
      <c r="J3574" s="19"/>
      <c r="K3574" s="19"/>
      <c r="L3574" s="25"/>
      <c r="M3574" s="25"/>
      <c r="N3574" s="25"/>
      <c r="O3574" s="25"/>
      <c r="P3574" s="25"/>
      <c r="Q3574" s="19"/>
      <c r="R3574" s="19"/>
      <c r="S3574" s="19"/>
      <c r="T3574" s="19"/>
      <c r="U3574" s="25"/>
      <c r="V3574" s="19"/>
      <c r="W3574" s="19"/>
      <c r="X3574" s="19"/>
      <c r="Y3574" s="19"/>
      <c r="Z3574" s="19"/>
    </row>
    <row r="3575">
      <c r="A3575" s="24"/>
      <c r="B3575" s="19"/>
      <c r="C3575" s="19"/>
      <c r="D3575" s="19"/>
      <c r="E3575" s="19"/>
      <c r="F3575" s="19"/>
      <c r="G3575" s="19"/>
      <c r="H3575" s="19"/>
      <c r="I3575" s="19"/>
      <c r="J3575" s="19"/>
      <c r="K3575" s="19"/>
      <c r="L3575" s="25"/>
      <c r="M3575" s="25"/>
      <c r="N3575" s="25"/>
      <c r="O3575" s="25"/>
      <c r="P3575" s="25"/>
      <c r="Q3575" s="19"/>
      <c r="R3575" s="19"/>
      <c r="S3575" s="19"/>
      <c r="T3575" s="19"/>
      <c r="U3575" s="25"/>
      <c r="V3575" s="19"/>
      <c r="W3575" s="19"/>
      <c r="X3575" s="19"/>
      <c r="Y3575" s="19"/>
      <c r="Z3575" s="19"/>
    </row>
    <row r="3576">
      <c r="A3576" s="24"/>
      <c r="B3576" s="19"/>
      <c r="C3576" s="19"/>
      <c r="D3576" s="19"/>
      <c r="E3576" s="19"/>
      <c r="F3576" s="19"/>
      <c r="G3576" s="19"/>
      <c r="H3576" s="19"/>
      <c r="I3576" s="19"/>
      <c r="J3576" s="19"/>
      <c r="K3576" s="19"/>
      <c r="L3576" s="25"/>
      <c r="M3576" s="25"/>
      <c r="N3576" s="25"/>
      <c r="O3576" s="25"/>
      <c r="P3576" s="25"/>
      <c r="Q3576" s="19"/>
      <c r="R3576" s="19"/>
      <c r="S3576" s="19"/>
      <c r="T3576" s="19"/>
      <c r="U3576" s="25"/>
      <c r="V3576" s="19"/>
      <c r="W3576" s="19"/>
      <c r="X3576" s="19"/>
      <c r="Y3576" s="19"/>
      <c r="Z3576" s="19"/>
    </row>
    <row r="3577">
      <c r="A3577" s="24"/>
      <c r="B3577" s="19"/>
      <c r="C3577" s="19"/>
      <c r="D3577" s="19"/>
      <c r="E3577" s="19"/>
      <c r="F3577" s="19"/>
      <c r="G3577" s="19"/>
      <c r="H3577" s="19"/>
      <c r="I3577" s="19"/>
      <c r="J3577" s="19"/>
      <c r="K3577" s="19"/>
      <c r="L3577" s="25"/>
      <c r="M3577" s="25"/>
      <c r="N3577" s="25"/>
      <c r="O3577" s="25"/>
      <c r="P3577" s="25"/>
      <c r="Q3577" s="19"/>
      <c r="R3577" s="19"/>
      <c r="S3577" s="19"/>
      <c r="T3577" s="19"/>
      <c r="U3577" s="25"/>
      <c r="V3577" s="19"/>
      <c r="W3577" s="19"/>
      <c r="X3577" s="19"/>
      <c r="Y3577" s="19"/>
      <c r="Z3577" s="19"/>
    </row>
    <row r="3578">
      <c r="A3578" s="24"/>
      <c r="B3578" s="19"/>
      <c r="C3578" s="19"/>
      <c r="D3578" s="19"/>
      <c r="E3578" s="19"/>
      <c r="F3578" s="19"/>
      <c r="G3578" s="19"/>
      <c r="H3578" s="19"/>
      <c r="I3578" s="19"/>
      <c r="J3578" s="19"/>
      <c r="K3578" s="19"/>
      <c r="L3578" s="25"/>
      <c r="M3578" s="25"/>
      <c r="N3578" s="25"/>
      <c r="O3578" s="25"/>
      <c r="P3578" s="25"/>
      <c r="Q3578" s="19"/>
      <c r="R3578" s="19"/>
      <c r="S3578" s="19"/>
      <c r="T3578" s="19"/>
      <c r="U3578" s="25"/>
      <c r="V3578" s="19"/>
      <c r="W3578" s="19"/>
      <c r="X3578" s="19"/>
      <c r="Y3578" s="19"/>
      <c r="Z3578" s="19"/>
    </row>
    <row r="3579">
      <c r="A3579" s="24"/>
      <c r="B3579" s="19"/>
      <c r="C3579" s="19"/>
      <c r="D3579" s="19"/>
      <c r="E3579" s="19"/>
      <c r="F3579" s="19"/>
      <c r="G3579" s="19"/>
      <c r="H3579" s="19"/>
      <c r="I3579" s="19"/>
      <c r="J3579" s="19"/>
      <c r="K3579" s="19"/>
      <c r="L3579" s="25"/>
      <c r="M3579" s="25"/>
      <c r="N3579" s="25"/>
      <c r="O3579" s="25"/>
      <c r="P3579" s="25"/>
      <c r="Q3579" s="19"/>
      <c r="R3579" s="19"/>
      <c r="S3579" s="19"/>
      <c r="T3579" s="19"/>
      <c r="U3579" s="25"/>
      <c r="V3579" s="19"/>
      <c r="W3579" s="19"/>
      <c r="X3579" s="19"/>
      <c r="Y3579" s="19"/>
      <c r="Z3579" s="19"/>
    </row>
    <row r="3580">
      <c r="A3580" s="24"/>
      <c r="B3580" s="19"/>
      <c r="C3580" s="19"/>
      <c r="D3580" s="19"/>
      <c r="E3580" s="19"/>
      <c r="F3580" s="19"/>
      <c r="G3580" s="19"/>
      <c r="H3580" s="19"/>
      <c r="I3580" s="19"/>
      <c r="J3580" s="19"/>
      <c r="K3580" s="19"/>
      <c r="L3580" s="25"/>
      <c r="M3580" s="25"/>
      <c r="N3580" s="25"/>
      <c r="O3580" s="25"/>
      <c r="P3580" s="25"/>
      <c r="Q3580" s="19"/>
      <c r="R3580" s="19"/>
      <c r="S3580" s="19"/>
      <c r="T3580" s="19"/>
      <c r="U3580" s="25"/>
      <c r="V3580" s="19"/>
      <c r="W3580" s="19"/>
      <c r="X3580" s="19"/>
      <c r="Y3580" s="19"/>
      <c r="Z3580" s="19"/>
    </row>
    <row r="3581">
      <c r="A3581" s="24"/>
      <c r="B3581" s="19"/>
      <c r="C3581" s="19"/>
      <c r="D3581" s="19"/>
      <c r="E3581" s="19"/>
      <c r="F3581" s="19"/>
      <c r="G3581" s="19"/>
      <c r="H3581" s="19"/>
      <c r="I3581" s="19"/>
      <c r="J3581" s="19"/>
      <c r="K3581" s="19"/>
      <c r="L3581" s="25"/>
      <c r="M3581" s="25"/>
      <c r="N3581" s="25"/>
      <c r="O3581" s="25"/>
      <c r="P3581" s="25"/>
      <c r="Q3581" s="19"/>
      <c r="R3581" s="19"/>
      <c r="S3581" s="19"/>
      <c r="T3581" s="19"/>
      <c r="U3581" s="25"/>
      <c r="V3581" s="19"/>
      <c r="W3581" s="19"/>
      <c r="X3581" s="19"/>
      <c r="Y3581" s="19"/>
      <c r="Z3581" s="19"/>
    </row>
    <row r="3582">
      <c r="A3582" s="24"/>
      <c r="B3582" s="19"/>
      <c r="C3582" s="19"/>
      <c r="D3582" s="19"/>
      <c r="E3582" s="19"/>
      <c r="F3582" s="19"/>
      <c r="G3582" s="19"/>
      <c r="H3582" s="19"/>
      <c r="I3582" s="19"/>
      <c r="J3582" s="19"/>
      <c r="K3582" s="19"/>
      <c r="L3582" s="25"/>
      <c r="M3582" s="25"/>
      <c r="N3582" s="25"/>
      <c r="O3582" s="25"/>
      <c r="P3582" s="25"/>
      <c r="Q3582" s="19"/>
      <c r="R3582" s="19"/>
      <c r="S3582" s="19"/>
      <c r="T3582" s="19"/>
      <c r="U3582" s="25"/>
      <c r="V3582" s="19"/>
      <c r="W3582" s="19"/>
      <c r="X3582" s="19"/>
      <c r="Y3582" s="19"/>
      <c r="Z3582" s="19"/>
    </row>
    <row r="3583">
      <c r="A3583" s="24"/>
      <c r="B3583" s="19"/>
      <c r="C3583" s="19"/>
      <c r="D3583" s="19"/>
      <c r="E3583" s="19"/>
      <c r="F3583" s="19"/>
      <c r="G3583" s="19"/>
      <c r="H3583" s="19"/>
      <c r="I3583" s="19"/>
      <c r="J3583" s="19"/>
      <c r="K3583" s="19"/>
      <c r="L3583" s="25"/>
      <c r="M3583" s="25"/>
      <c r="N3583" s="25"/>
      <c r="O3583" s="25"/>
      <c r="P3583" s="25"/>
      <c r="Q3583" s="19"/>
      <c r="R3583" s="19"/>
      <c r="S3583" s="19"/>
      <c r="T3583" s="19"/>
      <c r="U3583" s="25"/>
      <c r="V3583" s="19"/>
      <c r="W3583" s="19"/>
      <c r="X3583" s="19"/>
      <c r="Y3583" s="19"/>
      <c r="Z3583" s="19"/>
    </row>
    <row r="3584">
      <c r="A3584" s="24"/>
      <c r="B3584" s="19"/>
      <c r="C3584" s="19"/>
      <c r="D3584" s="19"/>
      <c r="E3584" s="19"/>
      <c r="F3584" s="19"/>
      <c r="G3584" s="19"/>
      <c r="H3584" s="19"/>
      <c r="I3584" s="19"/>
      <c r="J3584" s="19"/>
      <c r="K3584" s="19"/>
      <c r="L3584" s="25"/>
      <c r="M3584" s="25"/>
      <c r="N3584" s="25"/>
      <c r="O3584" s="25"/>
      <c r="P3584" s="25"/>
      <c r="Q3584" s="19"/>
      <c r="R3584" s="19"/>
      <c r="S3584" s="19"/>
      <c r="T3584" s="19"/>
      <c r="U3584" s="25"/>
      <c r="V3584" s="19"/>
      <c r="W3584" s="19"/>
      <c r="X3584" s="19"/>
      <c r="Y3584" s="19"/>
      <c r="Z3584" s="19"/>
    </row>
    <row r="3585">
      <c r="A3585" s="24"/>
      <c r="B3585" s="19"/>
      <c r="C3585" s="19"/>
      <c r="D3585" s="19"/>
      <c r="E3585" s="19"/>
      <c r="F3585" s="19"/>
      <c r="G3585" s="19"/>
      <c r="H3585" s="19"/>
      <c r="I3585" s="19"/>
      <c r="J3585" s="19"/>
      <c r="K3585" s="19"/>
      <c r="L3585" s="25"/>
      <c r="M3585" s="25"/>
      <c r="N3585" s="25"/>
      <c r="O3585" s="25"/>
      <c r="P3585" s="25"/>
      <c r="Q3585" s="19"/>
      <c r="R3585" s="19"/>
      <c r="S3585" s="19"/>
      <c r="T3585" s="19"/>
      <c r="U3585" s="25"/>
      <c r="V3585" s="19"/>
      <c r="W3585" s="19"/>
      <c r="X3585" s="19"/>
      <c r="Y3585" s="19"/>
      <c r="Z3585" s="19"/>
    </row>
    <row r="3586">
      <c r="A3586" s="24"/>
      <c r="B3586" s="19"/>
      <c r="C3586" s="19"/>
      <c r="D3586" s="19"/>
      <c r="E3586" s="19"/>
      <c r="F3586" s="19"/>
      <c r="G3586" s="19"/>
      <c r="H3586" s="19"/>
      <c r="I3586" s="19"/>
      <c r="J3586" s="19"/>
      <c r="K3586" s="19"/>
      <c r="L3586" s="25"/>
      <c r="M3586" s="25"/>
      <c r="N3586" s="25"/>
      <c r="O3586" s="25"/>
      <c r="P3586" s="25"/>
      <c r="Q3586" s="19"/>
      <c r="R3586" s="19"/>
      <c r="S3586" s="19"/>
      <c r="T3586" s="19"/>
      <c r="U3586" s="25"/>
      <c r="V3586" s="19"/>
      <c r="W3586" s="19"/>
      <c r="X3586" s="19"/>
      <c r="Y3586" s="19"/>
      <c r="Z3586" s="19"/>
    </row>
    <row r="3587">
      <c r="A3587" s="24"/>
      <c r="B3587" s="19"/>
      <c r="C3587" s="19"/>
      <c r="D3587" s="19"/>
      <c r="E3587" s="19"/>
      <c r="F3587" s="19"/>
      <c r="G3587" s="19"/>
      <c r="H3587" s="19"/>
      <c r="I3587" s="19"/>
      <c r="J3587" s="19"/>
      <c r="K3587" s="19"/>
      <c r="L3587" s="25"/>
      <c r="M3587" s="25"/>
      <c r="N3587" s="25"/>
      <c r="O3587" s="25"/>
      <c r="P3587" s="25"/>
      <c r="Q3587" s="19"/>
      <c r="R3587" s="19"/>
      <c r="S3587" s="19"/>
      <c r="T3587" s="19"/>
      <c r="U3587" s="25"/>
      <c r="V3587" s="19"/>
      <c r="W3587" s="19"/>
      <c r="X3587" s="19"/>
      <c r="Y3587" s="19"/>
      <c r="Z3587" s="19"/>
    </row>
    <row r="3588">
      <c r="A3588" s="24"/>
      <c r="B3588" s="19"/>
      <c r="C3588" s="19"/>
      <c r="D3588" s="19"/>
      <c r="E3588" s="19"/>
      <c r="F3588" s="19"/>
      <c r="G3588" s="19"/>
      <c r="H3588" s="19"/>
      <c r="I3588" s="19"/>
      <c r="J3588" s="19"/>
      <c r="K3588" s="19"/>
      <c r="L3588" s="25"/>
      <c r="M3588" s="25"/>
      <c r="N3588" s="25"/>
      <c r="O3588" s="25"/>
      <c r="P3588" s="25"/>
      <c r="Q3588" s="19"/>
      <c r="R3588" s="19"/>
      <c r="S3588" s="19"/>
      <c r="T3588" s="19"/>
      <c r="U3588" s="25"/>
      <c r="V3588" s="19"/>
      <c r="W3588" s="19"/>
      <c r="X3588" s="19"/>
      <c r="Y3588" s="19"/>
      <c r="Z3588" s="19"/>
    </row>
    <row r="3589">
      <c r="A3589" s="24"/>
      <c r="B3589" s="19"/>
      <c r="C3589" s="19"/>
      <c r="D3589" s="19"/>
      <c r="E3589" s="19"/>
      <c r="F3589" s="19"/>
      <c r="G3589" s="19"/>
      <c r="H3589" s="19"/>
      <c r="I3589" s="19"/>
      <c r="J3589" s="19"/>
      <c r="K3589" s="19"/>
      <c r="L3589" s="25"/>
      <c r="M3589" s="25"/>
      <c r="N3589" s="25"/>
      <c r="O3589" s="25"/>
      <c r="P3589" s="25"/>
      <c r="Q3589" s="19"/>
      <c r="R3589" s="19"/>
      <c r="S3589" s="19"/>
      <c r="T3589" s="19"/>
      <c r="U3589" s="25"/>
      <c r="V3589" s="19"/>
      <c r="W3589" s="19"/>
      <c r="X3589" s="19"/>
      <c r="Y3589" s="19"/>
      <c r="Z3589" s="19"/>
    </row>
    <row r="3590">
      <c r="A3590" s="24"/>
      <c r="B3590" s="19"/>
      <c r="C3590" s="19"/>
      <c r="D3590" s="19"/>
      <c r="E3590" s="19"/>
      <c r="F3590" s="19"/>
      <c r="G3590" s="19"/>
      <c r="H3590" s="19"/>
      <c r="I3590" s="19"/>
      <c r="J3590" s="19"/>
      <c r="K3590" s="19"/>
      <c r="L3590" s="25"/>
      <c r="M3590" s="25"/>
      <c r="N3590" s="25"/>
      <c r="O3590" s="25"/>
      <c r="P3590" s="25"/>
      <c r="Q3590" s="19"/>
      <c r="R3590" s="19"/>
      <c r="S3590" s="19"/>
      <c r="T3590" s="19"/>
      <c r="U3590" s="25"/>
      <c r="V3590" s="19"/>
      <c r="W3590" s="19"/>
      <c r="X3590" s="19"/>
      <c r="Y3590" s="19"/>
      <c r="Z3590" s="19"/>
    </row>
    <row r="3591">
      <c r="A3591" s="24"/>
      <c r="B3591" s="19"/>
      <c r="C3591" s="19"/>
      <c r="D3591" s="19"/>
      <c r="E3591" s="19"/>
      <c r="F3591" s="19"/>
      <c r="G3591" s="19"/>
      <c r="H3591" s="19"/>
      <c r="I3591" s="19"/>
      <c r="J3591" s="19"/>
      <c r="K3591" s="19"/>
      <c r="L3591" s="25"/>
      <c r="M3591" s="25"/>
      <c r="N3591" s="25"/>
      <c r="O3591" s="25"/>
      <c r="P3591" s="25"/>
      <c r="Q3591" s="19"/>
      <c r="R3591" s="19"/>
      <c r="S3591" s="19"/>
      <c r="T3591" s="19"/>
      <c r="U3591" s="25"/>
      <c r="V3591" s="19"/>
      <c r="W3591" s="19"/>
      <c r="X3591" s="19"/>
      <c r="Y3591" s="19"/>
      <c r="Z3591" s="19"/>
    </row>
    <row r="3592">
      <c r="A3592" s="24"/>
      <c r="B3592" s="19"/>
      <c r="C3592" s="19"/>
      <c r="D3592" s="19"/>
      <c r="E3592" s="19"/>
      <c r="F3592" s="19"/>
      <c r="G3592" s="19"/>
      <c r="H3592" s="19"/>
      <c r="I3592" s="19"/>
      <c r="J3592" s="19"/>
      <c r="K3592" s="19"/>
      <c r="L3592" s="25"/>
      <c r="M3592" s="25"/>
      <c r="N3592" s="25"/>
      <c r="O3592" s="25"/>
      <c r="P3592" s="25"/>
      <c r="Q3592" s="19"/>
      <c r="R3592" s="19"/>
      <c r="S3592" s="19"/>
      <c r="T3592" s="19"/>
      <c r="U3592" s="25"/>
      <c r="V3592" s="19"/>
      <c r="W3592" s="19"/>
      <c r="X3592" s="19"/>
      <c r="Y3592" s="19"/>
      <c r="Z3592" s="19"/>
    </row>
    <row r="3593">
      <c r="A3593" s="24"/>
      <c r="B3593" s="19"/>
      <c r="C3593" s="19"/>
      <c r="D3593" s="19"/>
      <c r="E3593" s="19"/>
      <c r="F3593" s="19"/>
      <c r="G3593" s="19"/>
      <c r="H3593" s="19"/>
      <c r="I3593" s="19"/>
      <c r="J3593" s="19"/>
      <c r="K3593" s="19"/>
      <c r="L3593" s="25"/>
      <c r="M3593" s="25"/>
      <c r="N3593" s="25"/>
      <c r="O3593" s="25"/>
      <c r="P3593" s="25"/>
      <c r="Q3593" s="19"/>
      <c r="R3593" s="19"/>
      <c r="S3593" s="19"/>
      <c r="T3593" s="19"/>
      <c r="U3593" s="25"/>
      <c r="V3593" s="19"/>
      <c r="W3593" s="19"/>
      <c r="X3593" s="19"/>
      <c r="Y3593" s="19"/>
      <c r="Z3593" s="19"/>
    </row>
  </sheetData>
  <hyperlinks>
    <hyperlink r:id="rId1" ref="F3"/>
    <hyperlink r:id="rId2" ref="S3"/>
    <hyperlink r:id="rId3" ref="S4"/>
    <hyperlink r:id="rId4" ref="F5"/>
    <hyperlink r:id="rId5" ref="S5"/>
    <hyperlink r:id="rId6" ref="F6"/>
    <hyperlink r:id="rId7" ref="S6"/>
    <hyperlink r:id="rId8" ref="F7"/>
    <hyperlink r:id="rId9" ref="S7"/>
    <hyperlink r:id="rId10" ref="F8"/>
    <hyperlink r:id="rId11" ref="S8"/>
    <hyperlink r:id="rId12" ref="F9"/>
    <hyperlink r:id="rId13" ref="S9"/>
    <hyperlink r:id="rId14" ref="F11"/>
    <hyperlink r:id="rId15" ref="S11"/>
    <hyperlink r:id="rId16" ref="F12"/>
    <hyperlink r:id="rId17" ref="S12"/>
    <hyperlink r:id="rId18" ref="F13"/>
    <hyperlink r:id="rId19" ref="S13"/>
    <hyperlink r:id="rId20" ref="G14"/>
    <hyperlink r:id="rId21" ref="S14"/>
    <hyperlink r:id="rId22" ref="G17"/>
    <hyperlink r:id="rId23" ref="S17"/>
    <hyperlink r:id="rId24" ref="F18"/>
    <hyperlink r:id="rId25" ref="G18"/>
    <hyperlink r:id="rId26" ref="S18"/>
    <hyperlink r:id="rId27" ref="F19"/>
    <hyperlink r:id="rId28" ref="S19"/>
    <hyperlink r:id="rId29" ref="G20"/>
    <hyperlink r:id="rId30" ref="F21"/>
    <hyperlink r:id="rId31" ref="S21"/>
    <hyperlink r:id="rId32" ref="F22"/>
    <hyperlink r:id="rId33" ref="G22"/>
    <hyperlink r:id="rId34" ref="S22"/>
    <hyperlink r:id="rId35" ref="S23"/>
    <hyperlink r:id="rId36" ref="G24"/>
    <hyperlink r:id="rId37" ref="F25"/>
    <hyperlink r:id="rId38" ref="S25"/>
    <hyperlink r:id="rId39" ref="S26"/>
    <hyperlink r:id="rId40" ref="F27"/>
    <hyperlink r:id="rId41" ref="F28"/>
    <hyperlink r:id="rId42" ref="G29"/>
    <hyperlink r:id="rId43" ref="G30"/>
    <hyperlink r:id="rId44" ref="S30"/>
    <hyperlink r:id="rId45" ref="G31"/>
    <hyperlink r:id="rId46" ref="S31"/>
    <hyperlink r:id="rId47" ref="G32"/>
    <hyperlink r:id="rId48" ref="S32"/>
    <hyperlink r:id="rId49" ref="F33"/>
    <hyperlink r:id="rId50" ref="S33"/>
    <hyperlink r:id="rId51" ref="F34"/>
    <hyperlink r:id="rId52" ref="S34"/>
    <hyperlink r:id="rId53" ref="F35"/>
    <hyperlink r:id="rId54" ref="F36"/>
    <hyperlink r:id="rId55" ref="G37"/>
    <hyperlink r:id="rId56" ref="F38"/>
    <hyperlink r:id="rId57" ref="G38"/>
    <hyperlink r:id="rId58" ref="S38"/>
    <hyperlink r:id="rId59" ref="G39"/>
    <hyperlink r:id="rId60" ref="S39"/>
    <hyperlink r:id="rId61" ref="G40"/>
    <hyperlink r:id="rId62" ref="S40"/>
    <hyperlink r:id="rId63" ref="G41"/>
    <hyperlink r:id="rId64" ref="S41"/>
    <hyperlink r:id="rId65" ref="F42"/>
    <hyperlink r:id="rId66" ref="S42"/>
    <hyperlink r:id="rId67" ref="C43"/>
    <hyperlink r:id="rId68" ref="G43"/>
    <hyperlink r:id="rId69" ref="S43"/>
    <hyperlink r:id="rId70" ref="F45"/>
    <hyperlink r:id="rId71" ref="G45"/>
    <hyperlink r:id="rId72" ref="S45"/>
    <hyperlink r:id="rId73" ref="G46"/>
    <hyperlink r:id="rId74" ref="S46"/>
    <hyperlink r:id="rId75" ref="S47"/>
    <hyperlink r:id="rId76" ref="F49"/>
    <hyperlink r:id="rId77" ref="S49"/>
    <hyperlink r:id="rId78" ref="F50"/>
    <hyperlink r:id="rId79" ref="G50"/>
    <hyperlink r:id="rId80" ref="S50"/>
    <hyperlink r:id="rId81" ref="G51"/>
    <hyperlink r:id="rId82" ref="S51"/>
    <hyperlink r:id="rId83" ref="F52"/>
    <hyperlink r:id="rId84" ref="G52"/>
    <hyperlink r:id="rId85" ref="S52"/>
    <hyperlink r:id="rId86" ref="F54"/>
    <hyperlink r:id="rId87" ref="S54"/>
    <hyperlink r:id="rId88" ref="F55"/>
    <hyperlink r:id="rId89" ref="G55"/>
    <hyperlink r:id="rId90" ref="S55"/>
    <hyperlink r:id="rId91" ref="S56"/>
    <hyperlink r:id="rId92" ref="F57"/>
    <hyperlink r:id="rId93" ref="S57"/>
    <hyperlink r:id="rId94" ref="G58"/>
    <hyperlink r:id="rId95" ref="F60"/>
    <hyperlink r:id="rId96" ref="G60"/>
    <hyperlink r:id="rId97" ref="S60"/>
    <hyperlink r:id="rId98" ref="F61"/>
    <hyperlink r:id="rId99" ref="G61"/>
    <hyperlink r:id="rId100" ref="S61"/>
    <hyperlink r:id="rId101" ref="F63"/>
    <hyperlink r:id="rId102" ref="S64"/>
    <hyperlink r:id="rId103" ref="G65"/>
    <hyperlink r:id="rId104" ref="G66"/>
    <hyperlink r:id="rId105" ref="S66"/>
    <hyperlink r:id="rId106" ref="S67"/>
    <hyperlink r:id="rId107" ref="F68"/>
    <hyperlink r:id="rId108" ref="S68"/>
    <hyperlink r:id="rId109" ref="G70"/>
    <hyperlink r:id="rId110" ref="S70"/>
    <hyperlink r:id="rId111" ref="F71"/>
    <hyperlink r:id="rId112" ref="S71"/>
    <hyperlink r:id="rId113" ref="F72"/>
    <hyperlink r:id="rId114" ref="G72"/>
    <hyperlink r:id="rId115" ref="S72"/>
    <hyperlink r:id="rId116" ref="F73"/>
    <hyperlink r:id="rId117" ref="S73"/>
    <hyperlink r:id="rId118" ref="F74"/>
    <hyperlink r:id="rId119" ref="S74"/>
    <hyperlink r:id="rId120" ref="C76"/>
    <hyperlink r:id="rId121" ref="F76"/>
    <hyperlink r:id="rId122" ref="G76"/>
    <hyperlink r:id="rId123" ref="S76"/>
    <hyperlink r:id="rId124" ref="F77"/>
    <hyperlink r:id="rId125" ref="G77"/>
    <hyperlink r:id="rId126" ref="S77"/>
    <hyperlink r:id="rId127" ref="F80"/>
    <hyperlink r:id="rId128" ref="G80"/>
    <hyperlink r:id="rId129" ref="S80"/>
    <hyperlink r:id="rId130" ref="F81"/>
    <hyperlink r:id="rId131" ref="G82"/>
    <hyperlink r:id="rId132" ref="S82"/>
    <hyperlink r:id="rId133" ref="S83"/>
    <hyperlink r:id="rId134" ref="G84"/>
    <hyperlink r:id="rId135" ref="F85"/>
    <hyperlink r:id="rId136" ref="G85"/>
    <hyperlink r:id="rId137" ref="S85"/>
    <hyperlink r:id="rId138" ref="F86"/>
    <hyperlink r:id="rId139" ref="S86"/>
    <hyperlink r:id="rId140" ref="G87"/>
    <hyperlink r:id="rId141" ref="S87"/>
    <hyperlink r:id="rId142" ref="F88"/>
    <hyperlink r:id="rId143" ref="G88"/>
    <hyperlink r:id="rId144" ref="F90"/>
    <hyperlink r:id="rId145" ref="S90"/>
    <hyperlink r:id="rId146" ref="F91"/>
    <hyperlink r:id="rId147" ref="S91"/>
    <hyperlink r:id="rId148" ref="F93"/>
    <hyperlink r:id="rId149" ref="S93"/>
    <hyperlink r:id="rId150" ref="F94"/>
    <hyperlink r:id="rId151" ref="G94"/>
    <hyperlink r:id="rId152" ref="S94"/>
    <hyperlink r:id="rId153" ref="F95"/>
    <hyperlink r:id="rId154" ref="S95"/>
    <hyperlink r:id="rId155" ref="F96"/>
    <hyperlink r:id="rId156" ref="S96"/>
    <hyperlink r:id="rId157" ref="F97"/>
    <hyperlink r:id="rId158" ref="S97"/>
    <hyperlink r:id="rId159" ref="G98"/>
    <hyperlink r:id="rId160" ref="S98"/>
    <hyperlink r:id="rId161" ref="F99"/>
    <hyperlink r:id="rId162" ref="G99"/>
    <hyperlink r:id="rId163" ref="S99"/>
    <hyperlink r:id="rId164" ref="S100"/>
    <hyperlink r:id="rId165" ref="F101"/>
    <hyperlink r:id="rId166" ref="G101"/>
    <hyperlink r:id="rId167" ref="S101"/>
    <hyperlink r:id="rId168" ref="F102"/>
    <hyperlink r:id="rId169" ref="S102"/>
    <hyperlink r:id="rId170" ref="G103"/>
    <hyperlink r:id="rId171" ref="S103"/>
    <hyperlink r:id="rId172" ref="F104"/>
    <hyperlink r:id="rId173" ref="S104"/>
    <hyperlink r:id="rId174" ref="F105"/>
    <hyperlink r:id="rId175" ref="S105"/>
    <hyperlink r:id="rId176" ref="F107"/>
    <hyperlink r:id="rId177" ref="F108"/>
    <hyperlink r:id="rId178" ref="S108"/>
    <hyperlink r:id="rId179" ref="S109"/>
    <hyperlink r:id="rId180" ref="F110"/>
    <hyperlink r:id="rId181" ref="S110"/>
    <hyperlink r:id="rId182" ref="F111"/>
    <hyperlink r:id="rId183" ref="S111"/>
    <hyperlink r:id="rId184" ref="G113"/>
    <hyperlink r:id="rId185" ref="S113"/>
    <hyperlink r:id="rId186" ref="F114"/>
    <hyperlink r:id="rId187" ref="G114"/>
    <hyperlink r:id="rId188" ref="S114"/>
    <hyperlink r:id="rId189" ref="F115"/>
    <hyperlink r:id="rId190" ref="S115"/>
    <hyperlink r:id="rId191" ref="F116"/>
    <hyperlink r:id="rId192" ref="S116"/>
    <hyperlink r:id="rId193" ref="F117"/>
    <hyperlink r:id="rId194" ref="S117"/>
    <hyperlink r:id="rId195" ref="F119"/>
    <hyperlink r:id="rId196" ref="G119"/>
    <hyperlink r:id="rId197" ref="S119"/>
    <hyperlink r:id="rId198" ref="S120"/>
    <hyperlink r:id="rId199" ref="F121"/>
    <hyperlink r:id="rId200" ref="S121"/>
    <hyperlink r:id="rId201" ref="F123"/>
    <hyperlink r:id="rId202" ref="S123"/>
    <hyperlink r:id="rId203" ref="G124"/>
    <hyperlink r:id="rId204" ref="S124"/>
    <hyperlink r:id="rId205" ref="S125"/>
    <hyperlink r:id="rId206" ref="F126"/>
    <hyperlink r:id="rId207" ref="F127"/>
    <hyperlink r:id="rId208" ref="G127"/>
    <hyperlink r:id="rId209" ref="G128"/>
    <hyperlink r:id="rId210" ref="S128"/>
    <hyperlink r:id="rId211" ref="F129"/>
    <hyperlink r:id="rId212" ref="G130"/>
    <hyperlink r:id="rId213" ref="S130"/>
    <hyperlink r:id="rId214" ref="G131"/>
    <hyperlink r:id="rId215" ref="S131"/>
    <hyperlink r:id="rId216" ref="F133"/>
    <hyperlink r:id="rId217" ref="S133"/>
    <hyperlink r:id="rId218" ref="S134"/>
    <hyperlink r:id="rId219" ref="F135"/>
    <hyperlink r:id="rId220" ref="G135"/>
    <hyperlink r:id="rId221" ref="S135"/>
    <hyperlink r:id="rId222" ref="F136"/>
    <hyperlink r:id="rId223" ref="G136"/>
    <hyperlink r:id="rId224" ref="S136"/>
    <hyperlink r:id="rId225" ref="F137"/>
    <hyperlink r:id="rId226" ref="S137"/>
    <hyperlink r:id="rId227" ref="G138"/>
    <hyperlink r:id="rId228" ref="S138"/>
    <hyperlink r:id="rId229" ref="F139"/>
    <hyperlink r:id="rId230" ref="G139"/>
    <hyperlink r:id="rId231" ref="S139"/>
    <hyperlink r:id="rId232" ref="F140"/>
    <hyperlink r:id="rId233" ref="G140"/>
    <hyperlink r:id="rId234" ref="S140"/>
    <hyperlink r:id="rId235" ref="F141"/>
    <hyperlink r:id="rId236" ref="F143"/>
    <hyperlink r:id="rId237" ref="S143"/>
    <hyperlink r:id="rId238" ref="F145"/>
    <hyperlink r:id="rId239" ref="S145"/>
    <hyperlink r:id="rId240" ref="G147"/>
    <hyperlink r:id="rId241" ref="S147"/>
    <hyperlink r:id="rId242" ref="F148"/>
    <hyperlink r:id="rId243" ref="G148"/>
    <hyperlink r:id="rId244" ref="S148"/>
    <hyperlink r:id="rId245" ref="F150"/>
    <hyperlink r:id="rId246" ref="S150"/>
    <hyperlink r:id="rId247" ref="G151"/>
    <hyperlink r:id="rId248" ref="S151"/>
    <hyperlink r:id="rId249" ref="G153"/>
    <hyperlink r:id="rId250" ref="S154"/>
    <hyperlink r:id="rId251" ref="G155"/>
    <hyperlink r:id="rId252" ref="S155"/>
    <hyperlink r:id="rId253" ref="S156"/>
    <hyperlink r:id="rId254" ref="G157"/>
    <hyperlink r:id="rId255" ref="G158"/>
    <hyperlink r:id="rId256" ref="S158"/>
    <hyperlink r:id="rId257" ref="S159"/>
    <hyperlink r:id="rId258" ref="S160"/>
    <hyperlink r:id="rId259" ref="F161"/>
    <hyperlink r:id="rId260" ref="S161"/>
    <hyperlink r:id="rId261" ref="F162"/>
    <hyperlink r:id="rId262" ref="G162"/>
    <hyperlink r:id="rId263" ref="G163"/>
    <hyperlink r:id="rId264" ref="S165"/>
    <hyperlink r:id="rId265" ref="G166"/>
    <hyperlink r:id="rId266" ref="S166"/>
    <hyperlink r:id="rId267" ref="F167"/>
    <hyperlink r:id="rId268" ref="S167"/>
    <hyperlink r:id="rId269" ref="S168"/>
    <hyperlink r:id="rId270" ref="F170"/>
    <hyperlink r:id="rId271" ref="F171"/>
    <hyperlink r:id="rId272" ref="S171"/>
    <hyperlink r:id="rId273" ref="F172"/>
    <hyperlink r:id="rId274" ref="S172"/>
    <hyperlink r:id="rId275" ref="G174"/>
    <hyperlink r:id="rId276" ref="S174"/>
    <hyperlink r:id="rId277" ref="F175"/>
    <hyperlink r:id="rId278" ref="S175"/>
    <hyperlink r:id="rId279" ref="F176"/>
    <hyperlink r:id="rId280" ref="S176"/>
    <hyperlink r:id="rId281" ref="S177"/>
    <hyperlink r:id="rId282" ref="F178"/>
    <hyperlink r:id="rId283" ref="S178"/>
    <hyperlink r:id="rId284" ref="G179"/>
    <hyperlink r:id="rId285" ref="S179"/>
    <hyperlink r:id="rId286" ref="F180"/>
    <hyperlink r:id="rId287" ref="S180"/>
    <hyperlink r:id="rId288" ref="F181"/>
    <hyperlink r:id="rId289" ref="S181"/>
    <hyperlink r:id="rId290" ref="S182"/>
    <hyperlink r:id="rId291" ref="F183"/>
    <hyperlink r:id="rId292" ref="G183"/>
    <hyperlink r:id="rId293" ref="S183"/>
    <hyperlink r:id="rId294" ref="F184"/>
    <hyperlink r:id="rId295" ref="G184"/>
    <hyperlink r:id="rId296" ref="S184"/>
    <hyperlink r:id="rId297" ref="F185"/>
    <hyperlink r:id="rId298" ref="S185"/>
    <hyperlink r:id="rId299" ref="S186"/>
    <hyperlink r:id="rId300" ref="F187"/>
    <hyperlink r:id="rId301" ref="S187"/>
    <hyperlink r:id="rId302" ref="F188"/>
    <hyperlink r:id="rId303" ref="S188"/>
    <hyperlink r:id="rId304" ref="G189"/>
    <hyperlink r:id="rId305" ref="S189"/>
    <hyperlink r:id="rId306" ref="G190"/>
    <hyperlink r:id="rId307" ref="G191"/>
    <hyperlink r:id="rId308" ref="S191"/>
    <hyperlink r:id="rId309" ref="F192"/>
    <hyperlink r:id="rId310" ref="S192"/>
    <hyperlink r:id="rId311" ref="F193"/>
    <hyperlink r:id="rId312" ref="S193"/>
    <hyperlink r:id="rId313" ref="F194"/>
    <hyperlink r:id="rId314" ref="S194"/>
    <hyperlink r:id="rId315" ref="F195"/>
    <hyperlink r:id="rId316" ref="S195"/>
    <hyperlink r:id="rId317" ref="S196"/>
    <hyperlink r:id="rId318" ref="G198"/>
    <hyperlink r:id="rId319" ref="G200"/>
    <hyperlink r:id="rId320" ref="S200"/>
    <hyperlink r:id="rId321" ref="S201"/>
    <hyperlink r:id="rId322" ref="F202"/>
    <hyperlink r:id="rId323" ref="G202"/>
    <hyperlink r:id="rId324" ref="S202"/>
    <hyperlink r:id="rId325" ref="F204"/>
    <hyperlink r:id="rId326" ref="G204"/>
    <hyperlink r:id="rId327" ref="S204"/>
    <hyperlink r:id="rId328" ref="F205"/>
    <hyperlink r:id="rId329" ref="G205"/>
    <hyperlink r:id="rId330" ref="S205"/>
    <hyperlink r:id="rId331" ref="F206"/>
    <hyperlink r:id="rId332" ref="G206"/>
    <hyperlink r:id="rId333" ref="S206"/>
    <hyperlink r:id="rId334" ref="G207"/>
    <hyperlink r:id="rId335" ref="G208"/>
    <hyperlink r:id="rId336" ref="F209"/>
    <hyperlink r:id="rId337" ref="S210"/>
    <hyperlink r:id="rId338" ref="G211"/>
    <hyperlink r:id="rId339" ref="S211"/>
    <hyperlink r:id="rId340" ref="F212"/>
    <hyperlink r:id="rId341" ref="G212"/>
    <hyperlink r:id="rId342" ref="S212"/>
    <hyperlink r:id="rId343" ref="F213"/>
    <hyperlink r:id="rId344" ref="S213"/>
    <hyperlink r:id="rId345" ref="G214"/>
    <hyperlink r:id="rId346" ref="S214"/>
    <hyperlink r:id="rId347" ref="F215"/>
    <hyperlink r:id="rId348" ref="G215"/>
    <hyperlink r:id="rId349" ref="S215"/>
    <hyperlink r:id="rId350" ref="F217"/>
    <hyperlink r:id="rId351" ref="G217"/>
    <hyperlink r:id="rId352" ref="S217"/>
    <hyperlink r:id="rId353" ref="F218"/>
    <hyperlink r:id="rId354" ref="G218"/>
    <hyperlink r:id="rId355" ref="S218"/>
    <hyperlink r:id="rId356" ref="F219"/>
    <hyperlink r:id="rId357" ref="S219"/>
    <hyperlink r:id="rId358" ref="G220"/>
    <hyperlink r:id="rId359" ref="S220"/>
    <hyperlink r:id="rId360" ref="S221"/>
    <hyperlink r:id="rId361" ref="S223"/>
    <hyperlink r:id="rId362" ref="S225"/>
    <hyperlink r:id="rId363" ref="S226"/>
    <hyperlink r:id="rId364" ref="F227"/>
    <hyperlink r:id="rId365" ref="G227"/>
    <hyperlink r:id="rId366" ref="F228"/>
    <hyperlink r:id="rId367" ref="F229"/>
    <hyperlink r:id="rId368" ref="S229"/>
    <hyperlink r:id="rId369" ref="F230"/>
    <hyperlink r:id="rId370" ref="G230"/>
    <hyperlink r:id="rId371" ref="S230"/>
    <hyperlink r:id="rId372" ref="F231"/>
    <hyperlink r:id="rId373" ref="S231"/>
    <hyperlink r:id="rId374" ref="F232"/>
    <hyperlink r:id="rId375" ref="S232"/>
    <hyperlink r:id="rId376" ref="G233"/>
    <hyperlink r:id="rId377" ref="F234"/>
    <hyperlink r:id="rId378" ref="G234"/>
    <hyperlink r:id="rId379" ref="F235"/>
    <hyperlink r:id="rId380" ref="S235"/>
    <hyperlink r:id="rId381" ref="S237"/>
    <hyperlink r:id="rId382" ref="F238"/>
    <hyperlink r:id="rId383" ref="G238"/>
    <hyperlink r:id="rId384" ref="S238"/>
    <hyperlink r:id="rId385" ref="F239"/>
    <hyperlink r:id="rId386" ref="G239"/>
    <hyperlink r:id="rId387" ref="S239"/>
    <hyperlink r:id="rId388" ref="F240"/>
    <hyperlink r:id="rId389" ref="F241"/>
    <hyperlink r:id="rId390" ref="S241"/>
    <hyperlink r:id="rId391" ref="F242"/>
    <hyperlink r:id="rId392" ref="S242"/>
    <hyperlink r:id="rId393" ref="F243"/>
    <hyperlink r:id="rId394" ref="S243"/>
    <hyperlink r:id="rId395" ref="G244"/>
    <hyperlink r:id="rId396" ref="S244"/>
    <hyperlink r:id="rId397" ref="G246"/>
    <hyperlink r:id="rId398" ref="S246"/>
    <hyperlink r:id="rId399" ref="F248"/>
    <hyperlink r:id="rId400" ref="S248"/>
    <hyperlink r:id="rId401" ref="G249"/>
    <hyperlink r:id="rId402" ref="S249"/>
    <hyperlink r:id="rId403" ref="F250"/>
    <hyperlink r:id="rId404" ref="S250"/>
    <hyperlink r:id="rId405" ref="F251"/>
    <hyperlink r:id="rId406" ref="S251"/>
    <hyperlink r:id="rId407" ref="G252"/>
    <hyperlink r:id="rId408" ref="S252"/>
    <hyperlink r:id="rId409" ref="F253"/>
    <hyperlink r:id="rId410" ref="G253"/>
    <hyperlink r:id="rId411" ref="S253"/>
    <hyperlink r:id="rId412" ref="F254"/>
    <hyperlink r:id="rId413" location="https://www.benefitscanada.com/news/__trashed-16-125545" ref="F255"/>
    <hyperlink r:id="rId414" ref="S255"/>
    <hyperlink r:id="rId415" ref="F256"/>
    <hyperlink r:id="rId416" ref="S256"/>
    <hyperlink r:id="rId417" ref="G257"/>
    <hyperlink r:id="rId418" ref="S259"/>
    <hyperlink r:id="rId419" ref="F261"/>
    <hyperlink r:id="rId420" ref="S261"/>
    <hyperlink r:id="rId421" ref="G262"/>
    <hyperlink r:id="rId422" ref="S262"/>
    <hyperlink r:id="rId423" ref="G263"/>
    <hyperlink r:id="rId424" ref="S263"/>
    <hyperlink r:id="rId425" ref="F264"/>
    <hyperlink r:id="rId426" ref="S264"/>
    <hyperlink r:id="rId427" ref="G265"/>
    <hyperlink r:id="rId428" ref="S265"/>
    <hyperlink r:id="rId429" ref="F266"/>
    <hyperlink r:id="rId430" ref="G266"/>
    <hyperlink r:id="rId431" ref="S266"/>
    <hyperlink r:id="rId432" ref="G268"/>
    <hyperlink r:id="rId433" ref="F269"/>
    <hyperlink r:id="rId434" ref="S269"/>
    <hyperlink r:id="rId435" ref="G270"/>
    <hyperlink r:id="rId436" ref="S271"/>
    <hyperlink r:id="rId437" ref="G272"/>
    <hyperlink r:id="rId438" ref="S272"/>
    <hyperlink r:id="rId439" ref="F273"/>
    <hyperlink r:id="rId440" ref="S273"/>
    <hyperlink r:id="rId441" ref="F274"/>
    <hyperlink r:id="rId442" ref="G274"/>
    <hyperlink r:id="rId443" ref="S275"/>
    <hyperlink r:id="rId444" ref="G276"/>
    <hyperlink r:id="rId445" ref="G277"/>
    <hyperlink r:id="rId446" ref="G278"/>
    <hyperlink r:id="rId447" ref="S278"/>
    <hyperlink r:id="rId448" ref="S281"/>
    <hyperlink r:id="rId449" ref="G282"/>
    <hyperlink r:id="rId450" ref="S282"/>
    <hyperlink r:id="rId451" ref="G283"/>
    <hyperlink r:id="rId452" ref="S283"/>
    <hyperlink r:id="rId453" ref="F284"/>
    <hyperlink r:id="rId454" ref="G284"/>
    <hyperlink r:id="rId455" ref="S284"/>
    <hyperlink r:id="rId456" ref="S286"/>
    <hyperlink r:id="rId457" ref="F287"/>
    <hyperlink r:id="rId458" ref="S287"/>
    <hyperlink r:id="rId459" ref="F289"/>
    <hyperlink r:id="rId460" ref="F290"/>
    <hyperlink r:id="rId461" ref="S290"/>
    <hyperlink r:id="rId462" ref="F291"/>
    <hyperlink r:id="rId463" ref="G291"/>
    <hyperlink r:id="rId464" ref="S291"/>
    <hyperlink r:id="rId465" ref="G292"/>
    <hyperlink r:id="rId466" ref="F293"/>
    <hyperlink r:id="rId467" ref="S293"/>
    <hyperlink r:id="rId468" ref="G294"/>
    <hyperlink r:id="rId469" ref="S294"/>
    <hyperlink r:id="rId470" ref="G295"/>
    <hyperlink r:id="rId471" ref="S295"/>
    <hyperlink r:id="rId472" ref="F296"/>
    <hyperlink r:id="rId473" ref="S296"/>
    <hyperlink r:id="rId474" ref="G297"/>
    <hyperlink r:id="rId475" ref="S297"/>
    <hyperlink r:id="rId476" ref="F298"/>
    <hyperlink r:id="rId477" ref="G298"/>
    <hyperlink r:id="rId478" ref="S298"/>
    <hyperlink r:id="rId479" ref="F299"/>
    <hyperlink r:id="rId480" ref="S299"/>
    <hyperlink r:id="rId481" ref="G300"/>
    <hyperlink r:id="rId482" ref="S300"/>
    <hyperlink r:id="rId483" ref="G301"/>
    <hyperlink r:id="rId484" ref="S301"/>
    <hyperlink r:id="rId485" ref="F302"/>
    <hyperlink r:id="rId486" ref="S302"/>
    <hyperlink r:id="rId487" ref="G303"/>
    <hyperlink r:id="rId488" ref="S303"/>
    <hyperlink r:id="rId489" ref="S304"/>
    <hyperlink r:id="rId490" ref="G305"/>
    <hyperlink r:id="rId491" ref="S305"/>
    <hyperlink r:id="rId492" ref="G306"/>
    <hyperlink r:id="rId493" ref="S306"/>
    <hyperlink r:id="rId494" ref="C307"/>
    <hyperlink r:id="rId495" ref="F307"/>
    <hyperlink r:id="rId496" ref="G307"/>
    <hyperlink r:id="rId497" ref="S307"/>
    <hyperlink r:id="rId498" ref="F308"/>
    <hyperlink r:id="rId499" ref="G309"/>
    <hyperlink r:id="rId500" ref="S309"/>
    <hyperlink r:id="rId501" ref="F310"/>
    <hyperlink r:id="rId502" ref="G310"/>
    <hyperlink r:id="rId503" ref="S310"/>
    <hyperlink r:id="rId504" ref="F311"/>
    <hyperlink r:id="rId505" ref="S311"/>
    <hyperlink r:id="rId506" ref="F314"/>
    <hyperlink r:id="rId507" ref="S314"/>
    <hyperlink r:id="rId508" ref="S317"/>
    <hyperlink r:id="rId509" ref="G318"/>
    <hyperlink r:id="rId510" ref="S318"/>
    <hyperlink r:id="rId511" ref="F319"/>
    <hyperlink r:id="rId512" ref="S319"/>
    <hyperlink r:id="rId513" ref="S320"/>
    <hyperlink r:id="rId514" ref="F321"/>
    <hyperlink r:id="rId515" ref="S321"/>
    <hyperlink r:id="rId516" location=".Wskqty97FMM" ref="F322"/>
    <hyperlink r:id="rId517" ref="G322"/>
    <hyperlink r:id="rId518" ref="S322"/>
    <hyperlink r:id="rId519" ref="F323"/>
    <hyperlink r:id="rId520" ref="G323"/>
    <hyperlink r:id="rId521" ref="S323"/>
    <hyperlink r:id="rId522" ref="F324"/>
    <hyperlink r:id="rId523" ref="S324"/>
    <hyperlink r:id="rId524" ref="G325"/>
    <hyperlink r:id="rId525" ref="S325"/>
    <hyperlink r:id="rId526" ref="F326"/>
    <hyperlink r:id="rId527" ref="F327"/>
    <hyperlink r:id="rId528" ref="S327"/>
    <hyperlink r:id="rId529" ref="F329"/>
    <hyperlink r:id="rId530" ref="G329"/>
    <hyperlink r:id="rId531" ref="S329"/>
    <hyperlink r:id="rId532" ref="F330"/>
    <hyperlink r:id="rId533" ref="S330"/>
    <hyperlink r:id="rId534" ref="F332"/>
    <hyperlink r:id="rId535" ref="S332"/>
    <hyperlink r:id="rId536" ref="G333"/>
    <hyperlink r:id="rId537" ref="S333"/>
    <hyperlink r:id="rId538" ref="F334"/>
    <hyperlink r:id="rId539" ref="S334"/>
    <hyperlink r:id="rId540" ref="F335"/>
    <hyperlink r:id="rId541" ref="S335"/>
    <hyperlink r:id="rId542" ref="G336"/>
    <hyperlink r:id="rId543" ref="S336"/>
    <hyperlink r:id="rId544" ref="G337"/>
    <hyperlink r:id="rId545" ref="S337"/>
    <hyperlink r:id="rId546" ref="S338"/>
    <hyperlink r:id="rId547" ref="F339"/>
    <hyperlink r:id="rId548" ref="S339"/>
    <hyperlink r:id="rId549" ref="F340"/>
    <hyperlink r:id="rId550" ref="S340"/>
    <hyperlink r:id="rId551" ref="F341"/>
    <hyperlink r:id="rId552" ref="S341"/>
    <hyperlink r:id="rId553" ref="F342"/>
    <hyperlink r:id="rId554" ref="S342"/>
    <hyperlink r:id="rId555" ref="G343"/>
    <hyperlink r:id="rId556" ref="S344"/>
    <hyperlink r:id="rId557" ref="F345"/>
    <hyperlink r:id="rId558" ref="G345"/>
    <hyperlink r:id="rId559" ref="S345"/>
    <hyperlink r:id="rId560" ref="F347"/>
    <hyperlink r:id="rId561" ref="S347"/>
    <hyperlink r:id="rId562" ref="F349"/>
    <hyperlink r:id="rId563" ref="S349"/>
    <hyperlink r:id="rId564" ref="C350"/>
    <hyperlink r:id="rId565" ref="F350"/>
    <hyperlink r:id="rId566" ref="S350"/>
    <hyperlink r:id="rId567" ref="S352"/>
    <hyperlink r:id="rId568" ref="S353"/>
    <hyperlink r:id="rId569" ref="S354"/>
    <hyperlink r:id="rId570" ref="G355"/>
    <hyperlink r:id="rId571" ref="S355"/>
    <hyperlink r:id="rId572" ref="F356"/>
    <hyperlink r:id="rId573" ref="F357"/>
    <hyperlink r:id="rId574" ref="S357"/>
    <hyperlink r:id="rId575" ref="F358"/>
    <hyperlink r:id="rId576" ref="S358"/>
    <hyperlink r:id="rId577" ref="F359"/>
    <hyperlink r:id="rId578" ref="G359"/>
    <hyperlink r:id="rId579" ref="S359"/>
    <hyperlink r:id="rId580" ref="S360"/>
    <hyperlink r:id="rId581" ref="F361"/>
    <hyperlink r:id="rId582" ref="S361"/>
    <hyperlink r:id="rId583" ref="F362"/>
    <hyperlink r:id="rId584" ref="G362"/>
    <hyperlink r:id="rId585" ref="S362"/>
    <hyperlink r:id="rId586" ref="F363"/>
    <hyperlink r:id="rId587" ref="S363"/>
    <hyperlink r:id="rId588" ref="G364"/>
    <hyperlink r:id="rId589" ref="S364"/>
    <hyperlink r:id="rId590" ref="G365"/>
    <hyperlink r:id="rId591" ref="S365"/>
    <hyperlink r:id="rId592" ref="F366"/>
    <hyperlink r:id="rId593" ref="G366"/>
    <hyperlink r:id="rId594" ref="S366"/>
    <hyperlink r:id="rId595" ref="G367"/>
    <hyperlink r:id="rId596" ref="S367"/>
    <hyperlink r:id="rId597" ref="F368"/>
    <hyperlink r:id="rId598" ref="S368"/>
    <hyperlink r:id="rId599" ref="F370"/>
    <hyperlink r:id="rId600" ref="S370"/>
    <hyperlink r:id="rId601" ref="G373"/>
    <hyperlink r:id="rId602" ref="S373"/>
    <hyperlink r:id="rId603" ref="F374"/>
    <hyperlink r:id="rId604" ref="S374"/>
    <hyperlink r:id="rId605" ref="F375"/>
    <hyperlink r:id="rId606" ref="S375"/>
    <hyperlink r:id="rId607" ref="F376"/>
    <hyperlink r:id="rId608" ref="S376"/>
    <hyperlink r:id="rId609" ref="S377"/>
    <hyperlink r:id="rId610" ref="F379"/>
    <hyperlink r:id="rId611" ref="G379"/>
    <hyperlink r:id="rId612" ref="S380"/>
    <hyperlink r:id="rId613" ref="F381"/>
    <hyperlink r:id="rId614" ref="F382"/>
    <hyperlink r:id="rId615" ref="G382"/>
    <hyperlink r:id="rId616" ref="S382"/>
    <hyperlink r:id="rId617" ref="F383"/>
    <hyperlink r:id="rId618" ref="S383"/>
    <hyperlink r:id="rId619" ref="G384"/>
    <hyperlink r:id="rId620" ref="F385"/>
    <hyperlink r:id="rId621" ref="G385"/>
    <hyperlink r:id="rId622" ref="S385"/>
    <hyperlink r:id="rId623" ref="G387"/>
    <hyperlink r:id="rId624" ref="S387"/>
    <hyperlink r:id="rId625" ref="F388"/>
    <hyperlink r:id="rId626" ref="S388"/>
    <hyperlink r:id="rId627" ref="F389"/>
    <hyperlink r:id="rId628" ref="S389"/>
    <hyperlink r:id="rId629" ref="F391"/>
    <hyperlink r:id="rId630" ref="G391"/>
    <hyperlink r:id="rId631" ref="S391"/>
    <hyperlink r:id="rId632" ref="F392"/>
    <hyperlink r:id="rId633" ref="S392"/>
    <hyperlink r:id="rId634" ref="F393"/>
    <hyperlink r:id="rId635" ref="S393"/>
    <hyperlink r:id="rId636" ref="F394"/>
    <hyperlink r:id="rId637" ref="S394"/>
    <hyperlink r:id="rId638" ref="F396"/>
    <hyperlink r:id="rId639" ref="S396"/>
    <hyperlink r:id="rId640" ref="F397"/>
    <hyperlink r:id="rId641" ref="S397"/>
    <hyperlink r:id="rId642" ref="F398"/>
    <hyperlink r:id="rId643" ref="R398"/>
    <hyperlink r:id="rId644" ref="F399"/>
    <hyperlink r:id="rId645" ref="G399"/>
    <hyperlink r:id="rId646" ref="F400"/>
    <hyperlink r:id="rId647" ref="F401"/>
    <hyperlink r:id="rId648" ref="S401"/>
    <hyperlink r:id="rId649" ref="F402"/>
    <hyperlink r:id="rId650" ref="G402"/>
    <hyperlink r:id="rId651" ref="S402"/>
    <hyperlink r:id="rId652" ref="G404"/>
    <hyperlink r:id="rId653" ref="F405"/>
    <hyperlink r:id="rId654" ref="G405"/>
    <hyperlink r:id="rId655" ref="F406"/>
    <hyperlink r:id="rId656" ref="G406"/>
    <hyperlink r:id="rId657" ref="G407"/>
    <hyperlink r:id="rId658" ref="S407"/>
    <hyperlink r:id="rId659" ref="F408"/>
    <hyperlink r:id="rId660" ref="S408"/>
    <hyperlink r:id="rId661" ref="F409"/>
    <hyperlink r:id="rId662" ref="S409"/>
    <hyperlink r:id="rId663" ref="F410"/>
    <hyperlink r:id="rId664" ref="S410"/>
    <hyperlink r:id="rId665" ref="F411"/>
    <hyperlink r:id="rId666" ref="S411"/>
    <hyperlink r:id="rId667" ref="F412"/>
    <hyperlink r:id="rId668" ref="G412"/>
    <hyperlink r:id="rId669" ref="S412"/>
    <hyperlink r:id="rId670" ref="G413"/>
    <hyperlink r:id="rId671" ref="S413"/>
    <hyperlink r:id="rId672" ref="F414"/>
    <hyperlink r:id="rId673" ref="S414"/>
    <hyperlink r:id="rId674" ref="F416"/>
    <hyperlink r:id="rId675" ref="S416"/>
    <hyperlink r:id="rId676" ref="F417"/>
    <hyperlink r:id="rId677" ref="S417"/>
    <hyperlink r:id="rId678" ref="G418"/>
    <hyperlink r:id="rId679" ref="F419"/>
    <hyperlink r:id="rId680" ref="F420"/>
    <hyperlink r:id="rId681" ref="S420"/>
    <hyperlink r:id="rId682" ref="F421"/>
    <hyperlink r:id="rId683" ref="S421"/>
    <hyperlink r:id="rId684" ref="C423"/>
    <hyperlink r:id="rId685" ref="F423"/>
    <hyperlink r:id="rId686" ref="G423"/>
    <hyperlink r:id="rId687" ref="S423"/>
    <hyperlink r:id="rId688" ref="F424"/>
    <hyperlink r:id="rId689" ref="S424"/>
    <hyperlink r:id="rId690" ref="F425"/>
    <hyperlink r:id="rId691" ref="G425"/>
    <hyperlink r:id="rId692" ref="S425"/>
    <hyperlink r:id="rId693" ref="F426"/>
    <hyperlink r:id="rId694" ref="G426"/>
    <hyperlink r:id="rId695" ref="S426"/>
    <hyperlink r:id="rId696" ref="F428"/>
    <hyperlink r:id="rId697" ref="S428"/>
    <hyperlink r:id="rId698" ref="S429"/>
    <hyperlink r:id="rId699" ref="F430"/>
    <hyperlink r:id="rId700" ref="S430"/>
    <hyperlink r:id="rId701" ref="F431"/>
    <hyperlink r:id="rId702" ref="S431"/>
    <hyperlink r:id="rId703" ref="S432"/>
    <hyperlink r:id="rId704" ref="F433"/>
    <hyperlink r:id="rId705" ref="F434"/>
    <hyperlink r:id="rId706" ref="F435"/>
    <hyperlink r:id="rId707" ref="S435"/>
    <hyperlink r:id="rId708" ref="F436"/>
    <hyperlink r:id="rId709" ref="S436"/>
    <hyperlink r:id="rId710" ref="F437"/>
    <hyperlink r:id="rId711" ref="S437"/>
    <hyperlink r:id="rId712" ref="G439"/>
    <hyperlink r:id="rId713" ref="G440"/>
    <hyperlink r:id="rId714" ref="S440"/>
    <hyperlink r:id="rId715" ref="G441"/>
    <hyperlink r:id="rId716" ref="F443"/>
    <hyperlink r:id="rId717" ref="S443"/>
    <hyperlink r:id="rId718" ref="G444"/>
    <hyperlink r:id="rId719" ref="S444"/>
    <hyperlink r:id="rId720" ref="F446"/>
    <hyperlink r:id="rId721" ref="G446"/>
    <hyperlink r:id="rId722" ref="F447"/>
    <hyperlink r:id="rId723" ref="S447"/>
    <hyperlink r:id="rId724" ref="F448"/>
    <hyperlink r:id="rId725" ref="G448"/>
    <hyperlink r:id="rId726" ref="S448"/>
    <hyperlink r:id="rId727" ref="F449"/>
    <hyperlink r:id="rId728" ref="S449"/>
    <hyperlink r:id="rId729" ref="F450"/>
    <hyperlink r:id="rId730" ref="C451"/>
    <hyperlink r:id="rId731" ref="F451"/>
    <hyperlink r:id="rId732" ref="S451"/>
    <hyperlink r:id="rId733" ref="G452"/>
    <hyperlink r:id="rId734" ref="S452"/>
    <hyperlink r:id="rId735" ref="F453"/>
    <hyperlink r:id="rId736" ref="G453"/>
    <hyperlink r:id="rId737" ref="F455"/>
    <hyperlink r:id="rId738" ref="F456"/>
    <hyperlink r:id="rId739" ref="S456"/>
    <hyperlink r:id="rId740" ref="G457"/>
    <hyperlink r:id="rId741" ref="F458"/>
    <hyperlink r:id="rId742" ref="S458"/>
    <hyperlink r:id="rId743" ref="S459"/>
    <hyperlink r:id="rId744" ref="G461"/>
    <hyperlink r:id="rId745" ref="S461"/>
    <hyperlink r:id="rId746" ref="F462"/>
    <hyperlink r:id="rId747" ref="F463"/>
    <hyperlink r:id="rId748" ref="G463"/>
    <hyperlink r:id="rId749" ref="F464"/>
    <hyperlink r:id="rId750" ref="G464"/>
    <hyperlink r:id="rId751" ref="S464"/>
    <hyperlink r:id="rId752" ref="F465"/>
    <hyperlink r:id="rId753" ref="S465"/>
    <hyperlink r:id="rId754" ref="S466"/>
    <hyperlink r:id="rId755" ref="F467"/>
    <hyperlink r:id="rId756" ref="S468"/>
    <hyperlink r:id="rId757" ref="S469"/>
    <hyperlink r:id="rId758" ref="G470"/>
    <hyperlink r:id="rId759" ref="G471"/>
    <hyperlink r:id="rId760" ref="S471"/>
    <hyperlink r:id="rId761" ref="F472"/>
    <hyperlink r:id="rId762" ref="S472"/>
    <hyperlink r:id="rId763" ref="F473"/>
    <hyperlink r:id="rId764" ref="G473"/>
    <hyperlink r:id="rId765" ref="S473"/>
    <hyperlink r:id="rId766" ref="F474"/>
    <hyperlink r:id="rId767" ref="F475"/>
    <hyperlink r:id="rId768" ref="S475"/>
    <hyperlink r:id="rId769" ref="F476"/>
    <hyperlink r:id="rId770" ref="S476"/>
    <hyperlink r:id="rId771" ref="F477"/>
    <hyperlink r:id="rId772" ref="G477"/>
    <hyperlink r:id="rId773" ref="S477"/>
    <hyperlink r:id="rId774" location="amwriting" ref="F478"/>
    <hyperlink r:id="rId775" ref="S478"/>
    <hyperlink r:id="rId776" ref="F479"/>
    <hyperlink r:id="rId777" ref="G479"/>
    <hyperlink r:id="rId778" ref="S479"/>
    <hyperlink r:id="rId779" ref="G480"/>
    <hyperlink r:id="rId780" ref="S480"/>
    <hyperlink r:id="rId781" ref="F481"/>
    <hyperlink r:id="rId782" ref="S481"/>
    <hyperlink r:id="rId783" ref="G482"/>
    <hyperlink r:id="rId784" ref="S482"/>
    <hyperlink r:id="rId785" ref="G483"/>
    <hyperlink r:id="rId786" ref="F484"/>
    <hyperlink r:id="rId787" ref="G484"/>
    <hyperlink r:id="rId788" ref="S484"/>
    <hyperlink r:id="rId789" ref="F485"/>
    <hyperlink r:id="rId790" ref="S485"/>
    <hyperlink r:id="rId791" ref="G486"/>
    <hyperlink r:id="rId792" ref="S486"/>
    <hyperlink r:id="rId793" ref="F487"/>
    <hyperlink r:id="rId794" ref="G487"/>
    <hyperlink r:id="rId795" ref="F488"/>
    <hyperlink r:id="rId796" ref="G488"/>
    <hyperlink r:id="rId797" ref="S488"/>
    <hyperlink r:id="rId798" ref="G489"/>
    <hyperlink r:id="rId799" ref="S489"/>
    <hyperlink r:id="rId800" ref="F490"/>
    <hyperlink r:id="rId801" ref="S490"/>
    <hyperlink r:id="rId802" ref="F491"/>
    <hyperlink r:id="rId803" ref="S491"/>
    <hyperlink r:id="rId804" ref="S492"/>
    <hyperlink r:id="rId805" ref="G493"/>
    <hyperlink r:id="rId806" ref="F494"/>
    <hyperlink r:id="rId807" ref="S494"/>
    <hyperlink r:id="rId808" ref="F495"/>
    <hyperlink r:id="rId809" ref="S495"/>
    <hyperlink r:id="rId810" ref="F497"/>
    <hyperlink r:id="rId811" ref="G497"/>
    <hyperlink r:id="rId812" ref="S497"/>
    <hyperlink r:id="rId813" ref="F498"/>
    <hyperlink r:id="rId814" ref="S498"/>
    <hyperlink r:id="rId815" ref="F499"/>
    <hyperlink r:id="rId816" ref="G499"/>
    <hyperlink r:id="rId817" ref="S499"/>
    <hyperlink r:id="rId818" ref="F500"/>
    <hyperlink r:id="rId819" ref="S500"/>
    <hyperlink r:id="rId820" ref="G501"/>
    <hyperlink r:id="rId821" ref="F503"/>
    <hyperlink r:id="rId822" ref="S503"/>
    <hyperlink r:id="rId823" ref="F504"/>
    <hyperlink r:id="rId824" ref="S504"/>
    <hyperlink r:id="rId825" ref="G505"/>
    <hyperlink r:id="rId826" ref="S505"/>
    <hyperlink r:id="rId827" ref="F507"/>
    <hyperlink r:id="rId828" ref="G507"/>
    <hyperlink r:id="rId829" ref="S507"/>
    <hyperlink r:id="rId830" ref="F508"/>
    <hyperlink r:id="rId831" ref="S508"/>
    <hyperlink r:id="rId832" ref="G509"/>
    <hyperlink r:id="rId833" ref="S509"/>
    <hyperlink r:id="rId834" ref="G510"/>
    <hyperlink r:id="rId835" ref="S510"/>
    <hyperlink r:id="rId836" ref="F511"/>
    <hyperlink r:id="rId837" ref="G511"/>
    <hyperlink r:id="rId838" ref="G512"/>
    <hyperlink r:id="rId839" ref="S512"/>
    <hyperlink r:id="rId840" ref="S513"/>
    <hyperlink r:id="rId841" ref="F514"/>
    <hyperlink r:id="rId842" ref="S514"/>
    <hyperlink r:id="rId843" ref="F516"/>
    <hyperlink r:id="rId844" ref="S516"/>
    <hyperlink r:id="rId845" ref="F518"/>
    <hyperlink r:id="rId846" ref="S518"/>
    <hyperlink r:id="rId847" ref="F519"/>
    <hyperlink r:id="rId848" ref="F520"/>
    <hyperlink r:id="rId849" ref="S520"/>
    <hyperlink r:id="rId850" ref="S521"/>
    <hyperlink r:id="rId851" ref="G522"/>
    <hyperlink r:id="rId852" ref="F523"/>
    <hyperlink r:id="rId853" ref="F524"/>
    <hyperlink r:id="rId854" ref="G524"/>
    <hyperlink r:id="rId855" ref="F525"/>
    <hyperlink r:id="rId856" ref="G525"/>
    <hyperlink r:id="rId857" ref="S525"/>
    <hyperlink r:id="rId858" ref="F526"/>
    <hyperlink r:id="rId859" ref="G526"/>
    <hyperlink r:id="rId860" ref="S526"/>
    <hyperlink r:id="rId861" ref="F527"/>
    <hyperlink r:id="rId862" ref="S527"/>
    <hyperlink r:id="rId863" ref="F528"/>
    <hyperlink r:id="rId864" ref="G528"/>
    <hyperlink r:id="rId865" ref="S528"/>
    <hyperlink r:id="rId866" ref="F529"/>
    <hyperlink r:id="rId867" ref="G529"/>
    <hyperlink r:id="rId868" ref="S529"/>
    <hyperlink r:id="rId869" ref="F530"/>
    <hyperlink r:id="rId870" ref="G530"/>
    <hyperlink r:id="rId871" ref="S530"/>
    <hyperlink r:id="rId872" ref="F531"/>
    <hyperlink r:id="rId873" ref="F532"/>
    <hyperlink r:id="rId874" ref="F533"/>
    <hyperlink r:id="rId875" ref="G533"/>
    <hyperlink r:id="rId876" ref="S533"/>
    <hyperlink r:id="rId877" ref="F534"/>
    <hyperlink r:id="rId878" ref="G534"/>
    <hyperlink r:id="rId879" ref="S534"/>
    <hyperlink r:id="rId880" ref="F535"/>
    <hyperlink r:id="rId881" ref="G535"/>
    <hyperlink r:id="rId882" ref="F536"/>
    <hyperlink r:id="rId883" ref="G536"/>
    <hyperlink r:id="rId884" ref="S536"/>
    <hyperlink r:id="rId885" ref="F537"/>
    <hyperlink r:id="rId886" ref="S537"/>
    <hyperlink r:id="rId887" ref="F538"/>
    <hyperlink r:id="rId888" ref="G539"/>
    <hyperlink r:id="rId889" ref="S539"/>
    <hyperlink r:id="rId890" ref="F540"/>
    <hyperlink r:id="rId891" ref="G540"/>
    <hyperlink r:id="rId892" ref="S540"/>
    <hyperlink r:id="rId893" ref="F541"/>
    <hyperlink r:id="rId894" ref="F542"/>
    <hyperlink r:id="rId895" ref="S542"/>
    <hyperlink r:id="rId896" ref="F543"/>
    <hyperlink r:id="rId897" ref="G543"/>
    <hyperlink r:id="rId898" ref="G544"/>
    <hyperlink r:id="rId899" ref="F545"/>
    <hyperlink r:id="rId900" ref="S545"/>
    <hyperlink r:id="rId901" ref="S546"/>
    <hyperlink r:id="rId902" ref="G547"/>
    <hyperlink r:id="rId903" ref="F548"/>
    <hyperlink r:id="rId904" ref="G548"/>
    <hyperlink r:id="rId905" ref="S548"/>
    <hyperlink r:id="rId906" ref="F549"/>
    <hyperlink r:id="rId907" ref="S549"/>
    <hyperlink r:id="rId908" ref="F552"/>
    <hyperlink r:id="rId909" ref="S552"/>
    <hyperlink r:id="rId910" ref="G553"/>
    <hyperlink r:id="rId911" ref="S553"/>
    <hyperlink r:id="rId912" ref="F555"/>
    <hyperlink r:id="rId913" ref="S557"/>
    <hyperlink r:id="rId914" ref="G559"/>
    <hyperlink r:id="rId915" ref="F560"/>
    <hyperlink r:id="rId916" ref="F561"/>
    <hyperlink r:id="rId917" ref="S561"/>
    <hyperlink r:id="rId918" ref="F562"/>
    <hyperlink r:id="rId919" ref="S562"/>
    <hyperlink r:id="rId920" ref="S563"/>
    <hyperlink r:id="rId921" ref="F564"/>
    <hyperlink r:id="rId922" ref="S564"/>
    <hyperlink r:id="rId923" ref="G565"/>
    <hyperlink r:id="rId924" ref="F566"/>
    <hyperlink r:id="rId925" ref="G566"/>
    <hyperlink r:id="rId926" ref="S566"/>
    <hyperlink r:id="rId927" ref="F567"/>
    <hyperlink r:id="rId928" ref="S567"/>
    <hyperlink r:id="rId929" ref="F568"/>
    <hyperlink r:id="rId930" ref="S568"/>
    <hyperlink r:id="rId931" ref="S569"/>
    <hyperlink r:id="rId932" ref="F570"/>
    <hyperlink r:id="rId933" ref="S570"/>
    <hyperlink r:id="rId934" ref="S571"/>
    <hyperlink r:id="rId935" ref="F572"/>
    <hyperlink r:id="rId936" ref="S572"/>
    <hyperlink r:id="rId937" ref="F573"/>
    <hyperlink r:id="rId938" ref="S573"/>
    <hyperlink r:id="rId939" ref="F574"/>
    <hyperlink r:id="rId940" ref="S574"/>
    <hyperlink r:id="rId941" ref="F575"/>
    <hyperlink r:id="rId942" ref="G575"/>
    <hyperlink r:id="rId943" ref="S575"/>
    <hyperlink r:id="rId944" ref="F576"/>
    <hyperlink r:id="rId945" ref="G576"/>
    <hyperlink r:id="rId946" ref="S576"/>
    <hyperlink r:id="rId947" ref="F577"/>
    <hyperlink r:id="rId948" ref="S577"/>
    <hyperlink r:id="rId949" ref="G578"/>
    <hyperlink r:id="rId950" ref="S578"/>
    <hyperlink r:id="rId951" ref="F579"/>
    <hyperlink r:id="rId952" ref="S579"/>
    <hyperlink r:id="rId953" ref="G580"/>
    <hyperlink r:id="rId954" ref="S580"/>
    <hyperlink r:id="rId955" ref="F581"/>
    <hyperlink r:id="rId956" ref="S581"/>
    <hyperlink r:id="rId957" ref="S582"/>
    <hyperlink r:id="rId958" ref="F583"/>
    <hyperlink r:id="rId959" ref="S583"/>
    <hyperlink r:id="rId960" ref="S584"/>
    <hyperlink r:id="rId961" ref="G585"/>
    <hyperlink r:id="rId962" ref="S585"/>
    <hyperlink r:id="rId963" ref="F586"/>
    <hyperlink r:id="rId964" ref="S586"/>
    <hyperlink r:id="rId965" ref="F587"/>
    <hyperlink r:id="rId966" ref="F588"/>
    <hyperlink r:id="rId967" ref="S588"/>
    <hyperlink r:id="rId968" ref="F590"/>
    <hyperlink r:id="rId969" ref="S590"/>
    <hyperlink r:id="rId970" ref="F591"/>
    <hyperlink r:id="rId971" ref="G591"/>
    <hyperlink r:id="rId972" ref="F592"/>
    <hyperlink r:id="rId973" ref="S592"/>
    <hyperlink r:id="rId974" ref="F593"/>
    <hyperlink r:id="rId975" ref="S593"/>
    <hyperlink r:id="rId976" ref="S594"/>
    <hyperlink r:id="rId977" ref="F595"/>
    <hyperlink r:id="rId978" ref="G595"/>
    <hyperlink r:id="rId979" ref="F598"/>
    <hyperlink r:id="rId980" ref="F599"/>
    <hyperlink r:id="rId981" ref="S599"/>
    <hyperlink r:id="rId982" ref="F601"/>
    <hyperlink r:id="rId983" ref="S601"/>
    <hyperlink r:id="rId984" ref="S602"/>
    <hyperlink r:id="rId985" ref="F604"/>
    <hyperlink r:id="rId986" ref="G604"/>
    <hyperlink r:id="rId987" ref="S604"/>
    <hyperlink r:id="rId988" ref="F605"/>
    <hyperlink r:id="rId989" ref="G605"/>
    <hyperlink r:id="rId990" ref="S605"/>
    <hyperlink r:id="rId991" ref="F606"/>
    <hyperlink r:id="rId992" ref="G606"/>
    <hyperlink r:id="rId993" ref="S606"/>
    <hyperlink r:id="rId994" ref="F607"/>
    <hyperlink r:id="rId995" ref="G607"/>
    <hyperlink r:id="rId996" ref="S607"/>
    <hyperlink r:id="rId997" ref="F608"/>
    <hyperlink r:id="rId998" ref="F609"/>
    <hyperlink r:id="rId999" ref="S609"/>
    <hyperlink r:id="rId1000" ref="S611"/>
    <hyperlink r:id="rId1001" ref="F612"/>
    <hyperlink r:id="rId1002" ref="S613"/>
    <hyperlink r:id="rId1003" ref="F614"/>
    <hyperlink r:id="rId1004" ref="S614"/>
    <hyperlink r:id="rId1005" ref="F615"/>
    <hyperlink r:id="rId1006" ref="S615"/>
    <hyperlink r:id="rId1007" ref="F616"/>
    <hyperlink r:id="rId1008" ref="G616"/>
    <hyperlink r:id="rId1009" ref="S616"/>
    <hyperlink r:id="rId1010" ref="G617"/>
    <hyperlink r:id="rId1011" ref="S617"/>
    <hyperlink r:id="rId1012" ref="F618"/>
    <hyperlink r:id="rId1013" ref="S618"/>
    <hyperlink r:id="rId1014" ref="S619"/>
    <hyperlink r:id="rId1015" ref="F621"/>
    <hyperlink r:id="rId1016" ref="S621"/>
    <hyperlink r:id="rId1017" ref="F622"/>
    <hyperlink r:id="rId1018" ref="S622"/>
    <hyperlink r:id="rId1019" ref="G623"/>
    <hyperlink r:id="rId1020" ref="S623"/>
    <hyperlink r:id="rId1021" ref="F624"/>
    <hyperlink r:id="rId1022" ref="G624"/>
    <hyperlink r:id="rId1023" ref="S624"/>
    <hyperlink r:id="rId1024" ref="F625"/>
    <hyperlink r:id="rId1025" ref="F626"/>
    <hyperlink r:id="rId1026" ref="G626"/>
    <hyperlink r:id="rId1027" ref="S626"/>
    <hyperlink r:id="rId1028" ref="G627"/>
    <hyperlink r:id="rId1029" ref="S628"/>
    <hyperlink r:id="rId1030" ref="S629"/>
    <hyperlink r:id="rId1031" ref="G630"/>
    <hyperlink r:id="rId1032" ref="F631"/>
    <hyperlink r:id="rId1033" ref="S631"/>
    <hyperlink r:id="rId1034" ref="F632"/>
    <hyperlink r:id="rId1035" ref="G632"/>
    <hyperlink r:id="rId1036" ref="S632"/>
    <hyperlink r:id="rId1037" ref="F633"/>
    <hyperlink r:id="rId1038" ref="S633"/>
    <hyperlink r:id="rId1039" ref="F634"/>
    <hyperlink r:id="rId1040" ref="S634"/>
    <hyperlink r:id="rId1041" ref="F635"/>
    <hyperlink r:id="rId1042" ref="S635"/>
    <hyperlink r:id="rId1043" ref="F637"/>
    <hyperlink r:id="rId1044" ref="S637"/>
    <hyperlink r:id="rId1045" ref="G639"/>
    <hyperlink r:id="rId1046" ref="S639"/>
    <hyperlink r:id="rId1047" ref="G640"/>
    <hyperlink r:id="rId1048" ref="S640"/>
    <hyperlink r:id="rId1049" ref="F642"/>
    <hyperlink r:id="rId1050" ref="S642"/>
    <hyperlink r:id="rId1051" ref="G643"/>
    <hyperlink r:id="rId1052" ref="S643"/>
    <hyperlink r:id="rId1053" ref="F644"/>
    <hyperlink r:id="rId1054" ref="S644"/>
    <hyperlink r:id="rId1055" ref="F645"/>
    <hyperlink r:id="rId1056" ref="S645"/>
    <hyperlink r:id="rId1057" ref="F646"/>
    <hyperlink r:id="rId1058" ref="S646"/>
    <hyperlink r:id="rId1059" ref="F647"/>
    <hyperlink r:id="rId1060" ref="S647"/>
    <hyperlink r:id="rId1061" ref="F648"/>
    <hyperlink r:id="rId1062" ref="G648"/>
    <hyperlink r:id="rId1063" ref="S648"/>
    <hyperlink r:id="rId1064" ref="F649"/>
    <hyperlink r:id="rId1065" ref="S649"/>
    <hyperlink r:id="rId1066" ref="F650"/>
    <hyperlink r:id="rId1067" ref="S650"/>
    <hyperlink r:id="rId1068" ref="F651"/>
    <hyperlink r:id="rId1069" ref="G651"/>
    <hyperlink r:id="rId1070" ref="S651"/>
    <hyperlink r:id="rId1071" ref="F652"/>
    <hyperlink r:id="rId1072" ref="F655"/>
    <hyperlink r:id="rId1073" ref="G655"/>
    <hyperlink r:id="rId1074" ref="S655"/>
    <hyperlink r:id="rId1075" ref="G657"/>
    <hyperlink r:id="rId1076" ref="S657"/>
    <hyperlink r:id="rId1077" ref="F659"/>
    <hyperlink r:id="rId1078" ref="G659"/>
    <hyperlink r:id="rId1079" ref="F660"/>
    <hyperlink r:id="rId1080" ref="F661"/>
    <hyperlink r:id="rId1081" ref="F662"/>
    <hyperlink r:id="rId1082" ref="S662"/>
    <hyperlink r:id="rId1083" ref="G663"/>
    <hyperlink r:id="rId1084" ref="S663"/>
    <hyperlink r:id="rId1085" ref="F664"/>
    <hyperlink r:id="rId1086" ref="S664"/>
    <hyperlink r:id="rId1087" ref="S665"/>
    <hyperlink r:id="rId1088" ref="F666"/>
    <hyperlink r:id="rId1089" ref="S666"/>
    <hyperlink r:id="rId1090" ref="G667"/>
    <hyperlink r:id="rId1091" ref="F668"/>
    <hyperlink r:id="rId1092" ref="G668"/>
    <hyperlink r:id="rId1093" ref="S668"/>
    <hyperlink r:id="rId1094" ref="F669"/>
    <hyperlink r:id="rId1095" ref="G669"/>
    <hyperlink r:id="rId1096" ref="S669"/>
    <hyperlink r:id="rId1097" ref="S670"/>
    <hyperlink r:id="rId1098" ref="F671"/>
    <hyperlink r:id="rId1099" ref="G671"/>
    <hyperlink r:id="rId1100" ref="S671"/>
    <hyperlink r:id="rId1101" ref="F672"/>
    <hyperlink r:id="rId1102" ref="F673"/>
    <hyperlink r:id="rId1103" ref="G673"/>
    <hyperlink r:id="rId1104" ref="S673"/>
    <hyperlink r:id="rId1105" ref="F674"/>
    <hyperlink r:id="rId1106" ref="G674"/>
    <hyperlink r:id="rId1107" ref="S674"/>
    <hyperlink r:id="rId1108" ref="F675"/>
    <hyperlink r:id="rId1109" ref="S675"/>
    <hyperlink r:id="rId1110" ref="F676"/>
    <hyperlink r:id="rId1111" ref="S676"/>
    <hyperlink r:id="rId1112" ref="G678"/>
    <hyperlink r:id="rId1113" ref="S678"/>
    <hyperlink r:id="rId1114" ref="G679"/>
    <hyperlink r:id="rId1115" ref="S679"/>
    <hyperlink r:id="rId1116" ref="F680"/>
    <hyperlink r:id="rId1117" ref="S680"/>
    <hyperlink r:id="rId1118" ref="F681"/>
    <hyperlink r:id="rId1119" ref="G681"/>
    <hyperlink r:id="rId1120" ref="S681"/>
    <hyperlink r:id="rId1121" ref="G682"/>
    <hyperlink r:id="rId1122" ref="S683"/>
    <hyperlink r:id="rId1123" ref="F684"/>
    <hyperlink r:id="rId1124" ref="S684"/>
    <hyperlink r:id="rId1125" ref="S685"/>
    <hyperlink r:id="rId1126" ref="F686"/>
    <hyperlink r:id="rId1127" ref="S686"/>
    <hyperlink r:id="rId1128" ref="F687"/>
    <hyperlink r:id="rId1129" ref="S687"/>
    <hyperlink r:id="rId1130" ref="G688"/>
    <hyperlink r:id="rId1131" ref="F689"/>
    <hyperlink r:id="rId1132" ref="G689"/>
    <hyperlink r:id="rId1133" ref="S689"/>
    <hyperlink r:id="rId1134" ref="G690"/>
    <hyperlink r:id="rId1135" ref="S690"/>
    <hyperlink r:id="rId1136" ref="F691"/>
    <hyperlink r:id="rId1137" ref="G691"/>
    <hyperlink r:id="rId1138" ref="S691"/>
    <hyperlink r:id="rId1139" ref="F692"/>
    <hyperlink r:id="rId1140" ref="S692"/>
    <hyperlink r:id="rId1141" ref="S693"/>
    <hyperlink r:id="rId1142" ref="C694"/>
    <hyperlink r:id="rId1143" ref="F694"/>
    <hyperlink r:id="rId1144" ref="G694"/>
    <hyperlink r:id="rId1145" ref="S694"/>
    <hyperlink r:id="rId1146" ref="G695"/>
    <hyperlink r:id="rId1147" ref="S695"/>
    <hyperlink r:id="rId1148" ref="F696"/>
    <hyperlink r:id="rId1149" ref="S696"/>
    <hyperlink r:id="rId1150" ref="F699"/>
    <hyperlink r:id="rId1151" ref="S699"/>
    <hyperlink r:id="rId1152" ref="F700"/>
    <hyperlink r:id="rId1153" ref="G700"/>
    <hyperlink r:id="rId1154" ref="S700"/>
    <hyperlink r:id="rId1155" ref="F704"/>
    <hyperlink r:id="rId1156" ref="G704"/>
    <hyperlink r:id="rId1157" ref="S704"/>
    <hyperlink r:id="rId1158" ref="G705"/>
    <hyperlink r:id="rId1159" ref="S705"/>
    <hyperlink r:id="rId1160" ref="F707"/>
    <hyperlink r:id="rId1161" ref="G707"/>
    <hyperlink r:id="rId1162" ref="S707"/>
    <hyperlink r:id="rId1163" ref="F708"/>
    <hyperlink r:id="rId1164" ref="G708"/>
    <hyperlink r:id="rId1165" ref="S708"/>
    <hyperlink r:id="rId1166" ref="F709"/>
    <hyperlink r:id="rId1167" ref="S709"/>
    <hyperlink r:id="rId1168" ref="F711"/>
    <hyperlink r:id="rId1169" ref="S711"/>
    <hyperlink r:id="rId1170" ref="F712"/>
    <hyperlink r:id="rId1171" ref="G712"/>
    <hyperlink r:id="rId1172" ref="S712"/>
    <hyperlink r:id="rId1173" ref="S713"/>
    <hyperlink r:id="rId1174" ref="S714"/>
    <hyperlink r:id="rId1175" ref="F715"/>
    <hyperlink r:id="rId1176" ref="S715"/>
    <hyperlink r:id="rId1177" ref="G716"/>
    <hyperlink r:id="rId1178" ref="F717"/>
    <hyperlink r:id="rId1179" ref="S717"/>
    <hyperlink r:id="rId1180" ref="S719"/>
    <hyperlink r:id="rId1181" ref="G720"/>
    <hyperlink r:id="rId1182" ref="S720"/>
    <hyperlink r:id="rId1183" ref="S721"/>
    <hyperlink r:id="rId1184" ref="F722"/>
    <hyperlink r:id="rId1185" ref="S722"/>
    <hyperlink r:id="rId1186" ref="S723"/>
    <hyperlink r:id="rId1187" ref="S724"/>
    <hyperlink r:id="rId1188" ref="F725"/>
    <hyperlink r:id="rId1189" ref="S725"/>
    <hyperlink r:id="rId1190" ref="F726"/>
    <hyperlink r:id="rId1191" ref="G726"/>
    <hyperlink r:id="rId1192" ref="S726"/>
    <hyperlink r:id="rId1193" ref="G727"/>
    <hyperlink r:id="rId1194" ref="S727"/>
    <hyperlink r:id="rId1195" ref="G728"/>
    <hyperlink r:id="rId1196" ref="S728"/>
    <hyperlink r:id="rId1197" ref="G729"/>
    <hyperlink r:id="rId1198" ref="S729"/>
    <hyperlink r:id="rId1199" ref="C730"/>
    <hyperlink r:id="rId1200" ref="F730"/>
    <hyperlink r:id="rId1201" ref="S730"/>
    <hyperlink r:id="rId1202" ref="G731"/>
    <hyperlink r:id="rId1203" ref="F732"/>
    <hyperlink r:id="rId1204" ref="G732"/>
    <hyperlink r:id="rId1205" ref="S732"/>
    <hyperlink r:id="rId1206" ref="F733"/>
    <hyperlink r:id="rId1207" ref="S733"/>
    <hyperlink r:id="rId1208" ref="S734"/>
    <hyperlink r:id="rId1209" ref="F735"/>
    <hyperlink r:id="rId1210" ref="G735"/>
    <hyperlink r:id="rId1211" ref="S735"/>
    <hyperlink r:id="rId1212" ref="F736"/>
    <hyperlink r:id="rId1213" ref="S736"/>
    <hyperlink r:id="rId1214" ref="C737"/>
    <hyperlink r:id="rId1215" ref="F737"/>
    <hyperlink r:id="rId1216" ref="G737"/>
    <hyperlink r:id="rId1217" ref="S737"/>
    <hyperlink r:id="rId1218" ref="F738"/>
    <hyperlink r:id="rId1219" ref="S738"/>
    <hyperlink r:id="rId1220" ref="F739"/>
    <hyperlink r:id="rId1221" ref="S739"/>
    <hyperlink r:id="rId1222" ref="G740"/>
    <hyperlink r:id="rId1223" ref="S740"/>
    <hyperlink r:id="rId1224" ref="F741"/>
    <hyperlink r:id="rId1225" ref="S741"/>
    <hyperlink r:id="rId1226" ref="S742"/>
    <hyperlink r:id="rId1227" ref="F743"/>
    <hyperlink r:id="rId1228" ref="F744"/>
    <hyperlink r:id="rId1229" ref="S744"/>
    <hyperlink r:id="rId1230" ref="S745"/>
    <hyperlink r:id="rId1231" ref="F746"/>
    <hyperlink r:id="rId1232" ref="S746"/>
    <hyperlink r:id="rId1233" ref="F749"/>
    <hyperlink r:id="rId1234" ref="S749"/>
    <hyperlink r:id="rId1235" ref="G750"/>
    <hyperlink r:id="rId1236" ref="S750"/>
    <hyperlink r:id="rId1237" ref="G751"/>
    <hyperlink r:id="rId1238" ref="G752"/>
    <hyperlink r:id="rId1239" ref="S752"/>
    <hyperlink r:id="rId1240" ref="F753"/>
    <hyperlink r:id="rId1241" ref="G753"/>
    <hyperlink r:id="rId1242" ref="S753"/>
    <hyperlink r:id="rId1243" ref="F754"/>
    <hyperlink r:id="rId1244" ref="F755"/>
    <hyperlink r:id="rId1245" ref="G755"/>
    <hyperlink r:id="rId1246" ref="S755"/>
    <hyperlink r:id="rId1247" ref="G756"/>
    <hyperlink r:id="rId1248" ref="S756"/>
    <hyperlink r:id="rId1249" ref="F757"/>
    <hyperlink r:id="rId1250" ref="S757"/>
    <hyperlink r:id="rId1251" ref="F758"/>
    <hyperlink r:id="rId1252" ref="S758"/>
    <hyperlink r:id="rId1253" ref="G759"/>
    <hyperlink r:id="rId1254" ref="G760"/>
    <hyperlink r:id="rId1255" ref="S760"/>
    <hyperlink r:id="rId1256" ref="F761"/>
    <hyperlink r:id="rId1257" ref="S761"/>
    <hyperlink r:id="rId1258" ref="F762"/>
    <hyperlink r:id="rId1259" ref="S762"/>
    <hyperlink r:id="rId1260" ref="F763"/>
    <hyperlink r:id="rId1261" ref="S763"/>
    <hyperlink r:id="rId1262" ref="F765"/>
    <hyperlink r:id="rId1263" ref="F766"/>
    <hyperlink r:id="rId1264" ref="G766"/>
    <hyperlink r:id="rId1265" ref="S766"/>
    <hyperlink r:id="rId1266" ref="F767"/>
    <hyperlink r:id="rId1267" ref="G767"/>
    <hyperlink r:id="rId1268" ref="S767"/>
    <hyperlink r:id="rId1269" ref="F768"/>
    <hyperlink r:id="rId1270" ref="G768"/>
    <hyperlink r:id="rId1271" ref="S768"/>
    <hyperlink r:id="rId1272" ref="F769"/>
    <hyperlink r:id="rId1273" ref="G769"/>
    <hyperlink r:id="rId1274" ref="S769"/>
    <hyperlink r:id="rId1275" ref="F770"/>
    <hyperlink r:id="rId1276" ref="S770"/>
    <hyperlink r:id="rId1277" ref="G771"/>
    <hyperlink r:id="rId1278" ref="S771"/>
    <hyperlink r:id="rId1279" ref="S772"/>
    <hyperlink r:id="rId1280" ref="F773"/>
    <hyperlink r:id="rId1281" ref="S773"/>
    <hyperlink r:id="rId1282" ref="S774"/>
    <hyperlink r:id="rId1283" ref="F775"/>
    <hyperlink r:id="rId1284" ref="G775"/>
    <hyperlink r:id="rId1285" ref="S775"/>
    <hyperlink r:id="rId1286" ref="F777"/>
    <hyperlink r:id="rId1287" ref="S777"/>
    <hyperlink r:id="rId1288" ref="F778"/>
    <hyperlink r:id="rId1289" ref="S778"/>
    <hyperlink r:id="rId1290" ref="F779"/>
    <hyperlink r:id="rId1291" ref="G779"/>
    <hyperlink r:id="rId1292" ref="S779"/>
    <hyperlink r:id="rId1293" ref="G781"/>
    <hyperlink r:id="rId1294" ref="S781"/>
    <hyperlink r:id="rId1295" ref="C782"/>
    <hyperlink r:id="rId1296" ref="F782"/>
    <hyperlink r:id="rId1297" ref="S782"/>
    <hyperlink r:id="rId1298" ref="F783"/>
    <hyperlink r:id="rId1299" ref="G783"/>
    <hyperlink r:id="rId1300" ref="S783"/>
    <hyperlink r:id="rId1301" ref="F784"/>
    <hyperlink r:id="rId1302" ref="S784"/>
    <hyperlink r:id="rId1303" ref="F785"/>
    <hyperlink r:id="rId1304" ref="S785"/>
    <hyperlink r:id="rId1305" ref="F786"/>
    <hyperlink r:id="rId1306" ref="G786"/>
    <hyperlink r:id="rId1307" ref="S786"/>
    <hyperlink r:id="rId1308" ref="G787"/>
    <hyperlink r:id="rId1309" ref="S787"/>
    <hyperlink r:id="rId1310" ref="F788"/>
    <hyperlink r:id="rId1311" ref="S789"/>
    <hyperlink r:id="rId1312" ref="G790"/>
    <hyperlink r:id="rId1313" ref="S790"/>
    <hyperlink r:id="rId1314" ref="S791"/>
    <hyperlink r:id="rId1315" ref="F792"/>
    <hyperlink r:id="rId1316" ref="G792"/>
    <hyperlink r:id="rId1317" ref="S792"/>
    <hyperlink r:id="rId1318" ref="F794"/>
    <hyperlink r:id="rId1319" ref="S794"/>
    <hyperlink r:id="rId1320" ref="F795"/>
    <hyperlink r:id="rId1321" ref="S795"/>
    <hyperlink r:id="rId1322" ref="G796"/>
    <hyperlink r:id="rId1323" ref="S796"/>
    <hyperlink r:id="rId1324" ref="F797"/>
    <hyperlink r:id="rId1325" ref="G798"/>
    <hyperlink r:id="rId1326" ref="S798"/>
    <hyperlink r:id="rId1327" ref="F799"/>
    <hyperlink r:id="rId1328" ref="G799"/>
    <hyperlink r:id="rId1329" ref="F800"/>
    <hyperlink r:id="rId1330" ref="G800"/>
    <hyperlink r:id="rId1331" ref="S800"/>
    <hyperlink r:id="rId1332" ref="F801"/>
    <hyperlink r:id="rId1333" ref="G801"/>
    <hyperlink r:id="rId1334" ref="S801"/>
    <hyperlink r:id="rId1335" ref="S802"/>
    <hyperlink r:id="rId1336" ref="F803"/>
    <hyperlink r:id="rId1337" ref="G803"/>
    <hyperlink r:id="rId1338" ref="S803"/>
    <hyperlink r:id="rId1339" ref="F804"/>
    <hyperlink r:id="rId1340" ref="S804"/>
    <hyperlink r:id="rId1341" ref="G805"/>
    <hyperlink r:id="rId1342" ref="S805"/>
    <hyperlink r:id="rId1343" ref="F806"/>
    <hyperlink r:id="rId1344" ref="G806"/>
    <hyperlink r:id="rId1345" ref="S806"/>
    <hyperlink r:id="rId1346" ref="F807"/>
    <hyperlink r:id="rId1347" ref="G807"/>
    <hyperlink r:id="rId1348" ref="S807"/>
    <hyperlink r:id="rId1349" ref="F808"/>
    <hyperlink r:id="rId1350" ref="G808"/>
    <hyperlink r:id="rId1351" ref="S808"/>
    <hyperlink r:id="rId1352" ref="F809"/>
    <hyperlink r:id="rId1353" ref="S809"/>
    <hyperlink r:id="rId1354" ref="F810"/>
    <hyperlink r:id="rId1355" ref="G810"/>
    <hyperlink r:id="rId1356" ref="S810"/>
    <hyperlink r:id="rId1357" ref="F814"/>
    <hyperlink r:id="rId1358" ref="S814"/>
    <hyperlink r:id="rId1359" ref="F815"/>
    <hyperlink r:id="rId1360" ref="S815"/>
    <hyperlink r:id="rId1361" ref="G816"/>
    <hyperlink r:id="rId1362" ref="G817"/>
    <hyperlink r:id="rId1363" ref="S817"/>
    <hyperlink r:id="rId1364" ref="F818"/>
    <hyperlink r:id="rId1365" ref="S818"/>
    <hyperlink r:id="rId1366" ref="F819"/>
    <hyperlink r:id="rId1367" ref="G819"/>
    <hyperlink r:id="rId1368" ref="S819"/>
    <hyperlink r:id="rId1369" ref="F820"/>
    <hyperlink r:id="rId1370" ref="G820"/>
    <hyperlink r:id="rId1371" ref="S820"/>
    <hyperlink r:id="rId1372" ref="F821"/>
    <hyperlink r:id="rId1373" ref="G821"/>
    <hyperlink r:id="rId1374" ref="S821"/>
    <hyperlink r:id="rId1375" ref="F822"/>
    <hyperlink r:id="rId1376" ref="G822"/>
    <hyperlink r:id="rId1377" ref="G823"/>
    <hyperlink r:id="rId1378" ref="S824"/>
    <hyperlink r:id="rId1379" ref="S825"/>
    <hyperlink r:id="rId1380" ref="S826"/>
    <hyperlink r:id="rId1381" ref="F827"/>
    <hyperlink r:id="rId1382" ref="S827"/>
    <hyperlink r:id="rId1383" ref="F828"/>
    <hyperlink r:id="rId1384" ref="S828"/>
    <hyperlink r:id="rId1385" ref="S829"/>
    <hyperlink r:id="rId1386" ref="G830"/>
    <hyperlink r:id="rId1387" ref="S830"/>
    <hyperlink r:id="rId1388" ref="S831"/>
    <hyperlink r:id="rId1389" ref="S833"/>
    <hyperlink r:id="rId1390" ref="F834"/>
    <hyperlink r:id="rId1391" ref="S834"/>
    <hyperlink r:id="rId1392" ref="S836"/>
    <hyperlink r:id="rId1393" ref="F837"/>
    <hyperlink r:id="rId1394" ref="S837"/>
    <hyperlink r:id="rId1395" ref="S838"/>
    <hyperlink r:id="rId1396" ref="G839"/>
    <hyperlink r:id="rId1397" ref="F840"/>
    <hyperlink r:id="rId1398" ref="G840"/>
    <hyperlink r:id="rId1399" ref="S840"/>
    <hyperlink r:id="rId1400" ref="F842"/>
    <hyperlink r:id="rId1401" ref="S842"/>
    <hyperlink r:id="rId1402" ref="F843"/>
    <hyperlink r:id="rId1403" ref="S843"/>
    <hyperlink r:id="rId1404" ref="F844"/>
    <hyperlink r:id="rId1405" ref="G844"/>
    <hyperlink r:id="rId1406" ref="S844"/>
    <hyperlink r:id="rId1407" ref="S845"/>
    <hyperlink r:id="rId1408" ref="F846"/>
    <hyperlink r:id="rId1409" ref="S846"/>
    <hyperlink r:id="rId1410" ref="G847"/>
    <hyperlink r:id="rId1411" ref="S847"/>
    <hyperlink r:id="rId1412" ref="F849"/>
    <hyperlink r:id="rId1413" ref="G849"/>
    <hyperlink r:id="rId1414" ref="S849"/>
    <hyperlink r:id="rId1415" ref="G850"/>
    <hyperlink r:id="rId1416" ref="F852"/>
    <hyperlink r:id="rId1417" ref="F853"/>
    <hyperlink r:id="rId1418" ref="S853"/>
    <hyperlink r:id="rId1419" ref="G854"/>
    <hyperlink r:id="rId1420" ref="F855"/>
    <hyperlink r:id="rId1421" ref="F856"/>
    <hyperlink r:id="rId1422" ref="S856"/>
    <hyperlink r:id="rId1423" ref="S857"/>
    <hyperlink r:id="rId1424" ref="G859"/>
    <hyperlink r:id="rId1425" ref="S859"/>
    <hyperlink r:id="rId1426" ref="S861"/>
    <hyperlink r:id="rId1427" ref="S862"/>
    <hyperlink r:id="rId1428" ref="F863"/>
    <hyperlink r:id="rId1429" ref="G863"/>
    <hyperlink r:id="rId1430" ref="S863"/>
    <hyperlink r:id="rId1431" ref="G865"/>
    <hyperlink r:id="rId1432" ref="S865"/>
    <hyperlink r:id="rId1433" ref="F866"/>
    <hyperlink r:id="rId1434" ref="F868"/>
    <hyperlink r:id="rId1435" ref="S868"/>
    <hyperlink r:id="rId1436" ref="F869"/>
    <hyperlink r:id="rId1437" ref="F870"/>
    <hyperlink r:id="rId1438" ref="S870"/>
    <hyperlink r:id="rId1439" ref="F871"/>
    <hyperlink r:id="rId1440" ref="S871"/>
    <hyperlink r:id="rId1441" ref="F872"/>
    <hyperlink r:id="rId1442" ref="S872"/>
    <hyperlink r:id="rId1443" ref="F873"/>
    <hyperlink r:id="rId1444" ref="S873"/>
    <hyperlink r:id="rId1445" ref="G874"/>
    <hyperlink r:id="rId1446" ref="S874"/>
    <hyperlink r:id="rId1447" ref="F875"/>
    <hyperlink r:id="rId1448" ref="S875"/>
    <hyperlink r:id="rId1449" ref="F876"/>
    <hyperlink r:id="rId1450" ref="S876"/>
    <hyperlink r:id="rId1451" ref="F877"/>
    <hyperlink r:id="rId1452" ref="S877"/>
    <hyperlink r:id="rId1453" ref="F879"/>
    <hyperlink r:id="rId1454" ref="G879"/>
    <hyperlink r:id="rId1455" ref="S879"/>
    <hyperlink r:id="rId1456" ref="F881"/>
    <hyperlink r:id="rId1457" ref="G881"/>
    <hyperlink r:id="rId1458" ref="S882"/>
    <hyperlink r:id="rId1459" ref="S883"/>
    <hyperlink r:id="rId1460" ref="F884"/>
    <hyperlink r:id="rId1461" ref="G884"/>
    <hyperlink r:id="rId1462" ref="S884"/>
    <hyperlink r:id="rId1463" ref="F885"/>
    <hyperlink r:id="rId1464" ref="G885"/>
    <hyperlink r:id="rId1465" ref="S885"/>
    <hyperlink r:id="rId1466" ref="F886"/>
    <hyperlink r:id="rId1467" ref="S886"/>
    <hyperlink r:id="rId1468" ref="F887"/>
    <hyperlink r:id="rId1469" ref="G887"/>
    <hyperlink r:id="rId1470" ref="S887"/>
    <hyperlink r:id="rId1471" ref="F888"/>
    <hyperlink r:id="rId1472" ref="G888"/>
    <hyperlink r:id="rId1473" ref="S888"/>
    <hyperlink r:id="rId1474" ref="F889"/>
    <hyperlink r:id="rId1475" ref="S889"/>
    <hyperlink r:id="rId1476" ref="F890"/>
    <hyperlink r:id="rId1477" ref="S890"/>
    <hyperlink r:id="rId1478" ref="G892"/>
    <hyperlink r:id="rId1479" ref="S892"/>
    <hyperlink r:id="rId1480" ref="F893"/>
    <hyperlink r:id="rId1481" ref="F895"/>
    <hyperlink r:id="rId1482" ref="F896"/>
    <hyperlink r:id="rId1483" ref="S896"/>
    <hyperlink r:id="rId1484" ref="S898"/>
    <hyperlink r:id="rId1485" ref="F899"/>
    <hyperlink r:id="rId1486" ref="S901"/>
    <hyperlink r:id="rId1487" ref="G902"/>
    <hyperlink r:id="rId1488" ref="S902"/>
    <hyperlink r:id="rId1489" ref="G903"/>
    <hyperlink r:id="rId1490" ref="G904"/>
    <hyperlink r:id="rId1491" ref="F906"/>
    <hyperlink r:id="rId1492" ref="G906"/>
    <hyperlink r:id="rId1493" ref="S907"/>
    <hyperlink r:id="rId1494" ref="S908"/>
    <hyperlink r:id="rId1495" ref="F910"/>
    <hyperlink r:id="rId1496" ref="F911"/>
    <hyperlink r:id="rId1497" ref="S911"/>
    <hyperlink r:id="rId1498" ref="S912"/>
    <hyperlink r:id="rId1499" ref="S913"/>
    <hyperlink r:id="rId1500" ref="F914"/>
    <hyperlink r:id="rId1501" ref="S914"/>
    <hyperlink r:id="rId1502" ref="F916"/>
    <hyperlink r:id="rId1503" ref="G916"/>
    <hyperlink r:id="rId1504" ref="S916"/>
    <hyperlink r:id="rId1505" ref="G917"/>
    <hyperlink r:id="rId1506" ref="S917"/>
    <hyperlink r:id="rId1507" ref="F918"/>
    <hyperlink r:id="rId1508" ref="G918"/>
    <hyperlink r:id="rId1509" ref="S918"/>
    <hyperlink r:id="rId1510" ref="S920"/>
    <hyperlink r:id="rId1511" location="MentalHealthAwareness" ref="F921"/>
    <hyperlink r:id="rId1512" ref="G921"/>
    <hyperlink r:id="rId1513" ref="S921"/>
    <hyperlink r:id="rId1514" ref="S922"/>
    <hyperlink r:id="rId1515" ref="G923"/>
    <hyperlink r:id="rId1516" ref="S923"/>
    <hyperlink r:id="rId1517" ref="F924"/>
    <hyperlink r:id="rId1518" ref="F925"/>
    <hyperlink r:id="rId1519" ref="F926"/>
    <hyperlink r:id="rId1520" ref="G926"/>
    <hyperlink r:id="rId1521" ref="S926"/>
    <hyperlink r:id="rId1522" ref="F927"/>
    <hyperlink r:id="rId1523" ref="G927"/>
    <hyperlink r:id="rId1524" ref="S927"/>
    <hyperlink r:id="rId1525" ref="S928"/>
    <hyperlink r:id="rId1526" ref="F930"/>
    <hyperlink r:id="rId1527" ref="S930"/>
    <hyperlink r:id="rId1528" ref="F931"/>
    <hyperlink r:id="rId1529" ref="G931"/>
    <hyperlink r:id="rId1530" ref="S931"/>
    <hyperlink r:id="rId1531" ref="F932"/>
    <hyperlink r:id="rId1532" ref="G932"/>
    <hyperlink r:id="rId1533" ref="S932"/>
    <hyperlink r:id="rId1534" ref="F933"/>
    <hyperlink r:id="rId1535" ref="S933"/>
    <hyperlink r:id="rId1536" ref="F934"/>
    <hyperlink r:id="rId1537" ref="G934"/>
    <hyperlink r:id="rId1538" ref="S934"/>
    <hyperlink r:id="rId1539" ref="G936"/>
    <hyperlink r:id="rId1540" ref="F937"/>
    <hyperlink r:id="rId1541" ref="G938"/>
    <hyperlink r:id="rId1542" ref="S938"/>
    <hyperlink r:id="rId1543" ref="G939"/>
    <hyperlink r:id="rId1544" ref="S939"/>
    <hyperlink r:id="rId1545" ref="G940"/>
    <hyperlink r:id="rId1546" ref="S940"/>
    <hyperlink r:id="rId1547" ref="F942"/>
    <hyperlink r:id="rId1548" ref="S942"/>
    <hyperlink r:id="rId1549" ref="G943"/>
    <hyperlink r:id="rId1550" ref="S943"/>
    <hyperlink r:id="rId1551" ref="S944"/>
    <hyperlink r:id="rId1552" ref="S945"/>
    <hyperlink r:id="rId1553" ref="F947"/>
    <hyperlink r:id="rId1554" ref="F948"/>
    <hyperlink r:id="rId1555" ref="S948"/>
    <hyperlink r:id="rId1556" ref="F949"/>
    <hyperlink r:id="rId1557" ref="S949"/>
    <hyperlink r:id="rId1558" ref="S950"/>
    <hyperlink r:id="rId1559" ref="F951"/>
    <hyperlink r:id="rId1560" ref="F952"/>
    <hyperlink r:id="rId1561" ref="G952"/>
    <hyperlink r:id="rId1562" ref="S952"/>
    <hyperlink r:id="rId1563" ref="F953"/>
    <hyperlink r:id="rId1564" ref="G953"/>
    <hyperlink r:id="rId1565" ref="S953"/>
    <hyperlink r:id="rId1566" ref="F954"/>
    <hyperlink r:id="rId1567" ref="S954"/>
    <hyperlink r:id="rId1568" ref="F955"/>
    <hyperlink r:id="rId1569" ref="G955"/>
    <hyperlink r:id="rId1570" ref="S955"/>
    <hyperlink r:id="rId1571" ref="F957"/>
    <hyperlink r:id="rId1572" ref="S957"/>
    <hyperlink r:id="rId1573" ref="F958"/>
    <hyperlink r:id="rId1574" ref="F959"/>
    <hyperlink r:id="rId1575" ref="S959"/>
    <hyperlink r:id="rId1576" ref="F960"/>
    <hyperlink r:id="rId1577" ref="G960"/>
    <hyperlink r:id="rId1578" ref="S960"/>
    <hyperlink r:id="rId1579" ref="F961"/>
    <hyperlink r:id="rId1580" ref="Q961"/>
    <hyperlink r:id="rId1581" ref="S961"/>
    <hyperlink r:id="rId1582" ref="F962"/>
    <hyperlink r:id="rId1583" ref="S962"/>
    <hyperlink r:id="rId1584" ref="F963"/>
    <hyperlink r:id="rId1585" ref="S963"/>
    <hyperlink r:id="rId1586" ref="F964"/>
    <hyperlink r:id="rId1587" ref="S964"/>
    <hyperlink r:id="rId1588" ref="G965"/>
    <hyperlink r:id="rId1589" ref="S965"/>
    <hyperlink r:id="rId1590" ref="F966"/>
    <hyperlink r:id="rId1591" ref="S966"/>
    <hyperlink r:id="rId1592" location="start" ref="F967"/>
    <hyperlink r:id="rId1593" ref="F969"/>
    <hyperlink r:id="rId1594" ref="G969"/>
    <hyperlink r:id="rId1595" ref="S969"/>
    <hyperlink r:id="rId1596" ref="F970"/>
    <hyperlink r:id="rId1597" ref="G970"/>
    <hyperlink r:id="rId1598" ref="F971"/>
    <hyperlink r:id="rId1599" ref="G971"/>
    <hyperlink r:id="rId1600" ref="S971"/>
    <hyperlink r:id="rId1601" ref="F972"/>
    <hyperlink r:id="rId1602" ref="G972"/>
    <hyperlink r:id="rId1603" ref="S972"/>
    <hyperlink r:id="rId1604" ref="F973"/>
    <hyperlink r:id="rId1605" ref="G973"/>
    <hyperlink r:id="rId1606" ref="S973"/>
    <hyperlink r:id="rId1607" ref="F974"/>
    <hyperlink r:id="rId1608" ref="S974"/>
    <hyperlink r:id="rId1609" ref="F975"/>
    <hyperlink r:id="rId1610" ref="G975"/>
    <hyperlink r:id="rId1611" ref="S975"/>
    <hyperlink r:id="rId1612" ref="S976"/>
    <hyperlink r:id="rId1613" ref="F977"/>
    <hyperlink r:id="rId1614" ref="G977"/>
    <hyperlink r:id="rId1615" ref="S977"/>
    <hyperlink r:id="rId1616" ref="F978"/>
    <hyperlink r:id="rId1617" ref="G978"/>
    <hyperlink r:id="rId1618" ref="S978"/>
    <hyperlink r:id="rId1619" ref="F979"/>
    <hyperlink r:id="rId1620" ref="G979"/>
    <hyperlink r:id="rId1621" ref="S979"/>
    <hyperlink r:id="rId1622" ref="G980"/>
    <hyperlink r:id="rId1623" ref="S980"/>
    <hyperlink r:id="rId1624" ref="F981"/>
    <hyperlink r:id="rId1625" ref="S981"/>
    <hyperlink r:id="rId1626" ref="G982"/>
    <hyperlink r:id="rId1627" ref="S982"/>
    <hyperlink r:id="rId1628" ref="S984"/>
    <hyperlink r:id="rId1629" ref="G985"/>
    <hyperlink r:id="rId1630" ref="S985"/>
    <hyperlink r:id="rId1631" ref="S986"/>
    <hyperlink r:id="rId1632" ref="F987"/>
    <hyperlink r:id="rId1633" ref="G987"/>
    <hyperlink r:id="rId1634" ref="S987"/>
    <hyperlink r:id="rId1635" ref="G988"/>
    <hyperlink r:id="rId1636" ref="S988"/>
    <hyperlink r:id="rId1637" ref="S989"/>
    <hyperlink r:id="rId1638" ref="F990"/>
    <hyperlink r:id="rId1639" ref="G990"/>
    <hyperlink r:id="rId1640" ref="S990"/>
    <hyperlink r:id="rId1641" ref="S991"/>
    <hyperlink r:id="rId1642" ref="F992"/>
    <hyperlink r:id="rId1643" ref="S992"/>
    <hyperlink r:id="rId1644" ref="F993"/>
    <hyperlink r:id="rId1645" ref="G993"/>
    <hyperlink r:id="rId1646" ref="S993"/>
    <hyperlink r:id="rId1647" ref="F994"/>
    <hyperlink r:id="rId1648" ref="S994"/>
    <hyperlink r:id="rId1649" ref="S995"/>
    <hyperlink r:id="rId1650" ref="G997"/>
    <hyperlink r:id="rId1651" ref="S997"/>
    <hyperlink r:id="rId1652" ref="F998"/>
    <hyperlink r:id="rId1653" ref="S998"/>
    <hyperlink r:id="rId1654" ref="S999"/>
    <hyperlink r:id="rId1655" ref="F1000"/>
    <hyperlink r:id="rId1656" ref="F1001"/>
    <hyperlink r:id="rId1657" ref="S1001"/>
    <hyperlink r:id="rId1658" ref="S1002"/>
    <hyperlink r:id="rId1659" ref="S1003"/>
    <hyperlink r:id="rId1660" ref="F1004"/>
    <hyperlink r:id="rId1661" ref="G1004"/>
    <hyperlink r:id="rId1662" ref="S1004"/>
    <hyperlink r:id="rId1663" ref="F1005"/>
    <hyperlink r:id="rId1664" ref="G1005"/>
    <hyperlink r:id="rId1665" ref="S1005"/>
    <hyperlink r:id="rId1666" ref="S1006"/>
    <hyperlink r:id="rId1667" ref="F1007"/>
    <hyperlink r:id="rId1668" ref="G1007"/>
    <hyperlink r:id="rId1669" ref="G1008"/>
    <hyperlink r:id="rId1670" ref="G1010"/>
    <hyperlink r:id="rId1671" ref="F1011"/>
    <hyperlink r:id="rId1672" ref="S1011"/>
    <hyperlink r:id="rId1673" ref="S1012"/>
    <hyperlink r:id="rId1674" ref="G1013"/>
    <hyperlink r:id="rId1675" ref="S1013"/>
    <hyperlink r:id="rId1676" ref="F1014"/>
    <hyperlink r:id="rId1677" ref="S1014"/>
    <hyperlink r:id="rId1678" ref="F1015"/>
    <hyperlink r:id="rId1679" ref="S1015"/>
    <hyperlink r:id="rId1680" ref="F1016"/>
    <hyperlink r:id="rId1681" ref="S1016"/>
    <hyperlink r:id="rId1682" ref="F1017"/>
    <hyperlink r:id="rId1683" ref="G1017"/>
    <hyperlink r:id="rId1684" ref="S1017"/>
    <hyperlink r:id="rId1685" ref="F1018"/>
    <hyperlink r:id="rId1686" ref="S1018"/>
    <hyperlink r:id="rId1687" ref="F1019"/>
    <hyperlink r:id="rId1688" ref="S1019"/>
    <hyperlink r:id="rId1689" ref="F1020"/>
    <hyperlink r:id="rId1690" ref="G1020"/>
    <hyperlink r:id="rId1691" ref="F1022"/>
    <hyperlink r:id="rId1692" ref="S1022"/>
    <hyperlink r:id="rId1693" ref="F1023"/>
    <hyperlink r:id="rId1694" ref="S1023"/>
    <hyperlink r:id="rId1695" ref="F1024"/>
    <hyperlink r:id="rId1696" ref="S1024"/>
    <hyperlink r:id="rId1697" ref="F1025"/>
    <hyperlink r:id="rId1698" ref="G1025"/>
    <hyperlink r:id="rId1699" ref="S1025"/>
    <hyperlink r:id="rId1700" ref="G1027"/>
    <hyperlink r:id="rId1701" ref="S1027"/>
    <hyperlink r:id="rId1702" ref="G1028"/>
    <hyperlink r:id="rId1703" ref="S1028"/>
    <hyperlink r:id="rId1704" ref="G1029"/>
    <hyperlink r:id="rId1705" ref="S1029"/>
    <hyperlink r:id="rId1706" ref="F1030"/>
    <hyperlink r:id="rId1707" ref="S1030"/>
    <hyperlink r:id="rId1708" ref="F1031"/>
    <hyperlink r:id="rId1709" ref="F1032"/>
    <hyperlink r:id="rId1710" ref="S1032"/>
    <hyperlink r:id="rId1711" ref="F1033"/>
    <hyperlink r:id="rId1712" ref="S1033"/>
    <hyperlink r:id="rId1713" ref="F1034"/>
    <hyperlink r:id="rId1714" ref="G1035"/>
    <hyperlink r:id="rId1715" ref="S1035"/>
    <hyperlink r:id="rId1716" ref="G1036"/>
    <hyperlink r:id="rId1717" ref="G1037"/>
    <hyperlink r:id="rId1718" ref="S1037"/>
    <hyperlink r:id="rId1719" ref="G1038"/>
    <hyperlink r:id="rId1720" ref="S1038"/>
    <hyperlink r:id="rId1721" ref="F1039"/>
    <hyperlink r:id="rId1722" ref="S1039"/>
    <hyperlink r:id="rId1723" ref="F1040"/>
    <hyperlink r:id="rId1724" ref="G1040"/>
    <hyperlink r:id="rId1725" ref="S1040"/>
    <hyperlink r:id="rId1726" ref="G1041"/>
    <hyperlink r:id="rId1727" ref="S1041"/>
    <hyperlink r:id="rId1728" ref="F1043"/>
    <hyperlink r:id="rId1729" ref="S1043"/>
    <hyperlink r:id="rId1730" ref="G1044"/>
    <hyperlink r:id="rId1731" ref="S1044"/>
    <hyperlink r:id="rId1732" ref="G1045"/>
    <hyperlink r:id="rId1733" ref="S1045"/>
    <hyperlink r:id="rId1734" ref="F1046"/>
    <hyperlink r:id="rId1735" ref="F1048"/>
    <hyperlink r:id="rId1736" ref="G1049"/>
    <hyperlink r:id="rId1737" ref="G1050"/>
    <hyperlink r:id="rId1738" ref="F1051"/>
    <hyperlink r:id="rId1739" ref="G1051"/>
    <hyperlink r:id="rId1740" ref="S1051"/>
    <hyperlink r:id="rId1741" ref="S1052"/>
    <hyperlink r:id="rId1742" ref="G1053"/>
    <hyperlink r:id="rId1743" ref="Q1053"/>
    <hyperlink r:id="rId1744" ref="S1053"/>
    <hyperlink r:id="rId1745" ref="F1054"/>
    <hyperlink r:id="rId1746" ref="S1054"/>
    <hyperlink r:id="rId1747" ref="G1056"/>
    <hyperlink r:id="rId1748" ref="S1056"/>
    <hyperlink r:id="rId1749" ref="F1057"/>
    <hyperlink r:id="rId1750" ref="S1057"/>
    <hyperlink r:id="rId1751" ref="G1058"/>
    <hyperlink r:id="rId1752" ref="S1058"/>
    <hyperlink r:id="rId1753" ref="S1059"/>
    <hyperlink r:id="rId1754" ref="G1060"/>
    <hyperlink r:id="rId1755" ref="S1060"/>
    <hyperlink r:id="rId1756" ref="F1061"/>
    <hyperlink r:id="rId1757" ref="G1061"/>
    <hyperlink r:id="rId1758" ref="S1061"/>
    <hyperlink r:id="rId1759" ref="F1062"/>
    <hyperlink r:id="rId1760" ref="S1062"/>
    <hyperlink r:id="rId1761" ref="F1063"/>
    <hyperlink r:id="rId1762" ref="S1063"/>
    <hyperlink r:id="rId1763" ref="G1065"/>
    <hyperlink r:id="rId1764" ref="S1065"/>
    <hyperlink r:id="rId1765" ref="F1066"/>
    <hyperlink r:id="rId1766" ref="S1066"/>
    <hyperlink r:id="rId1767" ref="S1067"/>
    <hyperlink r:id="rId1768" ref="F1068"/>
    <hyperlink r:id="rId1769" ref="G1068"/>
    <hyperlink r:id="rId1770" ref="F1070"/>
    <hyperlink r:id="rId1771" ref="S1070"/>
    <hyperlink r:id="rId1772" ref="G1071"/>
    <hyperlink r:id="rId1773" ref="G1072"/>
    <hyperlink r:id="rId1774" ref="S1073"/>
    <hyperlink r:id="rId1775" ref="G1075"/>
    <hyperlink r:id="rId1776" ref="F1078"/>
    <hyperlink r:id="rId1777" ref="S1078"/>
    <hyperlink r:id="rId1778" ref="G1080"/>
    <hyperlink r:id="rId1779" ref="G1081"/>
    <hyperlink r:id="rId1780" ref="S1081"/>
    <hyperlink r:id="rId1781" ref="F1082"/>
    <hyperlink r:id="rId1782" ref="G1082"/>
    <hyperlink r:id="rId1783" ref="S1082"/>
    <hyperlink r:id="rId1784" ref="F1083"/>
    <hyperlink r:id="rId1785" ref="S1083"/>
    <hyperlink r:id="rId1786" ref="G1084"/>
    <hyperlink r:id="rId1787" ref="S1084"/>
    <hyperlink r:id="rId1788" ref="F1085"/>
    <hyperlink r:id="rId1789" ref="G1085"/>
    <hyperlink r:id="rId1790" ref="S1085"/>
    <hyperlink r:id="rId1791" ref="S1086"/>
    <hyperlink r:id="rId1792" ref="F1087"/>
    <hyperlink r:id="rId1793" ref="G1087"/>
    <hyperlink r:id="rId1794" ref="S1087"/>
    <hyperlink r:id="rId1795" ref="F1088"/>
    <hyperlink r:id="rId1796" ref="S1089"/>
    <hyperlink r:id="rId1797" ref="F1090"/>
    <hyperlink r:id="rId1798" ref="G1090"/>
    <hyperlink r:id="rId1799" ref="S1090"/>
    <hyperlink r:id="rId1800" ref="S1091"/>
    <hyperlink r:id="rId1801" ref="F1092"/>
    <hyperlink r:id="rId1802" ref="G1092"/>
    <hyperlink r:id="rId1803" ref="S1092"/>
    <hyperlink r:id="rId1804" ref="F1093"/>
    <hyperlink r:id="rId1805" ref="S1093"/>
    <hyperlink r:id="rId1806" ref="F1095"/>
    <hyperlink r:id="rId1807" ref="S1095"/>
    <hyperlink r:id="rId1808" ref="F1096"/>
    <hyperlink r:id="rId1809" ref="S1096"/>
    <hyperlink r:id="rId1810" ref="G1097"/>
    <hyperlink r:id="rId1811" ref="S1097"/>
    <hyperlink r:id="rId1812" ref="G1098"/>
    <hyperlink r:id="rId1813" ref="S1098"/>
    <hyperlink r:id="rId1814" ref="F1099"/>
    <hyperlink r:id="rId1815" ref="S1099"/>
    <hyperlink r:id="rId1816" ref="F1100"/>
    <hyperlink r:id="rId1817" ref="G1100"/>
    <hyperlink r:id="rId1818" ref="S1100"/>
    <hyperlink r:id="rId1819" ref="F1101"/>
    <hyperlink r:id="rId1820" ref="G1102"/>
    <hyperlink r:id="rId1821" ref="S1102"/>
    <hyperlink r:id="rId1822" ref="F1103"/>
    <hyperlink r:id="rId1823" ref="S1103"/>
    <hyperlink r:id="rId1824" ref="F1104"/>
    <hyperlink r:id="rId1825" ref="S1104"/>
    <hyperlink r:id="rId1826" ref="F1107"/>
    <hyperlink r:id="rId1827" ref="G1108"/>
    <hyperlink r:id="rId1828" ref="S1108"/>
    <hyperlink r:id="rId1829" ref="F1110"/>
    <hyperlink r:id="rId1830" ref="S1110"/>
    <hyperlink r:id="rId1831" ref="F1111"/>
    <hyperlink r:id="rId1832" ref="S1111"/>
    <hyperlink r:id="rId1833" ref="F1112"/>
    <hyperlink r:id="rId1834" ref="S1112"/>
    <hyperlink r:id="rId1835" ref="F1113"/>
    <hyperlink r:id="rId1836" ref="F1114"/>
    <hyperlink r:id="rId1837" ref="S1114"/>
    <hyperlink r:id="rId1838" ref="F1115"/>
    <hyperlink r:id="rId1839" ref="S1115"/>
    <hyperlink r:id="rId1840" ref="G1116"/>
    <hyperlink r:id="rId1841" ref="F1118"/>
    <hyperlink r:id="rId1842" ref="G1118"/>
    <hyperlink r:id="rId1843" ref="S1118"/>
    <hyperlink r:id="rId1844" ref="G1119"/>
    <hyperlink r:id="rId1845" ref="G1120"/>
    <hyperlink r:id="rId1846" ref="G1122"/>
    <hyperlink r:id="rId1847" ref="S1122"/>
    <hyperlink r:id="rId1848" ref="S1123"/>
    <hyperlink r:id="rId1849" ref="F1124"/>
    <hyperlink r:id="rId1850" ref="S1124"/>
    <hyperlink r:id="rId1851" ref="G1125"/>
    <hyperlink r:id="rId1852" ref="S1125"/>
    <hyperlink r:id="rId1853" ref="F1126"/>
    <hyperlink r:id="rId1854" ref="G1126"/>
    <hyperlink r:id="rId1855" ref="S1126"/>
    <hyperlink r:id="rId1856" ref="G1127"/>
    <hyperlink r:id="rId1857" ref="S1127"/>
    <hyperlink r:id="rId1858" ref="S1128"/>
    <hyperlink r:id="rId1859" ref="F1129"/>
    <hyperlink r:id="rId1860" ref="G1129"/>
    <hyperlink r:id="rId1861" ref="S1129"/>
    <hyperlink r:id="rId1862" ref="F1130"/>
    <hyperlink r:id="rId1863" ref="S1130"/>
    <hyperlink r:id="rId1864" ref="F1131"/>
    <hyperlink r:id="rId1865" ref="G1131"/>
    <hyperlink r:id="rId1866" ref="S1131"/>
    <hyperlink r:id="rId1867" ref="G1132"/>
    <hyperlink r:id="rId1868" ref="S1132"/>
    <hyperlink r:id="rId1869" ref="F1133"/>
    <hyperlink r:id="rId1870" ref="G1133"/>
    <hyperlink r:id="rId1871" ref="S1133"/>
    <hyperlink r:id="rId1872" ref="G1134"/>
    <hyperlink r:id="rId1873" ref="S1134"/>
    <hyperlink r:id="rId1874" ref="F1135"/>
    <hyperlink r:id="rId1875" ref="S1135"/>
    <hyperlink r:id="rId1876" ref="F1136"/>
    <hyperlink r:id="rId1877" ref="S1136"/>
    <hyperlink r:id="rId1878" ref="F1138"/>
    <hyperlink r:id="rId1879" ref="S1138"/>
    <hyperlink r:id="rId1880" ref="F1139"/>
    <hyperlink r:id="rId1881" ref="S1140"/>
    <hyperlink r:id="rId1882" ref="G1141"/>
    <hyperlink r:id="rId1883" ref="S1141"/>
    <hyperlink r:id="rId1884" ref="G1142"/>
    <hyperlink r:id="rId1885" ref="S1142"/>
    <hyperlink r:id="rId1886" ref="F1143"/>
    <hyperlink r:id="rId1887" ref="S1143"/>
    <hyperlink r:id="rId1888" ref="F1144"/>
    <hyperlink r:id="rId1889" ref="S1144"/>
    <hyperlink r:id="rId1890" ref="G1146"/>
    <hyperlink r:id="rId1891" ref="S1146"/>
    <hyperlink r:id="rId1892" ref="G1147"/>
    <hyperlink r:id="rId1893" ref="S1148"/>
    <hyperlink r:id="rId1894" ref="F1149"/>
    <hyperlink r:id="rId1895" ref="G1149"/>
    <hyperlink r:id="rId1896" ref="F1150"/>
    <hyperlink r:id="rId1897" ref="G1150"/>
    <hyperlink r:id="rId1898" ref="S1150"/>
    <hyperlink r:id="rId1899" ref="S1151"/>
    <hyperlink r:id="rId1900" ref="G1152"/>
    <hyperlink r:id="rId1901" ref="S1152"/>
    <hyperlink r:id="rId1902" ref="G1154"/>
    <hyperlink r:id="rId1903" ref="S1155"/>
    <hyperlink r:id="rId1904" ref="G1157"/>
    <hyperlink r:id="rId1905" ref="S1157"/>
    <hyperlink r:id="rId1906" ref="F1158"/>
    <hyperlink r:id="rId1907" ref="G1158"/>
    <hyperlink r:id="rId1908" ref="S1158"/>
    <hyperlink r:id="rId1909" ref="G1159"/>
    <hyperlink r:id="rId1910" ref="F1161"/>
    <hyperlink r:id="rId1911" ref="G1161"/>
    <hyperlink r:id="rId1912" ref="S1161"/>
    <hyperlink r:id="rId1913" ref="F1162"/>
    <hyperlink r:id="rId1914" ref="S1162"/>
    <hyperlink r:id="rId1915" ref="S1164"/>
    <hyperlink r:id="rId1916" ref="F1167"/>
    <hyperlink r:id="rId1917" ref="G1167"/>
    <hyperlink r:id="rId1918" ref="S1167"/>
    <hyperlink r:id="rId1919" ref="S1168"/>
    <hyperlink r:id="rId1920" ref="G1169"/>
    <hyperlink r:id="rId1921" ref="F1170"/>
    <hyperlink r:id="rId1922" ref="S1170"/>
    <hyperlink r:id="rId1923" ref="F1171"/>
    <hyperlink r:id="rId1924" ref="G1172"/>
    <hyperlink r:id="rId1925" ref="S1172"/>
    <hyperlink r:id="rId1926" ref="G1173"/>
    <hyperlink r:id="rId1927" ref="S1173"/>
    <hyperlink r:id="rId1928" ref="F1174"/>
    <hyperlink r:id="rId1929" ref="F1175"/>
    <hyperlink r:id="rId1930" ref="G1175"/>
    <hyperlink r:id="rId1931" ref="S1175"/>
    <hyperlink r:id="rId1932" ref="F1176"/>
    <hyperlink r:id="rId1933" ref="G1176"/>
    <hyperlink r:id="rId1934" ref="S1176"/>
    <hyperlink r:id="rId1935" ref="F1178"/>
    <hyperlink r:id="rId1936" ref="S1178"/>
    <hyperlink r:id="rId1937" ref="F1179"/>
    <hyperlink r:id="rId1938" ref="G1179"/>
    <hyperlink r:id="rId1939" ref="S1179"/>
    <hyperlink r:id="rId1940" ref="S1181"/>
    <hyperlink r:id="rId1941" ref="S1182"/>
    <hyperlink r:id="rId1942" ref="G1184"/>
    <hyperlink r:id="rId1943" ref="S1184"/>
    <hyperlink r:id="rId1944" ref="F1185"/>
    <hyperlink r:id="rId1945" ref="G1185"/>
    <hyperlink r:id="rId1946" ref="S1185"/>
    <hyperlink r:id="rId1947" ref="G1186"/>
    <hyperlink r:id="rId1948" ref="S1186"/>
    <hyperlink r:id="rId1949" ref="F1187"/>
    <hyperlink r:id="rId1950" ref="S1187"/>
    <hyperlink r:id="rId1951" ref="F1188"/>
    <hyperlink r:id="rId1952" ref="S1188"/>
    <hyperlink r:id="rId1953" ref="G1190"/>
    <hyperlink r:id="rId1954" ref="S1190"/>
    <hyperlink r:id="rId1955" ref="F1191"/>
    <hyperlink r:id="rId1956" ref="S1191"/>
    <hyperlink r:id="rId1957" ref="F1192"/>
    <hyperlink r:id="rId1958" ref="G1192"/>
    <hyperlink r:id="rId1959" ref="S1192"/>
    <hyperlink r:id="rId1960" ref="F1193"/>
    <hyperlink r:id="rId1961" ref="G1193"/>
    <hyperlink r:id="rId1962" ref="S1193"/>
    <hyperlink r:id="rId1963" ref="S1194"/>
    <hyperlink r:id="rId1964" ref="G1197"/>
    <hyperlink r:id="rId1965" ref="S1197"/>
    <hyperlink r:id="rId1966" ref="G1198"/>
    <hyperlink r:id="rId1967" ref="S1198"/>
    <hyperlink r:id="rId1968" ref="F1202"/>
    <hyperlink r:id="rId1969" ref="S1202"/>
    <hyperlink r:id="rId1970" ref="F1204"/>
    <hyperlink r:id="rId1971" ref="G1204"/>
    <hyperlink r:id="rId1972" ref="S1204"/>
    <hyperlink r:id="rId1973" ref="S1205"/>
    <hyperlink r:id="rId1974" ref="F1206"/>
    <hyperlink r:id="rId1975" ref="S1206"/>
    <hyperlink r:id="rId1976" ref="F1207"/>
    <hyperlink r:id="rId1977" ref="S1207"/>
    <hyperlink r:id="rId1978" ref="F1208"/>
    <hyperlink r:id="rId1979" ref="G1208"/>
    <hyperlink r:id="rId1980" ref="S1208"/>
    <hyperlink r:id="rId1981" ref="F1209"/>
    <hyperlink r:id="rId1982" ref="S1209"/>
    <hyperlink r:id="rId1983" ref="F1210"/>
    <hyperlink r:id="rId1984" ref="S1210"/>
    <hyperlink r:id="rId1985" ref="F1211"/>
    <hyperlink r:id="rId1986" ref="S1211"/>
    <hyperlink r:id="rId1987" ref="F1212"/>
    <hyperlink r:id="rId1988" ref="S1212"/>
    <hyperlink r:id="rId1989" ref="F1213"/>
    <hyperlink r:id="rId1990" ref="G1213"/>
    <hyperlink r:id="rId1991" ref="S1213"/>
    <hyperlink r:id="rId1992" ref="F1214"/>
    <hyperlink r:id="rId1993" ref="G1216"/>
    <hyperlink r:id="rId1994" ref="S1216"/>
    <hyperlink r:id="rId1995" ref="S1217"/>
    <hyperlink r:id="rId1996" ref="G1218"/>
    <hyperlink r:id="rId1997" ref="S1218"/>
    <hyperlink r:id="rId1998" ref="F1219"/>
    <hyperlink r:id="rId1999" ref="S1219"/>
    <hyperlink r:id="rId2000" ref="G1220"/>
    <hyperlink r:id="rId2001" ref="F1221"/>
    <hyperlink r:id="rId2002" ref="S1221"/>
    <hyperlink r:id="rId2003" ref="F1222"/>
    <hyperlink r:id="rId2004" ref="S1222"/>
    <hyperlink r:id="rId2005" ref="S1223"/>
    <hyperlink r:id="rId2006" ref="F1224"/>
    <hyperlink r:id="rId2007" ref="S1224"/>
    <hyperlink r:id="rId2008" ref="F1226"/>
    <hyperlink r:id="rId2009" ref="S1226"/>
    <hyperlink r:id="rId2010" ref="G1227"/>
    <hyperlink r:id="rId2011" ref="F1228"/>
    <hyperlink r:id="rId2012" ref="G1228"/>
    <hyperlink r:id="rId2013" ref="S1228"/>
    <hyperlink r:id="rId2014" ref="G1229"/>
    <hyperlink r:id="rId2015" ref="S1230"/>
    <hyperlink r:id="rId2016" ref="G1231"/>
    <hyperlink r:id="rId2017" ref="G1232"/>
    <hyperlink r:id="rId2018" ref="S1233"/>
    <hyperlink r:id="rId2019" ref="F1234"/>
    <hyperlink r:id="rId2020" ref="G1235"/>
    <hyperlink r:id="rId2021" ref="S1235"/>
    <hyperlink r:id="rId2022" ref="G1236"/>
    <hyperlink r:id="rId2023" ref="S1236"/>
    <hyperlink r:id="rId2024" ref="F1237"/>
    <hyperlink r:id="rId2025" ref="G1237"/>
    <hyperlink r:id="rId2026" location="/" ref="F1238"/>
    <hyperlink r:id="rId2027" ref="G1238"/>
    <hyperlink r:id="rId2028" ref="S1238"/>
    <hyperlink r:id="rId2029" ref="G1239"/>
    <hyperlink r:id="rId2030" ref="S1239"/>
    <hyperlink r:id="rId2031" ref="F1241"/>
    <hyperlink r:id="rId2032" ref="S1241"/>
    <hyperlink r:id="rId2033" ref="F1243"/>
    <hyperlink r:id="rId2034" ref="S1243"/>
    <hyperlink r:id="rId2035" ref="F1244"/>
    <hyperlink r:id="rId2036" ref="F1245"/>
    <hyperlink r:id="rId2037" ref="S1245"/>
    <hyperlink r:id="rId2038" ref="F1246"/>
    <hyperlink r:id="rId2039" ref="S1246"/>
    <hyperlink r:id="rId2040" ref="S1247"/>
    <hyperlink r:id="rId2041" ref="S1248"/>
    <hyperlink r:id="rId2042" ref="F1249"/>
    <hyperlink r:id="rId2043" ref="G1249"/>
    <hyperlink r:id="rId2044" ref="S1249"/>
    <hyperlink r:id="rId2045" ref="G1250"/>
    <hyperlink r:id="rId2046" ref="S1250"/>
    <hyperlink r:id="rId2047" ref="S1251"/>
    <hyperlink r:id="rId2048" ref="S1252"/>
    <hyperlink r:id="rId2049" ref="G1253"/>
    <hyperlink r:id="rId2050" ref="S1253"/>
    <hyperlink r:id="rId2051" ref="F1254"/>
    <hyperlink r:id="rId2052" ref="G1254"/>
    <hyperlink r:id="rId2053" ref="S1254"/>
    <hyperlink r:id="rId2054" ref="F1255"/>
    <hyperlink r:id="rId2055" ref="G1255"/>
    <hyperlink r:id="rId2056" ref="S1255"/>
    <hyperlink r:id="rId2057" ref="G1256"/>
    <hyperlink r:id="rId2058" ref="F1257"/>
    <hyperlink r:id="rId2059" ref="G1257"/>
    <hyperlink r:id="rId2060" ref="S1257"/>
    <hyperlink r:id="rId2061" ref="F1258"/>
    <hyperlink r:id="rId2062" ref="G1258"/>
    <hyperlink r:id="rId2063" ref="S1258"/>
    <hyperlink r:id="rId2064" ref="G1259"/>
    <hyperlink r:id="rId2065" ref="S1259"/>
    <hyperlink r:id="rId2066" ref="F1260"/>
    <hyperlink r:id="rId2067" ref="G1260"/>
    <hyperlink r:id="rId2068" ref="S1260"/>
    <hyperlink r:id="rId2069" ref="F1261"/>
    <hyperlink r:id="rId2070" ref="G1261"/>
    <hyperlink r:id="rId2071" ref="S1261"/>
    <hyperlink r:id="rId2072" ref="G1262"/>
    <hyperlink r:id="rId2073" ref="F1263"/>
    <hyperlink r:id="rId2074" ref="S1263"/>
    <hyperlink r:id="rId2075" ref="F1265"/>
    <hyperlink r:id="rId2076" ref="S1265"/>
    <hyperlink r:id="rId2077" ref="G1268"/>
    <hyperlink r:id="rId2078" ref="S1268"/>
    <hyperlink r:id="rId2079" ref="S1269"/>
    <hyperlink r:id="rId2080" ref="S1270"/>
    <hyperlink r:id="rId2081" ref="F1271"/>
    <hyperlink r:id="rId2082" ref="G1273"/>
    <hyperlink r:id="rId2083" ref="F1274"/>
    <hyperlink r:id="rId2084" ref="S1274"/>
    <hyperlink r:id="rId2085" ref="F1275"/>
    <hyperlink r:id="rId2086" ref="G1275"/>
    <hyperlink r:id="rId2087" ref="S1276"/>
    <hyperlink r:id="rId2088" ref="F1277"/>
    <hyperlink r:id="rId2089" ref="G1277"/>
    <hyperlink r:id="rId2090" ref="S1277"/>
    <hyperlink r:id="rId2091" ref="F1278"/>
    <hyperlink r:id="rId2092" ref="S1278"/>
    <hyperlink r:id="rId2093" ref="F1279"/>
    <hyperlink r:id="rId2094" ref="S1279"/>
    <hyperlink r:id="rId2095" ref="G1280"/>
    <hyperlink r:id="rId2096" ref="S1280"/>
    <hyperlink r:id="rId2097" ref="F1281"/>
    <hyperlink r:id="rId2098" ref="G1281"/>
    <hyperlink r:id="rId2099" ref="S1281"/>
    <hyperlink r:id="rId2100" ref="G1282"/>
    <hyperlink r:id="rId2101" ref="S1282"/>
    <hyperlink r:id="rId2102" ref="S1283"/>
    <hyperlink r:id="rId2103" ref="F1284"/>
    <hyperlink r:id="rId2104" ref="G1284"/>
    <hyperlink r:id="rId2105" ref="F1285"/>
    <hyperlink r:id="rId2106" ref="F1286"/>
    <hyperlink r:id="rId2107" ref="S1286"/>
    <hyperlink r:id="rId2108" ref="G1287"/>
    <hyperlink r:id="rId2109" ref="F1288"/>
    <hyperlink r:id="rId2110" ref="S1288"/>
    <hyperlink r:id="rId2111" ref="G1289"/>
    <hyperlink r:id="rId2112" ref="F1290"/>
    <hyperlink r:id="rId2113" ref="S1290"/>
    <hyperlink r:id="rId2114" ref="F1291"/>
    <hyperlink r:id="rId2115" ref="S1291"/>
    <hyperlink r:id="rId2116" ref="S1292"/>
    <hyperlink r:id="rId2117" ref="F1294"/>
    <hyperlink r:id="rId2118" ref="S1294"/>
    <hyperlink r:id="rId2119" ref="F1295"/>
    <hyperlink r:id="rId2120" ref="F1296"/>
    <hyperlink r:id="rId2121" ref="S1296"/>
    <hyperlink r:id="rId2122" ref="F1297"/>
    <hyperlink r:id="rId2123" ref="F1298"/>
    <hyperlink r:id="rId2124" ref="S1298"/>
    <hyperlink r:id="rId2125" ref="F1299"/>
    <hyperlink r:id="rId2126" ref="G1299"/>
    <hyperlink r:id="rId2127" ref="S1299"/>
    <hyperlink r:id="rId2128" ref="F1301"/>
    <hyperlink r:id="rId2129" ref="G1301"/>
    <hyperlink r:id="rId2130" ref="S1301"/>
    <hyperlink r:id="rId2131" ref="G1302"/>
    <hyperlink r:id="rId2132" ref="F1304"/>
    <hyperlink r:id="rId2133" ref="G1304"/>
    <hyperlink r:id="rId2134" ref="S1304"/>
    <hyperlink r:id="rId2135" ref="F1305"/>
    <hyperlink r:id="rId2136" ref="F1306"/>
    <hyperlink r:id="rId2137" ref="G1306"/>
    <hyperlink r:id="rId2138" ref="G1307"/>
    <hyperlink r:id="rId2139" ref="S1307"/>
    <hyperlink r:id="rId2140" ref="G1308"/>
    <hyperlink r:id="rId2141" ref="S1308"/>
    <hyperlink r:id="rId2142" ref="S1309"/>
    <hyperlink r:id="rId2143" ref="G1310"/>
    <hyperlink r:id="rId2144" ref="S1310"/>
    <hyperlink r:id="rId2145" ref="F1312"/>
    <hyperlink r:id="rId2146" ref="G1314"/>
    <hyperlink r:id="rId2147" ref="S1314"/>
    <hyperlink r:id="rId2148" ref="F1315"/>
    <hyperlink r:id="rId2149" ref="G1315"/>
    <hyperlink r:id="rId2150" ref="G1316"/>
    <hyperlink r:id="rId2151" ref="F1317"/>
    <hyperlink r:id="rId2152" ref="G1317"/>
    <hyperlink r:id="rId2153" ref="S1317"/>
    <hyperlink r:id="rId2154" ref="G1318"/>
    <hyperlink r:id="rId2155" ref="S1318"/>
    <hyperlink r:id="rId2156" ref="S1319"/>
    <hyperlink r:id="rId2157" ref="F1320"/>
    <hyperlink r:id="rId2158" ref="G1320"/>
    <hyperlink r:id="rId2159" ref="S1320"/>
    <hyperlink r:id="rId2160" ref="F1322"/>
    <hyperlink r:id="rId2161" ref="S1322"/>
    <hyperlink r:id="rId2162" ref="F1323"/>
    <hyperlink r:id="rId2163" ref="G1325"/>
    <hyperlink r:id="rId2164" ref="S1325"/>
    <hyperlink r:id="rId2165" ref="S1326"/>
    <hyperlink r:id="rId2166" ref="F1328"/>
    <hyperlink r:id="rId2167" ref="G1328"/>
    <hyperlink r:id="rId2168" ref="S1328"/>
    <hyperlink r:id="rId2169" ref="G1329"/>
    <hyperlink r:id="rId2170" ref="S1329"/>
    <hyperlink r:id="rId2171" ref="F1332"/>
    <hyperlink r:id="rId2172" ref="S1332"/>
    <hyperlink r:id="rId2173" ref="F1333"/>
    <hyperlink r:id="rId2174" ref="S1333"/>
    <hyperlink r:id="rId2175" ref="F1334"/>
    <hyperlink r:id="rId2176" ref="G1334"/>
    <hyperlink r:id="rId2177" ref="S1334"/>
    <hyperlink r:id="rId2178" ref="F1335"/>
    <hyperlink r:id="rId2179" ref="S1335"/>
    <hyperlink r:id="rId2180" ref="F1336"/>
    <hyperlink r:id="rId2181" ref="S1336"/>
    <hyperlink r:id="rId2182" ref="G1337"/>
    <hyperlink r:id="rId2183" ref="F1338"/>
    <hyperlink r:id="rId2184" ref="G1338"/>
    <hyperlink r:id="rId2185" ref="S1338"/>
    <hyperlink r:id="rId2186" ref="F1339"/>
    <hyperlink r:id="rId2187" ref="S1340"/>
    <hyperlink r:id="rId2188" ref="F1341"/>
    <hyperlink r:id="rId2189" ref="S1341"/>
    <hyperlink r:id="rId2190" ref="G1342"/>
    <hyperlink r:id="rId2191" ref="S1342"/>
    <hyperlink r:id="rId2192" ref="F1343"/>
    <hyperlink r:id="rId2193" ref="G1343"/>
    <hyperlink r:id="rId2194" ref="S1343"/>
    <hyperlink r:id="rId2195" ref="F1345"/>
    <hyperlink r:id="rId2196" ref="S1345"/>
    <hyperlink r:id="rId2197" ref="G1347"/>
    <hyperlink r:id="rId2198" ref="F1348"/>
    <hyperlink r:id="rId2199" ref="G1348"/>
    <hyperlink r:id="rId2200" ref="F1349"/>
    <hyperlink r:id="rId2201" ref="G1349"/>
    <hyperlink r:id="rId2202" ref="S1349"/>
    <hyperlink r:id="rId2203" ref="F1350"/>
    <hyperlink r:id="rId2204" ref="G1350"/>
    <hyperlink r:id="rId2205" ref="S1350"/>
    <hyperlink r:id="rId2206" ref="G1351"/>
    <hyperlink r:id="rId2207" ref="F1353"/>
    <hyperlink r:id="rId2208" ref="G1353"/>
    <hyperlink r:id="rId2209" ref="G1354"/>
    <hyperlink r:id="rId2210" ref="S1355"/>
    <hyperlink r:id="rId2211" ref="F1356"/>
    <hyperlink r:id="rId2212" ref="S1357"/>
    <hyperlink r:id="rId2213" ref="F1358"/>
    <hyperlink r:id="rId2214" ref="S1358"/>
    <hyperlink r:id="rId2215" ref="G1359"/>
    <hyperlink r:id="rId2216" ref="S1360"/>
    <hyperlink r:id="rId2217" ref="F1362"/>
    <hyperlink r:id="rId2218" ref="S1362"/>
    <hyperlink r:id="rId2219" ref="S1363"/>
    <hyperlink r:id="rId2220" ref="F1364"/>
    <hyperlink r:id="rId2221" ref="G1364"/>
    <hyperlink r:id="rId2222" ref="S1364"/>
    <hyperlink r:id="rId2223" ref="G1365"/>
    <hyperlink r:id="rId2224" ref="G1367"/>
    <hyperlink r:id="rId2225" ref="S1367"/>
    <hyperlink r:id="rId2226" ref="F1368"/>
    <hyperlink r:id="rId2227" ref="F1369"/>
    <hyperlink r:id="rId2228" ref="G1369"/>
    <hyperlink r:id="rId2229" ref="S1369"/>
    <hyperlink r:id="rId2230" ref="F1370"/>
    <hyperlink r:id="rId2231" ref="G1370"/>
    <hyperlink r:id="rId2232" ref="S1370"/>
    <hyperlink r:id="rId2233" ref="F1371"/>
    <hyperlink r:id="rId2234" ref="G1371"/>
    <hyperlink r:id="rId2235" ref="S1371"/>
    <hyperlink r:id="rId2236" ref="G1372"/>
    <hyperlink r:id="rId2237" ref="S1372"/>
    <hyperlink r:id="rId2238" ref="G1373"/>
    <hyperlink r:id="rId2239" ref="S1373"/>
    <hyperlink r:id="rId2240" ref="G1374"/>
    <hyperlink r:id="rId2241" ref="F1375"/>
    <hyperlink r:id="rId2242" ref="G1376"/>
    <hyperlink r:id="rId2243" ref="S1376"/>
    <hyperlink r:id="rId2244" ref="F1377"/>
    <hyperlink r:id="rId2245" ref="G1377"/>
    <hyperlink r:id="rId2246" ref="S1377"/>
    <hyperlink r:id="rId2247" ref="G1379"/>
    <hyperlink r:id="rId2248" ref="S1379"/>
    <hyperlink r:id="rId2249" ref="G1380"/>
    <hyperlink r:id="rId2250" ref="F1382"/>
    <hyperlink r:id="rId2251" ref="F1383"/>
    <hyperlink r:id="rId2252" ref="F1384"/>
    <hyperlink r:id="rId2253" ref="S1384"/>
    <hyperlink r:id="rId2254" ref="G1385"/>
    <hyperlink r:id="rId2255" ref="S1385"/>
    <hyperlink r:id="rId2256" ref="G1386"/>
    <hyperlink r:id="rId2257" ref="S1386"/>
    <hyperlink r:id="rId2258" ref="F1388"/>
    <hyperlink r:id="rId2259" ref="G1388"/>
    <hyperlink r:id="rId2260" ref="S1388"/>
    <hyperlink r:id="rId2261" ref="F1389"/>
    <hyperlink r:id="rId2262" ref="F1390"/>
    <hyperlink r:id="rId2263" ref="S1390"/>
    <hyperlink r:id="rId2264" ref="S1391"/>
    <hyperlink r:id="rId2265" ref="F1392"/>
    <hyperlink r:id="rId2266" ref="G1392"/>
    <hyperlink r:id="rId2267" ref="S1392"/>
    <hyperlink r:id="rId2268" ref="F1393"/>
    <hyperlink r:id="rId2269" ref="S1393"/>
    <hyperlink r:id="rId2270" ref="F1394"/>
    <hyperlink r:id="rId2271" ref="S1394"/>
    <hyperlink r:id="rId2272" ref="G1395"/>
    <hyperlink r:id="rId2273" ref="S1395"/>
    <hyperlink r:id="rId2274" ref="F1396"/>
    <hyperlink r:id="rId2275" ref="G1396"/>
    <hyperlink r:id="rId2276" ref="S1396"/>
    <hyperlink r:id="rId2277" ref="G1397"/>
    <hyperlink r:id="rId2278" ref="S1397"/>
    <hyperlink r:id="rId2279" ref="F1398"/>
    <hyperlink r:id="rId2280" ref="S1398"/>
    <hyperlink r:id="rId2281" ref="G1399"/>
    <hyperlink r:id="rId2282" ref="S1399"/>
    <hyperlink r:id="rId2283" ref="F1400"/>
    <hyperlink r:id="rId2284" ref="S1400"/>
    <hyperlink r:id="rId2285" ref="G1401"/>
    <hyperlink r:id="rId2286" ref="S1401"/>
    <hyperlink r:id="rId2287" ref="F1402"/>
    <hyperlink r:id="rId2288" ref="S1402"/>
    <hyperlink r:id="rId2289" ref="S1403"/>
    <hyperlink r:id="rId2290" ref="F1404"/>
    <hyperlink r:id="rId2291" ref="S1404"/>
    <hyperlink r:id="rId2292" ref="F1405"/>
    <hyperlink r:id="rId2293" ref="G1406"/>
    <hyperlink r:id="rId2294" ref="S1406"/>
    <hyperlink r:id="rId2295" ref="G1408"/>
    <hyperlink r:id="rId2296" ref="S1408"/>
    <hyperlink r:id="rId2297" ref="F1409"/>
    <hyperlink r:id="rId2298" ref="G1409"/>
    <hyperlink r:id="rId2299" ref="S1409"/>
    <hyperlink r:id="rId2300" ref="G1410"/>
    <hyperlink r:id="rId2301" ref="S1410"/>
    <hyperlink r:id="rId2302" ref="F1411"/>
    <hyperlink r:id="rId2303" ref="S1411"/>
    <hyperlink r:id="rId2304" ref="F1412"/>
    <hyperlink r:id="rId2305" ref="S1412"/>
    <hyperlink r:id="rId2306" ref="G1413"/>
    <hyperlink r:id="rId2307" ref="S1413"/>
    <hyperlink r:id="rId2308" ref="G1414"/>
    <hyperlink r:id="rId2309" ref="S1414"/>
    <hyperlink r:id="rId2310" ref="G1415"/>
    <hyperlink r:id="rId2311" ref="S1415"/>
    <hyperlink r:id="rId2312" ref="F1416"/>
    <hyperlink r:id="rId2313" ref="S1416"/>
    <hyperlink r:id="rId2314" ref="S1417"/>
    <hyperlink r:id="rId2315" ref="G1418"/>
    <hyperlink r:id="rId2316" ref="S1418"/>
    <hyperlink r:id="rId2317" ref="G1419"/>
    <hyperlink r:id="rId2318" ref="S1419"/>
    <hyperlink r:id="rId2319" ref="F1420"/>
    <hyperlink r:id="rId2320" ref="S1420"/>
    <hyperlink r:id="rId2321" ref="F1421"/>
    <hyperlink r:id="rId2322" ref="S1421"/>
    <hyperlink r:id="rId2323" ref="F1422"/>
    <hyperlink r:id="rId2324" ref="S1422"/>
    <hyperlink r:id="rId2325" ref="F1425"/>
    <hyperlink r:id="rId2326" ref="S1425"/>
    <hyperlink r:id="rId2327" ref="F1426"/>
    <hyperlink r:id="rId2328" ref="G1426"/>
    <hyperlink r:id="rId2329" ref="S1426"/>
    <hyperlink r:id="rId2330" ref="F1427"/>
    <hyperlink r:id="rId2331" ref="S1427"/>
    <hyperlink r:id="rId2332" ref="S1428"/>
    <hyperlink r:id="rId2333" ref="G1429"/>
    <hyperlink r:id="rId2334" ref="S1429"/>
    <hyperlink r:id="rId2335" ref="G1430"/>
    <hyperlink r:id="rId2336" ref="S1430"/>
    <hyperlink r:id="rId2337" ref="F1431"/>
    <hyperlink r:id="rId2338" ref="S1431"/>
    <hyperlink r:id="rId2339" ref="S1432"/>
    <hyperlink r:id="rId2340" ref="G1433"/>
    <hyperlink r:id="rId2341" ref="S1433"/>
    <hyperlink r:id="rId2342" ref="S1434"/>
    <hyperlink r:id="rId2343" ref="F1435"/>
    <hyperlink r:id="rId2344" ref="S1435"/>
    <hyperlink r:id="rId2345" ref="F1436"/>
    <hyperlink r:id="rId2346" ref="S1436"/>
    <hyperlink r:id="rId2347" ref="F1437"/>
    <hyperlink r:id="rId2348" ref="G1437"/>
    <hyperlink r:id="rId2349" ref="S1437"/>
    <hyperlink r:id="rId2350" ref="F1438"/>
    <hyperlink r:id="rId2351" ref="G1438"/>
    <hyperlink r:id="rId2352" ref="S1438"/>
    <hyperlink r:id="rId2353" ref="F1439"/>
    <hyperlink r:id="rId2354" ref="S1439"/>
    <hyperlink r:id="rId2355" ref="F1440"/>
    <hyperlink r:id="rId2356" ref="G1440"/>
    <hyperlink r:id="rId2357" ref="F1441"/>
    <hyperlink r:id="rId2358" ref="S1441"/>
    <hyperlink r:id="rId2359" ref="G1442"/>
    <hyperlink r:id="rId2360" ref="F1443"/>
    <hyperlink r:id="rId2361" ref="G1443"/>
    <hyperlink r:id="rId2362" ref="S1443"/>
    <hyperlink r:id="rId2363" ref="F1444"/>
    <hyperlink r:id="rId2364" ref="G1444"/>
    <hyperlink r:id="rId2365" ref="S1444"/>
    <hyperlink r:id="rId2366" ref="F1445"/>
    <hyperlink r:id="rId2367" ref="G1445"/>
    <hyperlink r:id="rId2368" ref="S1445"/>
    <hyperlink r:id="rId2369" ref="G1446"/>
    <hyperlink r:id="rId2370" ref="S1447"/>
    <hyperlink r:id="rId2371" ref="S1448"/>
    <hyperlink r:id="rId2372" ref="F1449"/>
    <hyperlink r:id="rId2373" ref="S1449"/>
    <hyperlink r:id="rId2374" ref="G1450"/>
    <hyperlink r:id="rId2375" ref="S1451"/>
    <hyperlink r:id="rId2376" ref="F1452"/>
    <hyperlink r:id="rId2377" ref="S1452"/>
    <hyperlink r:id="rId2378" ref="S1454"/>
    <hyperlink r:id="rId2379" ref="F1455"/>
    <hyperlink r:id="rId2380" ref="G1457"/>
    <hyperlink r:id="rId2381" ref="F1458"/>
    <hyperlink r:id="rId2382" ref="S1458"/>
    <hyperlink r:id="rId2383" ref="F1459"/>
    <hyperlink r:id="rId2384" ref="S1459"/>
    <hyperlink r:id="rId2385" ref="S1460"/>
    <hyperlink r:id="rId2386" ref="F1461"/>
    <hyperlink r:id="rId2387" ref="S1461"/>
    <hyperlink r:id="rId2388" ref="F1462"/>
    <hyperlink r:id="rId2389" ref="G1462"/>
    <hyperlink r:id="rId2390" ref="S1462"/>
    <hyperlink r:id="rId2391" ref="G1464"/>
    <hyperlink r:id="rId2392" ref="S1464"/>
    <hyperlink r:id="rId2393" ref="G1465"/>
    <hyperlink r:id="rId2394" ref="S1465"/>
    <hyperlink r:id="rId2395" ref="F1466"/>
    <hyperlink r:id="rId2396" ref="S1466"/>
    <hyperlink r:id="rId2397" ref="F1467"/>
    <hyperlink r:id="rId2398" ref="S1467"/>
    <hyperlink r:id="rId2399" ref="S1468"/>
    <hyperlink r:id="rId2400" ref="G1469"/>
    <hyperlink r:id="rId2401" ref="S1469"/>
    <hyperlink r:id="rId2402" ref="S1470"/>
    <hyperlink r:id="rId2403" ref="G1473"/>
    <hyperlink r:id="rId2404" ref="F1474"/>
    <hyperlink r:id="rId2405" ref="S1476"/>
    <hyperlink r:id="rId2406" ref="F1477"/>
    <hyperlink r:id="rId2407" ref="G1477"/>
    <hyperlink r:id="rId2408" ref="S1477"/>
    <hyperlink r:id="rId2409" ref="G1478"/>
    <hyperlink r:id="rId2410" ref="S1478"/>
    <hyperlink r:id="rId2411" ref="G1479"/>
    <hyperlink r:id="rId2412" ref="F1480"/>
    <hyperlink r:id="rId2413" ref="G1480"/>
    <hyperlink r:id="rId2414" ref="S1480"/>
    <hyperlink r:id="rId2415" ref="F1481"/>
    <hyperlink r:id="rId2416" ref="S1481"/>
    <hyperlink r:id="rId2417" ref="F1482"/>
    <hyperlink r:id="rId2418" ref="S1482"/>
    <hyperlink r:id="rId2419" ref="F1483"/>
    <hyperlink r:id="rId2420" ref="G1483"/>
    <hyperlink r:id="rId2421" ref="G1484"/>
    <hyperlink r:id="rId2422" ref="S1484"/>
    <hyperlink r:id="rId2423" ref="G1485"/>
    <hyperlink r:id="rId2424" ref="S1485"/>
    <hyperlink r:id="rId2425" ref="G1487"/>
    <hyperlink r:id="rId2426" ref="S1487"/>
    <hyperlink r:id="rId2427" ref="F1488"/>
    <hyperlink r:id="rId2428" ref="S1488"/>
    <hyperlink r:id="rId2429" ref="G1489"/>
    <hyperlink r:id="rId2430" ref="F1490"/>
    <hyperlink r:id="rId2431" ref="F1491"/>
    <hyperlink r:id="rId2432" ref="G1491"/>
    <hyperlink r:id="rId2433" ref="S1491"/>
    <hyperlink r:id="rId2434" ref="F1494"/>
    <hyperlink r:id="rId2435" ref="S1494"/>
    <hyperlink r:id="rId2436" ref="F1496"/>
    <hyperlink r:id="rId2437" ref="S1496"/>
    <hyperlink r:id="rId2438" ref="S1497"/>
    <hyperlink r:id="rId2439" ref="F1498"/>
    <hyperlink r:id="rId2440" ref="G1498"/>
    <hyperlink r:id="rId2441" ref="S1498"/>
    <hyperlink r:id="rId2442" ref="S1499"/>
    <hyperlink r:id="rId2443" ref="C1500"/>
    <hyperlink r:id="rId2444" ref="F1500"/>
    <hyperlink r:id="rId2445" ref="G1500"/>
    <hyperlink r:id="rId2446" ref="S1500"/>
    <hyperlink r:id="rId2447" ref="F1501"/>
    <hyperlink r:id="rId2448" ref="S1501"/>
    <hyperlink r:id="rId2449" ref="G1502"/>
    <hyperlink r:id="rId2450" ref="S1502"/>
    <hyperlink r:id="rId2451" ref="F1503"/>
    <hyperlink r:id="rId2452" ref="S1503"/>
    <hyperlink r:id="rId2453" ref="F1504"/>
    <hyperlink r:id="rId2454" ref="S1504"/>
    <hyperlink r:id="rId2455" ref="F1505"/>
    <hyperlink r:id="rId2456" ref="G1506"/>
    <hyperlink r:id="rId2457" ref="S1506"/>
    <hyperlink r:id="rId2458" ref="F1507"/>
    <hyperlink r:id="rId2459" ref="S1507"/>
    <hyperlink r:id="rId2460" ref="F1508"/>
    <hyperlink r:id="rId2461" ref="S1508"/>
    <hyperlink r:id="rId2462" ref="F1509"/>
    <hyperlink r:id="rId2463" ref="G1509"/>
    <hyperlink r:id="rId2464" ref="S1509"/>
    <hyperlink r:id="rId2465" ref="G1511"/>
    <hyperlink r:id="rId2466" ref="S1511"/>
    <hyperlink r:id="rId2467" ref="S1512"/>
    <hyperlink r:id="rId2468" ref="G1513"/>
    <hyperlink r:id="rId2469" ref="S1513"/>
    <hyperlink r:id="rId2470" location="themostlysunnyblog" ref="F1514"/>
    <hyperlink r:id="rId2471" ref="G1514"/>
    <hyperlink r:id="rId2472" ref="S1514"/>
    <hyperlink r:id="rId2473" ref="F1515"/>
    <hyperlink r:id="rId2474" ref="S1515"/>
    <hyperlink r:id="rId2475" ref="F1516"/>
    <hyperlink r:id="rId2476" ref="S1516"/>
    <hyperlink r:id="rId2477" ref="F1517"/>
    <hyperlink r:id="rId2478" ref="G1517"/>
    <hyperlink r:id="rId2479" ref="S1517"/>
    <hyperlink r:id="rId2480" ref="S1518"/>
    <hyperlink r:id="rId2481" ref="S1519"/>
    <hyperlink r:id="rId2482" ref="G1520"/>
    <hyperlink r:id="rId2483" ref="S1520"/>
    <hyperlink r:id="rId2484" ref="F1522"/>
    <hyperlink r:id="rId2485" ref="C1523"/>
    <hyperlink r:id="rId2486" ref="G1523"/>
    <hyperlink r:id="rId2487" ref="S1523"/>
    <hyperlink r:id="rId2488" ref="G1525"/>
    <hyperlink r:id="rId2489" ref="S1525"/>
    <hyperlink r:id="rId2490" ref="S1526"/>
    <hyperlink r:id="rId2491" ref="G1527"/>
    <hyperlink r:id="rId2492" ref="S1527"/>
    <hyperlink r:id="rId2493" ref="S1528"/>
    <hyperlink r:id="rId2494" ref="F1529"/>
    <hyperlink r:id="rId2495" ref="S1529"/>
    <hyperlink r:id="rId2496" ref="F1532"/>
    <hyperlink r:id="rId2497" ref="S1532"/>
    <hyperlink r:id="rId2498" ref="F1533"/>
    <hyperlink r:id="rId2499" ref="S1533"/>
    <hyperlink r:id="rId2500" ref="F1534"/>
    <hyperlink r:id="rId2501" ref="S1534"/>
    <hyperlink r:id="rId2502" ref="F1535"/>
    <hyperlink r:id="rId2503" ref="R1535"/>
    <hyperlink r:id="rId2504" ref="S1535"/>
    <hyperlink r:id="rId2505" ref="G1536"/>
    <hyperlink r:id="rId2506" ref="S1538"/>
    <hyperlink r:id="rId2507" ref="F1540"/>
    <hyperlink r:id="rId2508" ref="G1540"/>
    <hyperlink r:id="rId2509" ref="S1540"/>
    <hyperlink r:id="rId2510" ref="F1541"/>
    <hyperlink r:id="rId2511" ref="S1541"/>
    <hyperlink r:id="rId2512" ref="F1542"/>
    <hyperlink r:id="rId2513" ref="G1542"/>
    <hyperlink r:id="rId2514" ref="S1542"/>
    <hyperlink r:id="rId2515" ref="F1544"/>
    <hyperlink r:id="rId2516" ref="S1544"/>
    <hyperlink r:id="rId2517" ref="S1545"/>
    <hyperlink r:id="rId2518" ref="F1547"/>
    <hyperlink r:id="rId2519" ref="S1547"/>
    <hyperlink r:id="rId2520" ref="G1548"/>
    <hyperlink r:id="rId2521" ref="F1549"/>
    <hyperlink r:id="rId2522" ref="G1549"/>
    <hyperlink r:id="rId2523" ref="S1549"/>
    <hyperlink r:id="rId2524" ref="F1550"/>
    <hyperlink r:id="rId2525" ref="G1550"/>
    <hyperlink r:id="rId2526" ref="S1550"/>
    <hyperlink r:id="rId2527" ref="F1551"/>
    <hyperlink r:id="rId2528" ref="S1551"/>
    <hyperlink r:id="rId2529" ref="F1552"/>
    <hyperlink r:id="rId2530" ref="S1552"/>
    <hyperlink r:id="rId2531" ref="F1554"/>
    <hyperlink r:id="rId2532" ref="S1554"/>
    <hyperlink r:id="rId2533" ref="F1557"/>
    <hyperlink r:id="rId2534" ref="G1557"/>
    <hyperlink r:id="rId2535" ref="S1557"/>
    <hyperlink r:id="rId2536" ref="F1558"/>
    <hyperlink r:id="rId2537" ref="S1558"/>
    <hyperlink r:id="rId2538" ref="G1559"/>
    <hyperlink r:id="rId2539" ref="S1559"/>
    <hyperlink r:id="rId2540" ref="S1560"/>
    <hyperlink r:id="rId2541" ref="G1563"/>
    <hyperlink r:id="rId2542" ref="F1564"/>
    <hyperlink r:id="rId2543" ref="G1564"/>
    <hyperlink r:id="rId2544" ref="S1564"/>
    <hyperlink r:id="rId2545" ref="F1565"/>
    <hyperlink r:id="rId2546" ref="S1565"/>
    <hyperlink r:id="rId2547" ref="F1566"/>
    <hyperlink r:id="rId2548" ref="G1566"/>
    <hyperlink r:id="rId2549" ref="S1566"/>
    <hyperlink r:id="rId2550" ref="F1567"/>
    <hyperlink r:id="rId2551" ref="S1568"/>
    <hyperlink r:id="rId2552" ref="F1569"/>
    <hyperlink r:id="rId2553" ref="S1569"/>
    <hyperlink r:id="rId2554" ref="G1570"/>
    <hyperlink r:id="rId2555" ref="F1571"/>
    <hyperlink r:id="rId2556" ref="S1571"/>
    <hyperlink r:id="rId2557" ref="G1572"/>
    <hyperlink r:id="rId2558" ref="G1573"/>
    <hyperlink r:id="rId2559" ref="S1573"/>
    <hyperlink r:id="rId2560" ref="F1574"/>
    <hyperlink r:id="rId2561" ref="G1574"/>
    <hyperlink r:id="rId2562" ref="S1574"/>
    <hyperlink r:id="rId2563" ref="F1575"/>
    <hyperlink r:id="rId2564" ref="S1575"/>
    <hyperlink r:id="rId2565" ref="G1576"/>
    <hyperlink r:id="rId2566" ref="S1576"/>
    <hyperlink r:id="rId2567" ref="G1578"/>
    <hyperlink r:id="rId2568" ref="S1578"/>
    <hyperlink r:id="rId2569" ref="F1579"/>
    <hyperlink r:id="rId2570" ref="S1579"/>
    <hyperlink r:id="rId2571" ref="F1580"/>
    <hyperlink r:id="rId2572" ref="G1580"/>
    <hyperlink r:id="rId2573" ref="S1580"/>
    <hyperlink r:id="rId2574" ref="F1581"/>
    <hyperlink r:id="rId2575" ref="G1581"/>
    <hyperlink r:id="rId2576" ref="S1581"/>
    <hyperlink r:id="rId2577" ref="F1582"/>
    <hyperlink r:id="rId2578" ref="F1584"/>
    <hyperlink r:id="rId2579" ref="G1584"/>
    <hyperlink r:id="rId2580" ref="F1585"/>
    <hyperlink r:id="rId2581" ref="G1585"/>
    <hyperlink r:id="rId2582" ref="S1585"/>
    <hyperlink r:id="rId2583" ref="F1587"/>
    <hyperlink r:id="rId2584" ref="F1588"/>
    <hyperlink r:id="rId2585" ref="S1588"/>
    <hyperlink r:id="rId2586" ref="F1590"/>
    <hyperlink r:id="rId2587" ref="G1590"/>
    <hyperlink r:id="rId2588" ref="S1590"/>
    <hyperlink r:id="rId2589" ref="G1592"/>
    <hyperlink r:id="rId2590" ref="S1592"/>
    <hyperlink r:id="rId2591" ref="G1593"/>
    <hyperlink r:id="rId2592" ref="F1594"/>
    <hyperlink r:id="rId2593" ref="S1594"/>
    <hyperlink r:id="rId2594" ref="G1595"/>
    <hyperlink r:id="rId2595" ref="F1596"/>
    <hyperlink r:id="rId2596" ref="F1598"/>
    <hyperlink r:id="rId2597" ref="F1600"/>
    <hyperlink r:id="rId2598" ref="S1600"/>
    <hyperlink r:id="rId2599" ref="G1602"/>
    <hyperlink r:id="rId2600" ref="G1605"/>
    <hyperlink r:id="rId2601" ref="S1605"/>
    <hyperlink r:id="rId2602" ref="G1606"/>
    <hyperlink r:id="rId2603" ref="S1606"/>
    <hyperlink r:id="rId2604" ref="G1607"/>
    <hyperlink r:id="rId2605" ref="S1607"/>
    <hyperlink r:id="rId2606" ref="G1608"/>
    <hyperlink r:id="rId2607" ref="S1608"/>
    <hyperlink r:id="rId2608" ref="F1609"/>
    <hyperlink r:id="rId2609" ref="S1609"/>
    <hyperlink r:id="rId2610" ref="G1610"/>
    <hyperlink r:id="rId2611" ref="S1610"/>
    <hyperlink r:id="rId2612" ref="G1612"/>
    <hyperlink r:id="rId2613" ref="S1612"/>
    <hyperlink r:id="rId2614" ref="G1613"/>
    <hyperlink r:id="rId2615" ref="S1613"/>
    <hyperlink r:id="rId2616" ref="F1614"/>
    <hyperlink r:id="rId2617" ref="G1614"/>
    <hyperlink r:id="rId2618" ref="S1614"/>
    <hyperlink r:id="rId2619" ref="G1615"/>
    <hyperlink r:id="rId2620" ref="S1615"/>
    <hyperlink r:id="rId2621" ref="F1616"/>
    <hyperlink r:id="rId2622" ref="S1616"/>
    <hyperlink r:id="rId2623" ref="F1618"/>
    <hyperlink r:id="rId2624" ref="G1618"/>
    <hyperlink r:id="rId2625" ref="F1619"/>
    <hyperlink r:id="rId2626" ref="G1620"/>
    <hyperlink r:id="rId2627" ref="G1621"/>
    <hyperlink r:id="rId2628" ref="S1621"/>
    <hyperlink r:id="rId2629" ref="F1622"/>
    <hyperlink r:id="rId2630" ref="S1622"/>
    <hyperlink r:id="rId2631" ref="F1623"/>
    <hyperlink r:id="rId2632" ref="S1623"/>
    <hyperlink r:id="rId2633" ref="F1627"/>
    <hyperlink r:id="rId2634" ref="S1627"/>
    <hyperlink r:id="rId2635" ref="F1628"/>
    <hyperlink r:id="rId2636" ref="S1628"/>
    <hyperlink r:id="rId2637" ref="F1629"/>
    <hyperlink r:id="rId2638" ref="S1629"/>
    <hyperlink r:id="rId2639" ref="G1630"/>
    <hyperlink r:id="rId2640" ref="S1630"/>
    <hyperlink r:id="rId2641" ref="F1631"/>
    <hyperlink r:id="rId2642" ref="S1631"/>
    <hyperlink r:id="rId2643" ref="F1632"/>
    <hyperlink r:id="rId2644" ref="S1632"/>
    <hyperlink r:id="rId2645" ref="F1633"/>
    <hyperlink r:id="rId2646" ref="G1633"/>
    <hyperlink r:id="rId2647" ref="S1633"/>
    <hyperlink r:id="rId2648" ref="F1634"/>
    <hyperlink r:id="rId2649" ref="G1634"/>
    <hyperlink r:id="rId2650" ref="S1634"/>
    <hyperlink r:id="rId2651" ref="F1635"/>
    <hyperlink r:id="rId2652" ref="S1635"/>
    <hyperlink r:id="rId2653" ref="F1636"/>
    <hyperlink r:id="rId2654" ref="S1636"/>
    <hyperlink r:id="rId2655" ref="F1637"/>
    <hyperlink r:id="rId2656" ref="S1637"/>
    <hyperlink r:id="rId2657" ref="G1638"/>
    <hyperlink r:id="rId2658" location=".XiMHhqCD6vE.twitter" ref="F1640"/>
    <hyperlink r:id="rId2659" ref="S1640"/>
    <hyperlink r:id="rId2660" ref="F1641"/>
    <hyperlink r:id="rId2661" ref="S1641"/>
    <hyperlink r:id="rId2662" ref="F1643"/>
    <hyperlink r:id="rId2663" ref="S1643"/>
    <hyperlink r:id="rId2664" ref="G1644"/>
    <hyperlink r:id="rId2665" ref="S1644"/>
    <hyperlink r:id="rId2666" ref="S1646"/>
    <hyperlink r:id="rId2667" ref="F1647"/>
    <hyperlink r:id="rId2668" ref="G1647"/>
    <hyperlink r:id="rId2669" ref="S1647"/>
    <hyperlink r:id="rId2670" ref="S1649"/>
    <hyperlink r:id="rId2671" ref="G1650"/>
    <hyperlink r:id="rId2672" ref="S1650"/>
    <hyperlink r:id="rId2673" ref="F1651"/>
    <hyperlink r:id="rId2674" ref="F1654"/>
    <hyperlink r:id="rId2675" ref="G1654"/>
    <hyperlink r:id="rId2676" ref="S1654"/>
    <hyperlink r:id="rId2677" ref="F1655"/>
    <hyperlink r:id="rId2678" ref="S1655"/>
    <hyperlink r:id="rId2679" ref="F1656"/>
    <hyperlink r:id="rId2680" ref="S1656"/>
    <hyperlink r:id="rId2681" ref="G1657"/>
    <hyperlink r:id="rId2682" ref="S1658"/>
    <hyperlink r:id="rId2683" ref="S1659"/>
    <hyperlink r:id="rId2684" ref="G1662"/>
    <hyperlink r:id="rId2685" ref="S1662"/>
    <hyperlink r:id="rId2686" ref="G1663"/>
    <hyperlink r:id="rId2687" ref="S1663"/>
    <hyperlink r:id="rId2688" ref="G1664"/>
    <hyperlink r:id="rId2689" ref="S1664"/>
    <hyperlink r:id="rId2690" ref="F1665"/>
    <hyperlink r:id="rId2691" ref="G1666"/>
    <hyperlink r:id="rId2692" ref="S1666"/>
    <hyperlink r:id="rId2693" ref="S1667"/>
    <hyperlink r:id="rId2694" ref="F1668"/>
    <hyperlink r:id="rId2695" ref="G1668"/>
    <hyperlink r:id="rId2696" ref="S1668"/>
    <hyperlink r:id="rId2697" ref="G1669"/>
    <hyperlink r:id="rId2698" ref="F1670"/>
    <hyperlink r:id="rId2699" ref="G1670"/>
    <hyperlink r:id="rId2700" ref="S1670"/>
    <hyperlink r:id="rId2701" ref="G1671"/>
    <hyperlink r:id="rId2702" ref="F1672"/>
    <hyperlink r:id="rId2703" ref="S1673"/>
    <hyperlink r:id="rId2704" ref="F1674"/>
    <hyperlink r:id="rId2705" ref="F1675"/>
    <hyperlink r:id="rId2706" ref="S1675"/>
    <hyperlink r:id="rId2707" ref="F1676"/>
    <hyperlink r:id="rId2708" ref="F1678"/>
    <hyperlink r:id="rId2709" ref="G1678"/>
    <hyperlink r:id="rId2710" ref="S1678"/>
    <hyperlink r:id="rId2711" ref="G1679"/>
    <hyperlink r:id="rId2712" ref="G1680"/>
    <hyperlink r:id="rId2713" ref="S1680"/>
    <hyperlink r:id="rId2714" ref="G1681"/>
    <hyperlink r:id="rId2715" ref="S1681"/>
    <hyperlink r:id="rId2716" ref="F1682"/>
    <hyperlink r:id="rId2717" ref="G1682"/>
    <hyperlink r:id="rId2718" ref="S1682"/>
    <hyperlink r:id="rId2719" ref="G1683"/>
    <hyperlink r:id="rId2720" ref="S1683"/>
    <hyperlink r:id="rId2721" ref="F1684"/>
    <hyperlink r:id="rId2722" ref="S1684"/>
    <hyperlink r:id="rId2723" ref="F1685"/>
    <hyperlink r:id="rId2724" ref="G1685"/>
    <hyperlink r:id="rId2725" ref="S1685"/>
    <hyperlink r:id="rId2726" ref="F1687"/>
    <hyperlink r:id="rId2727" ref="S1687"/>
    <hyperlink r:id="rId2728" ref="F1688"/>
    <hyperlink r:id="rId2729" ref="G1688"/>
    <hyperlink r:id="rId2730" ref="S1688"/>
    <hyperlink r:id="rId2731" ref="F1689"/>
    <hyperlink r:id="rId2732" ref="S1689"/>
    <hyperlink r:id="rId2733" ref="G1690"/>
    <hyperlink r:id="rId2734" ref="S1690"/>
    <hyperlink r:id="rId2735" ref="F1691"/>
    <hyperlink r:id="rId2736" ref="G1691"/>
    <hyperlink r:id="rId2737" ref="S1691"/>
    <hyperlink r:id="rId2738" ref="F1692"/>
    <hyperlink r:id="rId2739" ref="S1692"/>
    <hyperlink r:id="rId2740" ref="F1693"/>
    <hyperlink r:id="rId2741" ref="G1693"/>
    <hyperlink r:id="rId2742" ref="S1693"/>
    <hyperlink r:id="rId2743" ref="F1694"/>
    <hyperlink r:id="rId2744" ref="S1694"/>
    <hyperlink r:id="rId2745" ref="G1695"/>
    <hyperlink r:id="rId2746" ref="S1695"/>
    <hyperlink r:id="rId2747" ref="S1697"/>
    <hyperlink r:id="rId2748" ref="F1698"/>
    <hyperlink r:id="rId2749" ref="S1698"/>
    <hyperlink r:id="rId2750" ref="F1699"/>
    <hyperlink r:id="rId2751" ref="S1699"/>
    <hyperlink r:id="rId2752" ref="G1703"/>
    <hyperlink r:id="rId2753" ref="G1704"/>
    <hyperlink r:id="rId2754" ref="G1705"/>
    <hyperlink r:id="rId2755" ref="F1706"/>
    <hyperlink r:id="rId2756" ref="S1706"/>
    <hyperlink r:id="rId2757" ref="F1707"/>
    <hyperlink r:id="rId2758" ref="G1707"/>
    <hyperlink r:id="rId2759" ref="G1708"/>
    <hyperlink r:id="rId2760" ref="S1708"/>
    <hyperlink r:id="rId2761" ref="G1710"/>
    <hyperlink r:id="rId2762" ref="G1711"/>
    <hyperlink r:id="rId2763" ref="S1711"/>
    <hyperlink r:id="rId2764" ref="G1712"/>
    <hyperlink r:id="rId2765" ref="S1712"/>
    <hyperlink r:id="rId2766" ref="F1714"/>
    <hyperlink r:id="rId2767" ref="S1714"/>
    <hyperlink r:id="rId2768" ref="F1715"/>
    <hyperlink r:id="rId2769" ref="S1715"/>
    <hyperlink r:id="rId2770" ref="G1717"/>
    <hyperlink r:id="rId2771" ref="S1717"/>
    <hyperlink r:id="rId2772" ref="S1718"/>
    <hyperlink r:id="rId2773" ref="F1720"/>
    <hyperlink r:id="rId2774" ref="S1720"/>
    <hyperlink r:id="rId2775" ref="F1721"/>
    <hyperlink r:id="rId2776" ref="S1721"/>
    <hyperlink r:id="rId2777" ref="S1722"/>
    <hyperlink r:id="rId2778" ref="F1723"/>
    <hyperlink r:id="rId2779" ref="S1723"/>
    <hyperlink r:id="rId2780" ref="F1724"/>
    <hyperlink r:id="rId2781" ref="S1725"/>
    <hyperlink r:id="rId2782" ref="F1726"/>
    <hyperlink r:id="rId2783" ref="G1727"/>
    <hyperlink r:id="rId2784" ref="S1727"/>
    <hyperlink r:id="rId2785" ref="G1728"/>
    <hyperlink r:id="rId2786" ref="S1728"/>
    <hyperlink r:id="rId2787" ref="F1730"/>
    <hyperlink r:id="rId2788" ref="G1730"/>
    <hyperlink r:id="rId2789" ref="S1730"/>
    <hyperlink r:id="rId2790" ref="F1731"/>
    <hyperlink r:id="rId2791" ref="S1731"/>
    <hyperlink r:id="rId2792" ref="F1732"/>
    <hyperlink r:id="rId2793" ref="S1732"/>
    <hyperlink r:id="rId2794" ref="S1734"/>
    <hyperlink r:id="rId2795" ref="G1735"/>
    <hyperlink r:id="rId2796" ref="G1736"/>
    <hyperlink r:id="rId2797" ref="F1737"/>
    <hyperlink r:id="rId2798" ref="S1737"/>
    <hyperlink r:id="rId2799" ref="F1739"/>
    <hyperlink r:id="rId2800" ref="S1739"/>
    <hyperlink r:id="rId2801" ref="F1740"/>
    <hyperlink r:id="rId2802" ref="G1740"/>
    <hyperlink r:id="rId2803" ref="F1742"/>
    <hyperlink r:id="rId2804" ref="S1742"/>
    <hyperlink r:id="rId2805" ref="F1743"/>
    <hyperlink r:id="rId2806" ref="G1743"/>
    <hyperlink r:id="rId2807" ref="S1743"/>
    <hyperlink r:id="rId2808" ref="G1744"/>
    <hyperlink r:id="rId2809" ref="S1744"/>
    <hyperlink r:id="rId2810" ref="G1745"/>
    <hyperlink r:id="rId2811" ref="S1745"/>
    <hyperlink r:id="rId2812" ref="F1746"/>
    <hyperlink r:id="rId2813" ref="G1746"/>
    <hyperlink r:id="rId2814" ref="S1747"/>
    <hyperlink r:id="rId2815" ref="F1748"/>
    <hyperlink r:id="rId2816" ref="G1748"/>
    <hyperlink r:id="rId2817" ref="S1748"/>
    <hyperlink r:id="rId2818" ref="F1749"/>
    <hyperlink r:id="rId2819" ref="S1749"/>
    <hyperlink r:id="rId2820" ref="F1750"/>
    <hyperlink r:id="rId2821" ref="G1750"/>
    <hyperlink r:id="rId2822" ref="S1750"/>
    <hyperlink r:id="rId2823" ref="G1752"/>
    <hyperlink r:id="rId2824" ref="S1752"/>
    <hyperlink r:id="rId2825" ref="F1753"/>
    <hyperlink r:id="rId2826" ref="G1753"/>
    <hyperlink r:id="rId2827" ref="S1753"/>
    <hyperlink r:id="rId2828" ref="G1754"/>
    <hyperlink r:id="rId2829" ref="S1754"/>
    <hyperlink r:id="rId2830" ref="G1755"/>
    <hyperlink r:id="rId2831" ref="S1755"/>
    <hyperlink r:id="rId2832" ref="G1756"/>
    <hyperlink r:id="rId2833" ref="S1756"/>
    <hyperlink r:id="rId2834" ref="S1757"/>
    <hyperlink r:id="rId2835" ref="F1758"/>
    <hyperlink r:id="rId2836" ref="S1758"/>
    <hyperlink r:id="rId2837" ref="F1759"/>
    <hyperlink r:id="rId2838" ref="S1759"/>
    <hyperlink r:id="rId2839" ref="F1760"/>
    <hyperlink r:id="rId2840" ref="G1760"/>
    <hyperlink r:id="rId2841" ref="S1760"/>
    <hyperlink r:id="rId2842" ref="F1761"/>
    <hyperlink r:id="rId2843" ref="G1761"/>
    <hyperlink r:id="rId2844" ref="S1761"/>
    <hyperlink r:id="rId2845" ref="F1762"/>
    <hyperlink r:id="rId2846" ref="G1762"/>
    <hyperlink r:id="rId2847" ref="S1762"/>
    <hyperlink r:id="rId2848" ref="G1763"/>
    <hyperlink r:id="rId2849" ref="F1764"/>
    <hyperlink r:id="rId2850" ref="G1765"/>
    <hyperlink r:id="rId2851" ref="S1765"/>
    <hyperlink r:id="rId2852" ref="F1766"/>
    <hyperlink r:id="rId2853" ref="S1766"/>
    <hyperlink r:id="rId2854" ref="G1767"/>
    <hyperlink r:id="rId2855" ref="S1767"/>
    <hyperlink r:id="rId2856" ref="F1768"/>
    <hyperlink r:id="rId2857" ref="G1768"/>
    <hyperlink r:id="rId2858" ref="Q1768"/>
    <hyperlink r:id="rId2859" ref="S1768"/>
    <hyperlink r:id="rId2860" ref="F1769"/>
    <hyperlink r:id="rId2861" ref="G1769"/>
    <hyperlink r:id="rId2862" ref="S1769"/>
    <hyperlink r:id="rId2863" ref="F1770"/>
    <hyperlink r:id="rId2864" ref="S1770"/>
    <hyperlink r:id="rId2865" ref="G1771"/>
    <hyperlink r:id="rId2866" ref="S1771"/>
    <hyperlink r:id="rId2867" ref="G1772"/>
    <hyperlink r:id="rId2868" ref="G1773"/>
    <hyperlink r:id="rId2869" ref="S1773"/>
    <hyperlink r:id="rId2870" ref="G1774"/>
    <hyperlink r:id="rId2871" ref="S1774"/>
    <hyperlink r:id="rId2872" ref="F1775"/>
    <hyperlink r:id="rId2873" ref="S1775"/>
    <hyperlink r:id="rId2874" ref="S1777"/>
    <hyperlink r:id="rId2875" ref="F1778"/>
    <hyperlink r:id="rId2876" ref="G1778"/>
    <hyperlink r:id="rId2877" ref="S1778"/>
    <hyperlink r:id="rId2878" ref="G1780"/>
    <hyperlink r:id="rId2879" ref="F1781"/>
    <hyperlink r:id="rId2880" ref="G1781"/>
    <hyperlink r:id="rId2881" ref="S1781"/>
    <hyperlink r:id="rId2882" ref="G1782"/>
    <hyperlink r:id="rId2883" ref="S1782"/>
    <hyperlink r:id="rId2884" ref="F1783"/>
    <hyperlink r:id="rId2885" ref="S1783"/>
    <hyperlink r:id="rId2886" ref="S1786"/>
    <hyperlink r:id="rId2887" ref="G1787"/>
    <hyperlink r:id="rId2888" ref="S1787"/>
    <hyperlink r:id="rId2889" ref="G1788"/>
    <hyperlink r:id="rId2890" ref="S1788"/>
    <hyperlink r:id="rId2891" ref="G1789"/>
    <hyperlink r:id="rId2892" ref="S1789"/>
    <hyperlink r:id="rId2893" ref="F1790"/>
    <hyperlink r:id="rId2894" ref="S1790"/>
    <hyperlink r:id="rId2895" ref="F1791"/>
    <hyperlink r:id="rId2896" ref="S1791"/>
    <hyperlink r:id="rId2897" ref="F1792"/>
    <hyperlink r:id="rId2898" ref="S1792"/>
    <hyperlink r:id="rId2899" ref="F1796"/>
    <hyperlink r:id="rId2900" ref="S1796"/>
    <hyperlink r:id="rId2901" ref="F1797"/>
    <hyperlink r:id="rId2902" ref="F1799"/>
    <hyperlink r:id="rId2903" ref="S1799"/>
    <hyperlink r:id="rId2904" ref="G1801"/>
    <hyperlink r:id="rId2905" ref="S1801"/>
    <hyperlink r:id="rId2906" ref="G1803"/>
    <hyperlink r:id="rId2907" ref="S1803"/>
    <hyperlink r:id="rId2908" ref="G1804"/>
    <hyperlink r:id="rId2909" ref="F1805"/>
    <hyperlink r:id="rId2910" ref="G1805"/>
    <hyperlink r:id="rId2911" ref="G1806"/>
    <hyperlink r:id="rId2912" ref="S1806"/>
    <hyperlink r:id="rId2913" ref="S1807"/>
    <hyperlink r:id="rId2914" ref="G1810"/>
    <hyperlink r:id="rId2915" ref="S1810"/>
    <hyperlink r:id="rId2916" ref="F1812"/>
    <hyperlink r:id="rId2917" ref="S1812"/>
    <hyperlink r:id="rId2918" ref="F1813"/>
    <hyperlink r:id="rId2919" ref="S1813"/>
    <hyperlink r:id="rId2920" ref="F1814"/>
    <hyperlink r:id="rId2921" ref="S1814"/>
    <hyperlink r:id="rId2922" ref="C1815"/>
    <hyperlink r:id="rId2923" ref="F1815"/>
    <hyperlink r:id="rId2924" ref="S1815"/>
    <hyperlink r:id="rId2925" ref="F1817"/>
    <hyperlink r:id="rId2926" ref="G1817"/>
    <hyperlink r:id="rId2927" ref="S1817"/>
    <hyperlink r:id="rId2928" ref="G1818"/>
    <hyperlink r:id="rId2929" ref="S1818"/>
    <hyperlink r:id="rId2930" ref="G1819"/>
    <hyperlink r:id="rId2931" ref="F1820"/>
    <hyperlink r:id="rId2932" ref="G1820"/>
    <hyperlink r:id="rId2933" ref="S1820"/>
    <hyperlink r:id="rId2934" ref="S1821"/>
    <hyperlink r:id="rId2935" ref="G1822"/>
    <hyperlink r:id="rId2936" ref="S1822"/>
    <hyperlink r:id="rId2937" ref="G1824"/>
    <hyperlink r:id="rId2938" ref="S1824"/>
    <hyperlink r:id="rId2939" ref="G1825"/>
    <hyperlink r:id="rId2940" ref="S1825"/>
    <hyperlink r:id="rId2941" ref="F1827"/>
    <hyperlink r:id="rId2942" ref="S1827"/>
    <hyperlink r:id="rId2943" ref="F1829"/>
    <hyperlink r:id="rId2944" ref="S1829"/>
    <hyperlink r:id="rId2945" ref="G1830"/>
    <hyperlink r:id="rId2946" ref="S1830"/>
    <hyperlink r:id="rId2947" ref="F1831"/>
    <hyperlink r:id="rId2948" ref="G1831"/>
    <hyperlink r:id="rId2949" ref="S1831"/>
    <hyperlink r:id="rId2950" ref="G1832"/>
    <hyperlink r:id="rId2951" ref="F1833"/>
    <hyperlink r:id="rId2952" ref="F1835"/>
    <hyperlink r:id="rId2953" ref="G1835"/>
    <hyperlink r:id="rId2954" ref="S1835"/>
    <hyperlink r:id="rId2955" ref="G1836"/>
    <hyperlink r:id="rId2956" ref="S1836"/>
    <hyperlink r:id="rId2957" ref="F1838"/>
    <hyperlink r:id="rId2958" ref="S1838"/>
    <hyperlink r:id="rId2959" ref="G1839"/>
    <hyperlink r:id="rId2960" ref="S1839"/>
    <hyperlink r:id="rId2961" ref="F1840"/>
    <hyperlink r:id="rId2962" ref="S1840"/>
    <hyperlink r:id="rId2963" ref="F1841"/>
    <hyperlink r:id="rId2964" ref="F1843"/>
    <hyperlink r:id="rId2965" ref="S1843"/>
    <hyperlink r:id="rId2966" ref="S1844"/>
    <hyperlink r:id="rId2967" ref="G1845"/>
    <hyperlink r:id="rId2968" ref="S1845"/>
    <hyperlink r:id="rId2969" ref="S1846"/>
    <hyperlink r:id="rId2970" ref="G1851"/>
    <hyperlink r:id="rId2971" ref="S1851"/>
    <hyperlink r:id="rId2972" ref="F1852"/>
    <hyperlink r:id="rId2973" ref="S1852"/>
    <hyperlink r:id="rId2974" ref="F1853"/>
    <hyperlink r:id="rId2975" ref="G1853"/>
    <hyperlink r:id="rId2976" ref="S1853"/>
    <hyperlink r:id="rId2977" ref="F1854"/>
    <hyperlink r:id="rId2978" ref="S1854"/>
    <hyperlink r:id="rId2979" ref="G1855"/>
    <hyperlink r:id="rId2980" ref="S1855"/>
    <hyperlink r:id="rId2981" ref="F1856"/>
    <hyperlink r:id="rId2982" ref="S1856"/>
    <hyperlink r:id="rId2983" ref="G1857"/>
    <hyperlink r:id="rId2984" ref="G1858"/>
    <hyperlink r:id="rId2985" ref="S1858"/>
    <hyperlink r:id="rId2986" ref="F1860"/>
    <hyperlink r:id="rId2987" ref="G1860"/>
    <hyperlink r:id="rId2988" ref="S1860"/>
    <hyperlink r:id="rId2989" ref="G1861"/>
    <hyperlink r:id="rId2990" ref="S1861"/>
    <hyperlink r:id="rId2991" ref="G1863"/>
    <hyperlink r:id="rId2992" ref="G1864"/>
    <hyperlink r:id="rId2993" ref="G1865"/>
    <hyperlink r:id="rId2994" ref="G1867"/>
    <hyperlink r:id="rId2995" ref="S1867"/>
    <hyperlink r:id="rId2996" ref="F1868"/>
    <hyperlink r:id="rId2997" ref="S1868"/>
    <hyperlink r:id="rId2998" ref="F1870"/>
    <hyperlink r:id="rId2999" ref="G1870"/>
    <hyperlink r:id="rId3000" ref="S1870"/>
    <hyperlink r:id="rId3001" ref="G1871"/>
    <hyperlink r:id="rId3002" ref="S1872"/>
    <hyperlink r:id="rId3003" ref="F1873"/>
    <hyperlink r:id="rId3004" ref="G1873"/>
    <hyperlink r:id="rId3005" ref="S1873"/>
    <hyperlink r:id="rId3006" ref="F1874"/>
    <hyperlink r:id="rId3007" ref="G1874"/>
    <hyperlink r:id="rId3008" ref="S1874"/>
    <hyperlink r:id="rId3009" ref="G1875"/>
    <hyperlink r:id="rId3010" ref="S1875"/>
    <hyperlink r:id="rId3011" ref="F1876"/>
    <hyperlink r:id="rId3012" ref="G1876"/>
    <hyperlink r:id="rId3013" ref="S1876"/>
    <hyperlink r:id="rId3014" ref="F1877"/>
    <hyperlink r:id="rId3015" ref="S1877"/>
    <hyperlink r:id="rId3016" ref="F1880"/>
    <hyperlink r:id="rId3017" ref="S1880"/>
    <hyperlink r:id="rId3018" ref="S1881"/>
    <hyperlink r:id="rId3019" ref="G1882"/>
    <hyperlink r:id="rId3020" ref="G1883"/>
    <hyperlink r:id="rId3021" ref="F1886"/>
    <hyperlink r:id="rId3022" ref="S1886"/>
    <hyperlink r:id="rId3023" ref="F1887"/>
    <hyperlink r:id="rId3024" ref="F1888"/>
    <hyperlink r:id="rId3025" ref="S1888"/>
    <hyperlink r:id="rId3026" ref="G1889"/>
    <hyperlink r:id="rId3027" ref="F1890"/>
    <hyperlink r:id="rId3028" ref="G1890"/>
    <hyperlink r:id="rId3029" ref="S1890"/>
    <hyperlink r:id="rId3030" ref="G1892"/>
    <hyperlink r:id="rId3031" ref="F1893"/>
    <hyperlink r:id="rId3032" ref="S1893"/>
    <hyperlink r:id="rId3033" ref="F1894"/>
    <hyperlink r:id="rId3034" ref="S1894"/>
    <hyperlink r:id="rId3035" ref="F1895"/>
    <hyperlink r:id="rId3036" ref="G1895"/>
    <hyperlink r:id="rId3037" ref="S1895"/>
    <hyperlink r:id="rId3038" ref="G1896"/>
    <hyperlink r:id="rId3039" ref="S1896"/>
    <hyperlink r:id="rId3040" ref="G1897"/>
    <hyperlink r:id="rId3041" ref="G1898"/>
    <hyperlink r:id="rId3042" ref="S1898"/>
    <hyperlink r:id="rId3043" ref="F1899"/>
    <hyperlink r:id="rId3044" ref="F1900"/>
    <hyperlink r:id="rId3045" ref="G1900"/>
    <hyperlink r:id="rId3046" ref="S1900"/>
    <hyperlink r:id="rId3047" ref="G1901"/>
    <hyperlink r:id="rId3048" ref="S1901"/>
    <hyperlink r:id="rId3049" ref="G1902"/>
    <hyperlink r:id="rId3050" ref="S1902"/>
    <hyperlink r:id="rId3051" ref="G1904"/>
    <hyperlink r:id="rId3052" ref="S1908"/>
    <hyperlink r:id="rId3053" ref="S1909"/>
    <hyperlink r:id="rId3054" ref="G1911"/>
    <hyperlink r:id="rId3055" ref="S1911"/>
    <hyperlink r:id="rId3056" ref="S1912"/>
    <hyperlink r:id="rId3057" ref="S1913"/>
    <hyperlink r:id="rId3058" ref="G1915"/>
    <hyperlink r:id="rId3059" ref="S1915"/>
    <hyperlink r:id="rId3060" ref="G1916"/>
    <hyperlink r:id="rId3061" ref="F1917"/>
    <hyperlink r:id="rId3062" ref="G1917"/>
    <hyperlink r:id="rId3063" ref="S1917"/>
    <hyperlink r:id="rId3064" ref="S1918"/>
    <hyperlink r:id="rId3065" ref="F1919"/>
    <hyperlink r:id="rId3066" ref="S1919"/>
    <hyperlink r:id="rId3067" ref="G1920"/>
    <hyperlink r:id="rId3068" ref="G1921"/>
    <hyperlink r:id="rId3069" ref="S1921"/>
    <hyperlink r:id="rId3070" ref="G1922"/>
    <hyperlink r:id="rId3071" ref="S1922"/>
    <hyperlink r:id="rId3072" ref="G1923"/>
    <hyperlink r:id="rId3073" ref="S1923"/>
    <hyperlink r:id="rId3074" ref="G1924"/>
    <hyperlink r:id="rId3075" ref="S1924"/>
    <hyperlink r:id="rId3076" ref="F1925"/>
    <hyperlink r:id="rId3077" ref="G1925"/>
    <hyperlink r:id="rId3078" ref="S1925"/>
    <hyperlink r:id="rId3079" ref="F1926"/>
    <hyperlink r:id="rId3080" ref="S1926"/>
    <hyperlink r:id="rId3081" ref="F1927"/>
    <hyperlink r:id="rId3082" ref="S1927"/>
    <hyperlink r:id="rId3083" ref="G1928"/>
    <hyperlink r:id="rId3084" ref="S1928"/>
    <hyperlink r:id="rId3085" ref="F1929"/>
    <hyperlink r:id="rId3086" ref="G1929"/>
    <hyperlink r:id="rId3087" ref="S1929"/>
    <hyperlink r:id="rId3088" ref="F1930"/>
    <hyperlink r:id="rId3089" ref="G1930"/>
    <hyperlink r:id="rId3090" ref="S1930"/>
    <hyperlink r:id="rId3091" ref="G1931"/>
    <hyperlink r:id="rId3092" ref="S1931"/>
    <hyperlink r:id="rId3093" ref="F1932"/>
    <hyperlink r:id="rId3094" ref="G1932"/>
    <hyperlink r:id="rId3095" ref="S1932"/>
    <hyperlink r:id="rId3096" ref="F1933"/>
    <hyperlink r:id="rId3097" ref="G1933"/>
    <hyperlink r:id="rId3098" ref="S1933"/>
    <hyperlink r:id="rId3099" ref="G1934"/>
    <hyperlink r:id="rId3100" ref="S1934"/>
    <hyperlink r:id="rId3101" ref="G1936"/>
    <hyperlink r:id="rId3102" ref="S1936"/>
    <hyperlink r:id="rId3103" ref="F1937"/>
    <hyperlink r:id="rId3104" ref="G1937"/>
    <hyperlink r:id="rId3105" ref="S1937"/>
    <hyperlink r:id="rId3106" ref="F1940"/>
    <hyperlink r:id="rId3107" ref="G1940"/>
    <hyperlink r:id="rId3108" ref="S1940"/>
    <hyperlink r:id="rId3109" ref="F1942"/>
    <hyperlink r:id="rId3110" ref="F1943"/>
    <hyperlink r:id="rId3111" ref="S1943"/>
    <hyperlink r:id="rId3112" ref="G1946"/>
    <hyperlink r:id="rId3113" ref="F1947"/>
    <hyperlink r:id="rId3114" ref="G1947"/>
    <hyperlink r:id="rId3115" ref="S1947"/>
    <hyperlink r:id="rId3116" ref="F1948"/>
    <hyperlink r:id="rId3117" ref="F1949"/>
    <hyperlink r:id="rId3118" ref="S1949"/>
    <hyperlink r:id="rId3119" ref="G1950"/>
    <hyperlink r:id="rId3120" ref="S1950"/>
    <hyperlink r:id="rId3121" ref="G1953"/>
    <hyperlink r:id="rId3122" ref="S1953"/>
    <hyperlink r:id="rId3123" ref="F1955"/>
    <hyperlink r:id="rId3124" ref="G1955"/>
    <hyperlink r:id="rId3125" ref="S1955"/>
    <hyperlink r:id="rId3126" ref="F1956"/>
    <hyperlink r:id="rId3127" ref="S1956"/>
    <hyperlink r:id="rId3128" ref="F1957"/>
    <hyperlink r:id="rId3129" ref="S1957"/>
    <hyperlink r:id="rId3130" ref="S1958"/>
    <hyperlink r:id="rId3131" ref="G1959"/>
    <hyperlink r:id="rId3132" ref="F1961"/>
    <hyperlink r:id="rId3133" ref="G1961"/>
    <hyperlink r:id="rId3134" ref="S1961"/>
    <hyperlink r:id="rId3135" ref="S1962"/>
    <hyperlink r:id="rId3136" ref="G1963"/>
    <hyperlink r:id="rId3137" ref="S1963"/>
    <hyperlink r:id="rId3138" ref="F1964"/>
    <hyperlink r:id="rId3139" ref="G1964"/>
    <hyperlink r:id="rId3140" ref="S1964"/>
    <hyperlink r:id="rId3141" ref="F1966"/>
    <hyperlink r:id="rId3142" ref="F1967"/>
    <hyperlink r:id="rId3143" ref="S1967"/>
    <hyperlink r:id="rId3144" ref="G1968"/>
    <hyperlink r:id="rId3145" ref="G1969"/>
    <hyperlink r:id="rId3146" ref="S1969"/>
    <hyperlink r:id="rId3147" ref="S1970"/>
    <hyperlink r:id="rId3148" ref="F1971"/>
    <hyperlink r:id="rId3149" ref="S1971"/>
    <hyperlink r:id="rId3150" ref="S1972"/>
    <hyperlink r:id="rId3151" ref="G1973"/>
    <hyperlink r:id="rId3152" ref="S1973"/>
    <hyperlink r:id="rId3153" ref="F1974"/>
    <hyperlink r:id="rId3154" ref="G1974"/>
    <hyperlink r:id="rId3155" ref="S1974"/>
    <hyperlink r:id="rId3156" ref="G1975"/>
    <hyperlink r:id="rId3157" ref="G1976"/>
    <hyperlink r:id="rId3158" ref="S1976"/>
    <hyperlink r:id="rId3159" ref="F1978"/>
    <hyperlink r:id="rId3160" ref="G1978"/>
    <hyperlink r:id="rId3161" ref="G1979"/>
    <hyperlink r:id="rId3162" ref="S1979"/>
    <hyperlink r:id="rId3163" ref="G1980"/>
    <hyperlink r:id="rId3164" ref="S1980"/>
    <hyperlink r:id="rId3165" ref="G1981"/>
    <hyperlink r:id="rId3166" ref="S1981"/>
    <hyperlink r:id="rId3167" ref="G1982"/>
    <hyperlink r:id="rId3168" ref="S1982"/>
    <hyperlink r:id="rId3169" ref="F1983"/>
    <hyperlink r:id="rId3170" ref="G1983"/>
    <hyperlink r:id="rId3171" ref="S1983"/>
    <hyperlink r:id="rId3172" ref="G1985"/>
    <hyperlink r:id="rId3173" ref="S1985"/>
    <hyperlink r:id="rId3174" ref="G1986"/>
    <hyperlink r:id="rId3175" ref="G1987"/>
    <hyperlink r:id="rId3176" ref="S1987"/>
    <hyperlink r:id="rId3177" ref="S1989"/>
    <hyperlink r:id="rId3178" ref="G1990"/>
    <hyperlink r:id="rId3179" ref="S1990"/>
    <hyperlink r:id="rId3180" ref="S1991"/>
    <hyperlink r:id="rId3181" ref="G1993"/>
    <hyperlink r:id="rId3182" ref="S1993"/>
    <hyperlink r:id="rId3183" ref="S1994"/>
    <hyperlink r:id="rId3184" ref="F1995"/>
    <hyperlink r:id="rId3185" ref="S1995"/>
    <hyperlink r:id="rId3186" ref="G1996"/>
    <hyperlink r:id="rId3187" ref="S1996"/>
    <hyperlink r:id="rId3188" ref="G1998"/>
    <hyperlink r:id="rId3189" ref="G1999"/>
    <hyperlink r:id="rId3190" ref="S1999"/>
    <hyperlink r:id="rId3191" ref="F2001"/>
    <hyperlink r:id="rId3192" ref="G2001"/>
    <hyperlink r:id="rId3193" ref="S2001"/>
    <hyperlink r:id="rId3194" ref="S2002"/>
    <hyperlink r:id="rId3195" ref="S2003"/>
    <hyperlink r:id="rId3196" ref="F2004"/>
    <hyperlink r:id="rId3197" ref="S2004"/>
    <hyperlink r:id="rId3198" ref="F2005"/>
    <hyperlink r:id="rId3199" ref="S2005"/>
    <hyperlink r:id="rId3200" ref="F2006"/>
    <hyperlink r:id="rId3201" ref="G2006"/>
    <hyperlink r:id="rId3202" ref="S2006"/>
    <hyperlink r:id="rId3203" ref="S2007"/>
    <hyperlink r:id="rId3204" ref="G2008"/>
    <hyperlink r:id="rId3205" ref="F2009"/>
    <hyperlink r:id="rId3206" ref="G2009"/>
    <hyperlink r:id="rId3207" ref="S2009"/>
    <hyperlink r:id="rId3208" ref="G2010"/>
    <hyperlink r:id="rId3209" ref="S2010"/>
    <hyperlink r:id="rId3210" ref="F2011"/>
    <hyperlink r:id="rId3211" ref="F2012"/>
    <hyperlink r:id="rId3212" ref="G2012"/>
    <hyperlink r:id="rId3213" ref="S2012"/>
    <hyperlink r:id="rId3214" ref="F2013"/>
    <hyperlink r:id="rId3215" ref="S2013"/>
    <hyperlink r:id="rId3216" ref="G2014"/>
    <hyperlink r:id="rId3217" ref="G2016"/>
    <hyperlink r:id="rId3218" ref="S2016"/>
    <hyperlink r:id="rId3219" ref="G2017"/>
    <hyperlink r:id="rId3220" ref="G2018"/>
    <hyperlink r:id="rId3221" ref="S2019"/>
    <hyperlink r:id="rId3222" ref="G2020"/>
    <hyperlink r:id="rId3223" ref="S2020"/>
    <hyperlink r:id="rId3224" ref="G2021"/>
    <hyperlink r:id="rId3225" ref="G2022"/>
    <hyperlink r:id="rId3226" ref="S2022"/>
    <hyperlink r:id="rId3227" ref="F2023"/>
    <hyperlink r:id="rId3228" ref="S2023"/>
    <hyperlink r:id="rId3229" ref="G2024"/>
    <hyperlink r:id="rId3230" ref="G2025"/>
    <hyperlink r:id="rId3231" ref="F2026"/>
    <hyperlink r:id="rId3232" ref="S2026"/>
    <hyperlink r:id="rId3233" ref="F2027"/>
    <hyperlink r:id="rId3234" ref="G2027"/>
    <hyperlink r:id="rId3235" ref="S2027"/>
    <hyperlink r:id="rId3236" ref="F2028"/>
    <hyperlink r:id="rId3237" ref="G2028"/>
    <hyperlink r:id="rId3238" ref="S2028"/>
    <hyperlink r:id="rId3239" ref="G2029"/>
    <hyperlink r:id="rId3240" ref="F2030"/>
    <hyperlink r:id="rId3241" ref="S2030"/>
    <hyperlink r:id="rId3242" ref="G2031"/>
    <hyperlink r:id="rId3243" ref="S2031"/>
    <hyperlink r:id="rId3244" ref="F2032"/>
    <hyperlink r:id="rId3245" ref="G2032"/>
    <hyperlink r:id="rId3246" ref="S2032"/>
    <hyperlink r:id="rId3247" ref="G2033"/>
    <hyperlink r:id="rId3248" ref="S2033"/>
    <hyperlink r:id="rId3249" ref="F2034"/>
    <hyperlink r:id="rId3250" ref="G2034"/>
    <hyperlink r:id="rId3251" ref="S2034"/>
    <hyperlink r:id="rId3252" ref="F2035"/>
    <hyperlink r:id="rId3253" ref="G2035"/>
    <hyperlink r:id="rId3254" ref="S2035"/>
    <hyperlink r:id="rId3255" ref="G2036"/>
    <hyperlink r:id="rId3256" ref="S2036"/>
    <hyperlink r:id="rId3257" ref="G2037"/>
    <hyperlink r:id="rId3258" ref="G2039"/>
    <hyperlink r:id="rId3259" ref="S2039"/>
    <hyperlink r:id="rId3260" ref="G2040"/>
    <hyperlink r:id="rId3261" ref="F2041"/>
    <hyperlink r:id="rId3262" ref="G2041"/>
    <hyperlink r:id="rId3263" ref="F2042"/>
    <hyperlink r:id="rId3264" ref="S2042"/>
    <hyperlink r:id="rId3265" ref="G2044"/>
    <hyperlink r:id="rId3266" ref="S2044"/>
    <hyperlink r:id="rId3267" ref="G2045"/>
    <hyperlink r:id="rId3268" ref="G2046"/>
    <hyperlink r:id="rId3269" ref="F2047"/>
    <hyperlink r:id="rId3270" ref="S2047"/>
    <hyperlink r:id="rId3271" ref="S2048"/>
    <hyperlink r:id="rId3272" ref="G2049"/>
    <hyperlink r:id="rId3273" ref="S2049"/>
    <hyperlink r:id="rId3274" ref="G2050"/>
    <hyperlink r:id="rId3275" ref="G2051"/>
    <hyperlink r:id="rId3276" ref="S2051"/>
    <hyperlink r:id="rId3277" ref="F2052"/>
    <hyperlink r:id="rId3278" ref="S2052"/>
    <hyperlink r:id="rId3279" ref="S2053"/>
    <hyperlink r:id="rId3280" ref="G2054"/>
    <hyperlink r:id="rId3281" ref="S2054"/>
    <hyperlink r:id="rId3282" ref="F2056"/>
    <hyperlink r:id="rId3283" ref="S2056"/>
    <hyperlink r:id="rId3284" ref="G2057"/>
    <hyperlink r:id="rId3285" ref="S2057"/>
    <hyperlink r:id="rId3286" ref="G2058"/>
    <hyperlink r:id="rId3287" ref="S2058"/>
    <hyperlink r:id="rId3288" ref="F2059"/>
    <hyperlink r:id="rId3289" ref="G2059"/>
    <hyperlink r:id="rId3290" ref="S2059"/>
    <hyperlink r:id="rId3291" ref="F2060"/>
    <hyperlink r:id="rId3292" ref="S2060"/>
    <hyperlink r:id="rId3293" ref="F2061"/>
    <hyperlink r:id="rId3294" ref="G2061"/>
    <hyperlink r:id="rId3295" ref="S2061"/>
    <hyperlink r:id="rId3296" ref="G2062"/>
    <hyperlink r:id="rId3297" ref="F2063"/>
    <hyperlink r:id="rId3298" ref="G2063"/>
    <hyperlink r:id="rId3299" ref="S2063"/>
    <hyperlink r:id="rId3300" ref="F2064"/>
    <hyperlink r:id="rId3301" ref="G2064"/>
    <hyperlink r:id="rId3302" ref="S2064"/>
    <hyperlink r:id="rId3303" ref="F2065"/>
    <hyperlink r:id="rId3304" ref="S2065"/>
    <hyperlink r:id="rId3305" ref="F2067"/>
    <hyperlink r:id="rId3306" ref="F2068"/>
    <hyperlink r:id="rId3307" ref="G2068"/>
    <hyperlink r:id="rId3308" ref="S2068"/>
    <hyperlink r:id="rId3309" ref="G2069"/>
    <hyperlink r:id="rId3310" ref="S2070"/>
    <hyperlink r:id="rId3311" ref="F2072"/>
    <hyperlink r:id="rId3312" ref="G2072"/>
    <hyperlink r:id="rId3313" ref="F2073"/>
    <hyperlink r:id="rId3314" ref="F2074"/>
    <hyperlink r:id="rId3315" ref="G2074"/>
    <hyperlink r:id="rId3316" ref="S2074"/>
    <hyperlink r:id="rId3317" ref="G2075"/>
    <hyperlink r:id="rId3318" ref="S2075"/>
    <hyperlink r:id="rId3319" ref="F2076"/>
    <hyperlink r:id="rId3320" ref="F2077"/>
    <hyperlink r:id="rId3321" ref="S2077"/>
    <hyperlink r:id="rId3322" ref="G2079"/>
    <hyperlink r:id="rId3323" ref="S2079"/>
    <hyperlink r:id="rId3324" ref="G2081"/>
    <hyperlink r:id="rId3325" ref="S2081"/>
    <hyperlink r:id="rId3326" ref="S2082"/>
    <hyperlink r:id="rId3327" ref="S2084"/>
    <hyperlink r:id="rId3328" ref="F2085"/>
    <hyperlink r:id="rId3329" ref="G2085"/>
    <hyperlink r:id="rId3330" ref="S2085"/>
    <hyperlink r:id="rId3331" ref="G2086"/>
    <hyperlink r:id="rId3332" ref="F2087"/>
    <hyperlink r:id="rId3333" ref="G2088"/>
    <hyperlink r:id="rId3334" ref="F2089"/>
    <hyperlink r:id="rId3335" ref="G2089"/>
    <hyperlink r:id="rId3336" ref="S2089"/>
    <hyperlink r:id="rId3337" ref="F2090"/>
    <hyperlink r:id="rId3338" ref="F2091"/>
    <hyperlink r:id="rId3339" ref="G2091"/>
    <hyperlink r:id="rId3340" ref="S2091"/>
    <hyperlink r:id="rId3341" ref="F2092"/>
    <hyperlink r:id="rId3342" ref="G2092"/>
    <hyperlink r:id="rId3343" ref="S2092"/>
    <hyperlink r:id="rId3344" ref="F2094"/>
    <hyperlink r:id="rId3345" ref="G2094"/>
    <hyperlink r:id="rId3346" ref="S2094"/>
    <hyperlink r:id="rId3347" ref="G2096"/>
    <hyperlink r:id="rId3348" ref="S2096"/>
    <hyperlink r:id="rId3349" ref="S2098"/>
    <hyperlink r:id="rId3350" ref="F2099"/>
    <hyperlink r:id="rId3351" ref="S2100"/>
    <hyperlink r:id="rId3352" ref="F2101"/>
    <hyperlink r:id="rId3353" ref="G2101"/>
    <hyperlink r:id="rId3354" ref="S2101"/>
    <hyperlink r:id="rId3355" ref="F2102"/>
    <hyperlink r:id="rId3356" ref="S2102"/>
    <hyperlink r:id="rId3357" ref="F2104"/>
    <hyperlink r:id="rId3358" ref="G2104"/>
    <hyperlink r:id="rId3359" ref="F2105"/>
    <hyperlink r:id="rId3360" ref="S2105"/>
    <hyperlink r:id="rId3361" ref="G2106"/>
    <hyperlink r:id="rId3362" ref="S2106"/>
    <hyperlink r:id="rId3363" ref="F2107"/>
    <hyperlink r:id="rId3364" ref="G2107"/>
    <hyperlink r:id="rId3365" ref="S2107"/>
    <hyperlink r:id="rId3366" ref="G2108"/>
    <hyperlink r:id="rId3367" ref="S2108"/>
    <hyperlink r:id="rId3368" ref="F2109"/>
    <hyperlink r:id="rId3369" ref="G2110"/>
    <hyperlink r:id="rId3370" ref="S2110"/>
    <hyperlink r:id="rId3371" ref="G2111"/>
    <hyperlink r:id="rId3372" ref="S2111"/>
    <hyperlink r:id="rId3373" ref="G2112"/>
    <hyperlink r:id="rId3374" ref="S2112"/>
    <hyperlink r:id="rId3375" ref="G2113"/>
    <hyperlink r:id="rId3376" ref="F2114"/>
    <hyperlink r:id="rId3377" ref="G2114"/>
    <hyperlink r:id="rId3378" ref="G2115"/>
    <hyperlink r:id="rId3379" ref="S2115"/>
    <hyperlink r:id="rId3380" ref="F2116"/>
    <hyperlink r:id="rId3381" ref="G2116"/>
    <hyperlink r:id="rId3382" ref="S2116"/>
    <hyperlink r:id="rId3383" ref="F2117"/>
    <hyperlink r:id="rId3384" ref="S2117"/>
    <hyperlink r:id="rId3385" ref="S2118"/>
    <hyperlink r:id="rId3386" ref="F2119"/>
    <hyperlink r:id="rId3387" ref="G2119"/>
    <hyperlink r:id="rId3388" ref="S2119"/>
    <hyperlink r:id="rId3389" ref="G2121"/>
    <hyperlink r:id="rId3390" ref="S2121"/>
    <hyperlink r:id="rId3391" ref="G2122"/>
    <hyperlink r:id="rId3392" ref="S2122"/>
    <hyperlink r:id="rId3393" ref="G2123"/>
    <hyperlink r:id="rId3394" ref="S2123"/>
    <hyperlink r:id="rId3395" ref="F2124"/>
    <hyperlink r:id="rId3396" ref="S2124"/>
    <hyperlink r:id="rId3397" ref="F2125"/>
    <hyperlink r:id="rId3398" ref="S2125"/>
    <hyperlink r:id="rId3399" ref="G2126"/>
    <hyperlink r:id="rId3400" ref="S2126"/>
    <hyperlink r:id="rId3401" ref="F2127"/>
    <hyperlink r:id="rId3402" ref="S2127"/>
    <hyperlink r:id="rId3403" ref="G2129"/>
    <hyperlink r:id="rId3404" ref="S2129"/>
    <hyperlink r:id="rId3405" ref="G2130"/>
    <hyperlink r:id="rId3406" ref="S2130"/>
    <hyperlink r:id="rId3407" ref="F2131"/>
    <hyperlink r:id="rId3408" ref="S2131"/>
    <hyperlink r:id="rId3409" ref="G2132"/>
    <hyperlink r:id="rId3410" ref="S2132"/>
    <hyperlink r:id="rId3411" ref="G2133"/>
    <hyperlink r:id="rId3412" ref="S2133"/>
    <hyperlink r:id="rId3413" ref="S2134"/>
    <hyperlink r:id="rId3414" ref="S2135"/>
    <hyperlink r:id="rId3415" ref="F2136"/>
    <hyperlink r:id="rId3416" ref="S2136"/>
    <hyperlink r:id="rId3417" ref="F2137"/>
    <hyperlink r:id="rId3418" ref="G2137"/>
    <hyperlink r:id="rId3419" ref="S2137"/>
    <hyperlink r:id="rId3420" ref="F2138"/>
    <hyperlink r:id="rId3421" ref="G2138"/>
    <hyperlink r:id="rId3422" ref="G2139"/>
    <hyperlink r:id="rId3423" ref="S2139"/>
    <hyperlink r:id="rId3424" ref="F2141"/>
    <hyperlink r:id="rId3425" ref="S2141"/>
    <hyperlink r:id="rId3426" ref="F2142"/>
    <hyperlink r:id="rId3427" ref="G2142"/>
    <hyperlink r:id="rId3428" ref="S2142"/>
    <hyperlink r:id="rId3429" ref="F2143"/>
    <hyperlink r:id="rId3430" ref="G2144"/>
    <hyperlink r:id="rId3431" ref="S2144"/>
    <hyperlink r:id="rId3432" ref="G2147"/>
    <hyperlink r:id="rId3433" ref="S2147"/>
    <hyperlink r:id="rId3434" ref="F2148"/>
    <hyperlink r:id="rId3435" ref="S2148"/>
    <hyperlink r:id="rId3436" ref="G2149"/>
    <hyperlink r:id="rId3437" ref="S2149"/>
    <hyperlink r:id="rId3438" ref="S2151"/>
    <hyperlink r:id="rId3439" ref="G2153"/>
    <hyperlink r:id="rId3440" ref="F2154"/>
    <hyperlink r:id="rId3441" ref="G2154"/>
    <hyperlink r:id="rId3442" ref="S2154"/>
    <hyperlink r:id="rId3443" ref="G2155"/>
    <hyperlink r:id="rId3444" ref="F2156"/>
    <hyperlink r:id="rId3445" ref="S2156"/>
    <hyperlink r:id="rId3446" ref="F2157"/>
    <hyperlink r:id="rId3447" ref="G2157"/>
    <hyperlink r:id="rId3448" ref="S2157"/>
    <hyperlink r:id="rId3449" ref="F2159"/>
    <hyperlink r:id="rId3450" ref="S2159"/>
    <hyperlink r:id="rId3451" ref="S2160"/>
    <hyperlink r:id="rId3452" ref="F2161"/>
    <hyperlink r:id="rId3453" ref="S2161"/>
    <hyperlink r:id="rId3454" ref="S2162"/>
    <hyperlink r:id="rId3455" ref="F2163"/>
    <hyperlink r:id="rId3456" ref="S2163"/>
    <hyperlink r:id="rId3457" ref="F2164"/>
    <hyperlink r:id="rId3458" ref="F2165"/>
    <hyperlink r:id="rId3459" ref="G2165"/>
    <hyperlink r:id="rId3460" ref="S2166"/>
    <hyperlink r:id="rId3461" ref="G2168"/>
    <hyperlink r:id="rId3462" ref="S2168"/>
    <hyperlink r:id="rId3463" ref="G2169"/>
    <hyperlink r:id="rId3464" ref="F2170"/>
    <hyperlink r:id="rId3465" ref="S2170"/>
    <hyperlink r:id="rId3466" ref="F2171"/>
    <hyperlink r:id="rId3467" ref="S2171"/>
    <hyperlink r:id="rId3468" ref="F2172"/>
    <hyperlink r:id="rId3469" ref="G2172"/>
    <hyperlink r:id="rId3470" ref="S2172"/>
    <hyperlink r:id="rId3471" ref="S2173"/>
    <hyperlink r:id="rId3472" ref="G2175"/>
    <hyperlink r:id="rId3473" ref="F2176"/>
    <hyperlink r:id="rId3474" ref="G2176"/>
    <hyperlink r:id="rId3475" ref="S2176"/>
    <hyperlink r:id="rId3476" ref="S2177"/>
    <hyperlink r:id="rId3477" ref="F2178"/>
    <hyperlink r:id="rId3478" ref="F2179"/>
    <hyperlink r:id="rId3479" ref="G2180"/>
    <hyperlink r:id="rId3480" ref="S2182"/>
    <hyperlink r:id="rId3481" ref="G2183"/>
    <hyperlink r:id="rId3482" ref="S2183"/>
    <hyperlink r:id="rId3483" ref="F2184"/>
    <hyperlink r:id="rId3484" ref="S2185"/>
    <hyperlink r:id="rId3485" ref="F2186"/>
    <hyperlink r:id="rId3486" ref="S2186"/>
    <hyperlink r:id="rId3487" ref="G2187"/>
    <hyperlink r:id="rId3488" ref="F2189"/>
    <hyperlink r:id="rId3489" ref="G2189"/>
    <hyperlink r:id="rId3490" ref="S2189"/>
    <hyperlink r:id="rId3491" ref="S2190"/>
    <hyperlink r:id="rId3492" ref="G2191"/>
    <hyperlink r:id="rId3493" ref="S2191"/>
    <hyperlink r:id="rId3494" ref="F2192"/>
    <hyperlink r:id="rId3495" ref="S2192"/>
    <hyperlink r:id="rId3496" ref="F2193"/>
    <hyperlink r:id="rId3497" ref="G2193"/>
    <hyperlink r:id="rId3498" ref="S2193"/>
    <hyperlink r:id="rId3499" ref="S2194"/>
    <hyperlink r:id="rId3500" ref="F2195"/>
    <hyperlink r:id="rId3501" ref="S2195"/>
    <hyperlink r:id="rId3502" ref="G2196"/>
    <hyperlink r:id="rId3503" ref="F2197"/>
    <hyperlink r:id="rId3504" ref="S2197"/>
    <hyperlink r:id="rId3505" ref="G2198"/>
    <hyperlink r:id="rId3506" ref="G2199"/>
    <hyperlink r:id="rId3507" ref="G2201"/>
    <hyperlink r:id="rId3508" ref="S2201"/>
    <hyperlink r:id="rId3509" ref="F2202"/>
    <hyperlink r:id="rId3510" ref="F2203"/>
    <hyperlink r:id="rId3511" ref="S2203"/>
    <hyperlink r:id="rId3512" ref="G2204"/>
    <hyperlink r:id="rId3513" ref="S2204"/>
    <hyperlink r:id="rId3514" ref="S2205"/>
    <hyperlink r:id="rId3515" ref="F2206"/>
    <hyperlink r:id="rId3516" ref="S2206"/>
    <hyperlink r:id="rId3517" ref="S2207"/>
    <hyperlink r:id="rId3518" ref="F2208"/>
    <hyperlink r:id="rId3519" ref="F2209"/>
    <hyperlink r:id="rId3520" ref="S2209"/>
    <hyperlink r:id="rId3521" ref="G2210"/>
    <hyperlink r:id="rId3522" ref="S2210"/>
    <hyperlink r:id="rId3523" ref="F2211"/>
    <hyperlink r:id="rId3524" ref="S2211"/>
    <hyperlink r:id="rId3525" ref="F2212"/>
    <hyperlink r:id="rId3526" ref="G2212"/>
    <hyperlink r:id="rId3527" ref="G2214"/>
    <hyperlink r:id="rId3528" ref="S2214"/>
    <hyperlink r:id="rId3529" ref="F2215"/>
    <hyperlink r:id="rId3530" ref="G2215"/>
    <hyperlink r:id="rId3531" ref="G2216"/>
    <hyperlink r:id="rId3532" ref="S2216"/>
    <hyperlink r:id="rId3533" ref="S2217"/>
    <hyperlink r:id="rId3534" ref="F2218"/>
    <hyperlink r:id="rId3535" ref="G2218"/>
    <hyperlink r:id="rId3536" ref="S2218"/>
    <hyperlink r:id="rId3537" ref="F2219"/>
    <hyperlink r:id="rId3538" ref="G2219"/>
    <hyperlink r:id="rId3539" ref="S2219"/>
    <hyperlink r:id="rId3540" ref="S2220"/>
    <hyperlink r:id="rId3541" ref="G2221"/>
    <hyperlink r:id="rId3542" ref="F2222"/>
    <hyperlink r:id="rId3543" ref="Q2222"/>
    <hyperlink r:id="rId3544" ref="S2222"/>
    <hyperlink r:id="rId3545" ref="G2223"/>
    <hyperlink r:id="rId3546" ref="S2223"/>
    <hyperlink r:id="rId3547" ref="F2224"/>
    <hyperlink r:id="rId3548" ref="S2224"/>
    <hyperlink r:id="rId3549" ref="S2225"/>
    <hyperlink r:id="rId3550" ref="F2226"/>
    <hyperlink r:id="rId3551" ref="S2226"/>
    <hyperlink r:id="rId3552" ref="S2227"/>
    <hyperlink r:id="rId3553" ref="F2228"/>
    <hyperlink r:id="rId3554" ref="F2229"/>
    <hyperlink r:id="rId3555" ref="G2230"/>
    <hyperlink r:id="rId3556" ref="S2230"/>
    <hyperlink r:id="rId3557" ref="F2231"/>
    <hyperlink r:id="rId3558" ref="G2231"/>
    <hyperlink r:id="rId3559" ref="S2231"/>
    <hyperlink r:id="rId3560" ref="S2232"/>
    <hyperlink r:id="rId3561" ref="G2233"/>
    <hyperlink r:id="rId3562" ref="S2236"/>
    <hyperlink r:id="rId3563" ref="G2237"/>
    <hyperlink r:id="rId3564" ref="G2238"/>
    <hyperlink r:id="rId3565" ref="S2238"/>
    <hyperlink r:id="rId3566" ref="S2239"/>
    <hyperlink r:id="rId3567" ref="F2241"/>
    <hyperlink r:id="rId3568" ref="G2241"/>
    <hyperlink r:id="rId3569" ref="S2241"/>
    <hyperlink r:id="rId3570" ref="S2242"/>
    <hyperlink r:id="rId3571" ref="F2243"/>
    <hyperlink r:id="rId3572" ref="S2243"/>
    <hyperlink r:id="rId3573" ref="S2244"/>
    <hyperlink r:id="rId3574" ref="F2245"/>
    <hyperlink r:id="rId3575" ref="S2245"/>
    <hyperlink r:id="rId3576" ref="F2246"/>
    <hyperlink r:id="rId3577" ref="F2247"/>
    <hyperlink r:id="rId3578" ref="S2247"/>
    <hyperlink r:id="rId3579" ref="G2248"/>
    <hyperlink r:id="rId3580" ref="S2248"/>
    <hyperlink r:id="rId3581" ref="F2251"/>
    <hyperlink r:id="rId3582" ref="S2251"/>
    <hyperlink r:id="rId3583" ref="S2253"/>
    <hyperlink r:id="rId3584" ref="F2254"/>
    <hyperlink r:id="rId3585" ref="G2254"/>
    <hyperlink r:id="rId3586" ref="S2254"/>
    <hyperlink r:id="rId3587" ref="S2255"/>
    <hyperlink r:id="rId3588" ref="S2256"/>
    <hyperlink r:id="rId3589" ref="F2257"/>
    <hyperlink r:id="rId3590" ref="S2257"/>
    <hyperlink r:id="rId3591" ref="F2259"/>
    <hyperlink r:id="rId3592" ref="G2259"/>
    <hyperlink r:id="rId3593" ref="S2259"/>
    <hyperlink r:id="rId3594" ref="S2260"/>
    <hyperlink r:id="rId3595" ref="G2261"/>
    <hyperlink r:id="rId3596" ref="S2261"/>
    <hyperlink r:id="rId3597" ref="F2262"/>
    <hyperlink r:id="rId3598" ref="S2262"/>
    <hyperlink r:id="rId3599" ref="G2263"/>
    <hyperlink r:id="rId3600" ref="S2263"/>
    <hyperlink r:id="rId3601" ref="F2264"/>
    <hyperlink r:id="rId3602" ref="G2264"/>
    <hyperlink r:id="rId3603" ref="F2266"/>
    <hyperlink r:id="rId3604" ref="S2266"/>
    <hyperlink r:id="rId3605" ref="F2267"/>
    <hyperlink r:id="rId3606" ref="S2267"/>
    <hyperlink r:id="rId3607" ref="S2268"/>
    <hyperlink r:id="rId3608" ref="F2269"/>
    <hyperlink r:id="rId3609" ref="G2269"/>
    <hyperlink r:id="rId3610" ref="S2269"/>
    <hyperlink r:id="rId3611" ref="F2270"/>
    <hyperlink r:id="rId3612" ref="S2270"/>
    <hyperlink r:id="rId3613" ref="F2271"/>
    <hyperlink r:id="rId3614" ref="S2271"/>
    <hyperlink r:id="rId3615" ref="G2272"/>
    <hyperlink r:id="rId3616" ref="S2272"/>
    <hyperlink r:id="rId3617" ref="F2273"/>
    <hyperlink r:id="rId3618" ref="S2273"/>
    <hyperlink r:id="rId3619" ref="G2274"/>
    <hyperlink r:id="rId3620" ref="S2274"/>
    <hyperlink r:id="rId3621" ref="F2276"/>
    <hyperlink r:id="rId3622" ref="S2276"/>
    <hyperlink r:id="rId3623" ref="S2277"/>
    <hyperlink r:id="rId3624" ref="G2278"/>
    <hyperlink r:id="rId3625" ref="S2278"/>
    <hyperlink r:id="rId3626" ref="G2280"/>
    <hyperlink r:id="rId3627" ref="F2281"/>
    <hyperlink r:id="rId3628" ref="S2281"/>
    <hyperlink r:id="rId3629" ref="F2282"/>
    <hyperlink r:id="rId3630" ref="F2284"/>
    <hyperlink r:id="rId3631" ref="G2284"/>
    <hyperlink r:id="rId3632" ref="S2284"/>
    <hyperlink r:id="rId3633" ref="G2285"/>
    <hyperlink r:id="rId3634" ref="S2285"/>
    <hyperlink r:id="rId3635" ref="F2286"/>
    <hyperlink r:id="rId3636" ref="F2287"/>
    <hyperlink r:id="rId3637" ref="S2287"/>
    <hyperlink r:id="rId3638" ref="F2288"/>
    <hyperlink r:id="rId3639" ref="F2289"/>
    <hyperlink r:id="rId3640" ref="G2289"/>
    <hyperlink r:id="rId3641" ref="S2289"/>
    <hyperlink r:id="rId3642" ref="F2290"/>
    <hyperlink r:id="rId3643" ref="S2290"/>
    <hyperlink r:id="rId3644" ref="S2291"/>
    <hyperlink r:id="rId3645" ref="S2292"/>
    <hyperlink r:id="rId3646" ref="F2294"/>
    <hyperlink r:id="rId3647" ref="G2294"/>
    <hyperlink r:id="rId3648" ref="S2294"/>
    <hyperlink r:id="rId3649" ref="F2295"/>
    <hyperlink r:id="rId3650" ref="S2295"/>
    <hyperlink r:id="rId3651" ref="G2297"/>
    <hyperlink r:id="rId3652" ref="F2299"/>
    <hyperlink r:id="rId3653" ref="S2299"/>
    <hyperlink r:id="rId3654" ref="F2300"/>
    <hyperlink r:id="rId3655" ref="S2300"/>
    <hyperlink r:id="rId3656" ref="F2301"/>
    <hyperlink r:id="rId3657" ref="S2301"/>
    <hyperlink r:id="rId3658" ref="G2302"/>
    <hyperlink r:id="rId3659" ref="S2302"/>
    <hyperlink r:id="rId3660" ref="G2303"/>
    <hyperlink r:id="rId3661" ref="S2303"/>
    <hyperlink r:id="rId3662" ref="G2304"/>
    <hyperlink r:id="rId3663" ref="F2305"/>
    <hyperlink r:id="rId3664" ref="S2305"/>
    <hyperlink r:id="rId3665" ref="S2306"/>
    <hyperlink r:id="rId3666" ref="F2307"/>
    <hyperlink r:id="rId3667" ref="G2310"/>
    <hyperlink r:id="rId3668" ref="F2312"/>
    <hyperlink r:id="rId3669" ref="S2312"/>
    <hyperlink r:id="rId3670" ref="G2313"/>
    <hyperlink r:id="rId3671" ref="S2313"/>
    <hyperlink r:id="rId3672" ref="G2314"/>
    <hyperlink r:id="rId3673" ref="S2314"/>
    <hyperlink r:id="rId3674" ref="S2315"/>
    <hyperlink r:id="rId3675" ref="S2316"/>
    <hyperlink r:id="rId3676" ref="S2317"/>
    <hyperlink r:id="rId3677" ref="F2319"/>
    <hyperlink r:id="rId3678" ref="G2319"/>
    <hyperlink r:id="rId3679" ref="S2319"/>
    <hyperlink r:id="rId3680" ref="G2320"/>
    <hyperlink r:id="rId3681" ref="F2322"/>
    <hyperlink r:id="rId3682" ref="G2322"/>
    <hyperlink r:id="rId3683" ref="S2322"/>
    <hyperlink r:id="rId3684" ref="G2323"/>
    <hyperlink r:id="rId3685" ref="S2323"/>
    <hyperlink r:id="rId3686" ref="F2324"/>
    <hyperlink r:id="rId3687" ref="Q2324"/>
    <hyperlink r:id="rId3688" ref="S2324"/>
    <hyperlink r:id="rId3689" ref="F2327"/>
    <hyperlink r:id="rId3690" ref="S2327"/>
    <hyperlink r:id="rId3691" ref="F2328"/>
    <hyperlink r:id="rId3692" ref="S2328"/>
    <hyperlink r:id="rId3693" ref="G2330"/>
    <hyperlink r:id="rId3694" ref="S2330"/>
    <hyperlink r:id="rId3695" ref="F2331"/>
    <hyperlink r:id="rId3696" ref="S2331"/>
    <hyperlink r:id="rId3697" ref="F2332"/>
    <hyperlink r:id="rId3698" ref="S2332"/>
    <hyperlink r:id="rId3699" ref="F2334"/>
    <hyperlink r:id="rId3700" ref="G2334"/>
    <hyperlink r:id="rId3701" ref="F2335"/>
    <hyperlink r:id="rId3702" ref="G2335"/>
    <hyperlink r:id="rId3703" ref="S2335"/>
    <hyperlink r:id="rId3704" ref="S2336"/>
    <hyperlink r:id="rId3705" ref="F2338"/>
    <hyperlink r:id="rId3706" ref="F2339"/>
    <hyperlink r:id="rId3707" ref="S2339"/>
    <hyperlink r:id="rId3708" ref="G2340"/>
    <hyperlink r:id="rId3709" ref="S2341"/>
    <hyperlink r:id="rId3710" ref="F2342"/>
    <hyperlink r:id="rId3711" ref="G2342"/>
    <hyperlink r:id="rId3712" ref="S2342"/>
    <hyperlink r:id="rId3713" ref="G2343"/>
    <hyperlink r:id="rId3714" ref="S2343"/>
    <hyperlink r:id="rId3715" ref="F2345"/>
    <hyperlink r:id="rId3716" ref="S2345"/>
    <hyperlink r:id="rId3717" ref="F2347"/>
    <hyperlink r:id="rId3718" ref="G2348"/>
    <hyperlink r:id="rId3719" ref="S2348"/>
    <hyperlink r:id="rId3720" ref="S2349"/>
    <hyperlink r:id="rId3721" ref="F2351"/>
    <hyperlink r:id="rId3722" ref="G2352"/>
    <hyperlink r:id="rId3723" ref="F2353"/>
    <hyperlink r:id="rId3724" ref="G2354"/>
    <hyperlink r:id="rId3725" ref="S2354"/>
    <hyperlink r:id="rId3726" ref="F2356"/>
    <hyperlink r:id="rId3727" ref="F2357"/>
    <hyperlink r:id="rId3728" ref="S2365"/>
    <hyperlink r:id="rId3729" ref="F2366"/>
    <hyperlink r:id="rId3730" ref="S2368"/>
    <hyperlink r:id="rId3731" ref="F2369"/>
    <hyperlink r:id="rId3732" ref="S2369"/>
    <hyperlink r:id="rId3733" ref="F2370"/>
    <hyperlink r:id="rId3734" ref="S2370"/>
    <hyperlink r:id="rId3735" ref="F2371"/>
    <hyperlink r:id="rId3736" ref="S2372"/>
    <hyperlink r:id="rId3737" ref="S2373"/>
    <hyperlink r:id="rId3738" ref="S2374"/>
    <hyperlink r:id="rId3739" ref="G2375"/>
    <hyperlink r:id="rId3740" ref="G2376"/>
    <hyperlink r:id="rId3741" ref="S2376"/>
    <hyperlink r:id="rId3742" ref="F2377"/>
    <hyperlink r:id="rId3743" ref="G2377"/>
    <hyperlink r:id="rId3744" ref="G2378"/>
    <hyperlink r:id="rId3745" ref="G2379"/>
    <hyperlink r:id="rId3746" ref="S2379"/>
    <hyperlink r:id="rId3747" ref="F2380"/>
    <hyperlink r:id="rId3748" ref="G2380"/>
    <hyperlink r:id="rId3749" ref="G2381"/>
    <hyperlink r:id="rId3750" ref="S2381"/>
    <hyperlink r:id="rId3751" ref="F2383"/>
    <hyperlink r:id="rId3752" ref="S2383"/>
    <hyperlink r:id="rId3753" ref="F2384"/>
    <hyperlink r:id="rId3754" ref="G2384"/>
    <hyperlink r:id="rId3755" ref="S2384"/>
    <hyperlink r:id="rId3756" ref="F2386"/>
    <hyperlink r:id="rId3757" ref="S2388"/>
    <hyperlink r:id="rId3758" ref="F2389"/>
    <hyperlink r:id="rId3759" ref="F2390"/>
    <hyperlink r:id="rId3760" ref="S2390"/>
    <hyperlink r:id="rId3761" ref="G2391"/>
    <hyperlink r:id="rId3762" ref="S2391"/>
    <hyperlink r:id="rId3763" ref="F2393"/>
    <hyperlink r:id="rId3764" ref="S2393"/>
    <hyperlink r:id="rId3765" ref="S2394"/>
    <hyperlink r:id="rId3766" ref="S2396"/>
    <hyperlink r:id="rId3767" ref="F2397"/>
    <hyperlink r:id="rId3768" ref="G2397"/>
    <hyperlink r:id="rId3769" ref="S2397"/>
    <hyperlink r:id="rId3770" ref="G2398"/>
    <hyperlink r:id="rId3771" ref="G2401"/>
    <hyperlink r:id="rId3772" ref="S2401"/>
    <hyperlink r:id="rId3773" ref="G2402"/>
    <hyperlink r:id="rId3774" ref="S2402"/>
    <hyperlink r:id="rId3775" ref="S2403"/>
    <hyperlink r:id="rId3776" ref="G2404"/>
    <hyperlink r:id="rId3777" ref="S2405"/>
    <hyperlink r:id="rId3778" ref="G2406"/>
    <hyperlink r:id="rId3779" ref="S2406"/>
    <hyperlink r:id="rId3780" ref="S2407"/>
    <hyperlink r:id="rId3781" ref="S2408"/>
    <hyperlink r:id="rId3782" ref="G2410"/>
    <hyperlink r:id="rId3783" ref="F2412"/>
    <hyperlink r:id="rId3784" ref="S2412"/>
    <hyperlink r:id="rId3785" ref="S2413"/>
    <hyperlink r:id="rId3786" ref="G2415"/>
    <hyperlink r:id="rId3787" ref="S2416"/>
    <hyperlink r:id="rId3788" ref="F2417"/>
    <hyperlink r:id="rId3789" ref="G2417"/>
    <hyperlink r:id="rId3790" ref="S2417"/>
    <hyperlink r:id="rId3791" ref="G2418"/>
    <hyperlink r:id="rId3792" ref="S2418"/>
    <hyperlink r:id="rId3793" ref="F2419"/>
    <hyperlink r:id="rId3794" ref="G2419"/>
    <hyperlink r:id="rId3795" ref="S2419"/>
    <hyperlink r:id="rId3796" ref="F2420"/>
    <hyperlink r:id="rId3797" ref="S2420"/>
    <hyperlink r:id="rId3798" ref="F2421"/>
    <hyperlink r:id="rId3799" ref="S2423"/>
    <hyperlink r:id="rId3800" ref="S2425"/>
    <hyperlink r:id="rId3801" ref="G2427"/>
    <hyperlink r:id="rId3802" ref="F2428"/>
    <hyperlink r:id="rId3803" ref="S2428"/>
    <hyperlink r:id="rId3804" ref="G2430"/>
    <hyperlink r:id="rId3805" ref="S2430"/>
    <hyperlink r:id="rId3806" ref="G2431"/>
    <hyperlink r:id="rId3807" ref="S2431"/>
    <hyperlink r:id="rId3808" ref="G2432"/>
    <hyperlink r:id="rId3809" ref="S2432"/>
    <hyperlink r:id="rId3810" ref="G2434"/>
    <hyperlink r:id="rId3811" ref="S2434"/>
    <hyperlink r:id="rId3812" ref="G2437"/>
    <hyperlink r:id="rId3813" ref="G2438"/>
    <hyperlink r:id="rId3814" ref="S2438"/>
    <hyperlink r:id="rId3815" ref="F2439"/>
    <hyperlink r:id="rId3816" ref="S2439"/>
    <hyperlink r:id="rId3817" ref="S2440"/>
    <hyperlink r:id="rId3818" ref="G2441"/>
    <hyperlink r:id="rId3819" ref="S2442"/>
    <hyperlink r:id="rId3820" ref="G2443"/>
    <hyperlink r:id="rId3821" ref="S2445"/>
    <hyperlink r:id="rId3822" ref="F2446"/>
    <hyperlink r:id="rId3823" ref="S2446"/>
    <hyperlink r:id="rId3824" ref="F2447"/>
    <hyperlink r:id="rId3825" ref="S2447"/>
    <hyperlink r:id="rId3826" ref="F2448"/>
    <hyperlink r:id="rId3827" ref="G2448"/>
    <hyperlink r:id="rId3828" ref="S2448"/>
    <hyperlink r:id="rId3829" ref="S2449"/>
    <hyperlink r:id="rId3830" ref="S2453"/>
    <hyperlink r:id="rId3831" ref="G2454"/>
    <hyperlink r:id="rId3832" ref="S2454"/>
    <hyperlink r:id="rId3833" ref="G2455"/>
    <hyperlink r:id="rId3834" ref="S2455"/>
    <hyperlink r:id="rId3835" ref="G2456"/>
    <hyperlink r:id="rId3836" ref="S2456"/>
    <hyperlink r:id="rId3837" ref="F2460"/>
    <hyperlink r:id="rId3838" ref="S2460"/>
    <hyperlink r:id="rId3839" ref="F2461"/>
    <hyperlink r:id="rId3840" ref="S2461"/>
    <hyperlink r:id="rId3841" ref="S2463"/>
    <hyperlink r:id="rId3842" ref="G2466"/>
    <hyperlink r:id="rId3843" ref="F2467"/>
    <hyperlink r:id="rId3844" ref="S2467"/>
    <hyperlink r:id="rId3845" ref="F2468"/>
    <hyperlink r:id="rId3846" ref="S2468"/>
    <hyperlink r:id="rId3847" ref="F2471"/>
    <hyperlink r:id="rId3848" ref="G2471"/>
    <hyperlink r:id="rId3849" ref="F2473"/>
    <hyperlink r:id="rId3850" ref="S2473"/>
    <hyperlink r:id="rId3851" ref="F2474"/>
    <hyperlink r:id="rId3852" ref="S2474"/>
    <hyperlink r:id="rId3853" ref="F2475"/>
    <hyperlink r:id="rId3854" ref="S2475"/>
    <hyperlink r:id="rId3855" ref="F2476"/>
    <hyperlink r:id="rId3856" ref="S2476"/>
    <hyperlink r:id="rId3857" ref="S2477"/>
    <hyperlink r:id="rId3858" ref="G2478"/>
    <hyperlink r:id="rId3859" ref="S2478"/>
    <hyperlink r:id="rId3860" ref="G2479"/>
    <hyperlink r:id="rId3861" ref="S2479"/>
    <hyperlink r:id="rId3862" ref="S2481"/>
    <hyperlink r:id="rId3863" ref="S2483"/>
    <hyperlink r:id="rId3864" ref="G2485"/>
    <hyperlink r:id="rId3865" ref="S2485"/>
    <hyperlink r:id="rId3866" ref="F2486"/>
    <hyperlink r:id="rId3867" ref="G2486"/>
    <hyperlink r:id="rId3868" ref="S2486"/>
    <hyperlink r:id="rId3869" ref="F2488"/>
    <hyperlink r:id="rId3870" ref="S2488"/>
    <hyperlink r:id="rId3871" ref="F2489"/>
    <hyperlink r:id="rId3872" ref="S2489"/>
    <hyperlink r:id="rId3873" ref="F2490"/>
    <hyperlink r:id="rId3874" ref="S2490"/>
    <hyperlink r:id="rId3875" ref="G2491"/>
    <hyperlink r:id="rId3876" ref="S2491"/>
    <hyperlink r:id="rId3877" ref="F2494"/>
    <hyperlink r:id="rId3878" ref="G2496"/>
    <hyperlink r:id="rId3879" ref="S2496"/>
    <hyperlink r:id="rId3880" ref="F2497"/>
    <hyperlink r:id="rId3881" ref="G2497"/>
    <hyperlink r:id="rId3882" ref="S2497"/>
    <hyperlink r:id="rId3883" ref="F2498"/>
    <hyperlink r:id="rId3884" ref="S2498"/>
    <hyperlink r:id="rId3885" ref="F2499"/>
    <hyperlink r:id="rId3886" ref="F2500"/>
    <hyperlink r:id="rId3887" ref="F2501"/>
    <hyperlink r:id="rId3888" ref="S2501"/>
    <hyperlink r:id="rId3889" ref="G2503"/>
    <hyperlink r:id="rId3890" location="!/posts/What-We-Are-Reading---Radical-Compassion-/41" ref="F2504"/>
    <hyperlink r:id="rId3891" ref="S2504"/>
    <hyperlink r:id="rId3892" ref="F2506"/>
    <hyperlink r:id="rId3893" ref="G2506"/>
    <hyperlink r:id="rId3894" ref="S2506"/>
    <hyperlink r:id="rId3895" ref="C2507"/>
    <hyperlink r:id="rId3896" ref="F2507"/>
    <hyperlink r:id="rId3897" ref="G2507"/>
    <hyperlink r:id="rId3898" ref="S2507"/>
    <hyperlink r:id="rId3899" ref="G2508"/>
    <hyperlink r:id="rId3900" ref="F2509"/>
    <hyperlink r:id="rId3901" ref="S2509"/>
    <hyperlink r:id="rId3902" ref="S2510"/>
    <hyperlink r:id="rId3903" ref="F2512"/>
    <hyperlink r:id="rId3904" ref="S2512"/>
    <hyperlink r:id="rId3905" ref="S2513"/>
    <hyperlink r:id="rId3906" ref="G2515"/>
    <hyperlink r:id="rId3907" ref="S2515"/>
    <hyperlink r:id="rId3908" ref="F2516"/>
    <hyperlink r:id="rId3909" ref="S2516"/>
    <hyperlink r:id="rId3910" ref="F2520"/>
    <hyperlink r:id="rId3911" ref="S2520"/>
    <hyperlink r:id="rId3912" ref="F2523"/>
    <hyperlink r:id="rId3913" ref="S2523"/>
    <hyperlink r:id="rId3914" ref="F2524"/>
    <hyperlink r:id="rId3915" ref="S2524"/>
    <hyperlink r:id="rId3916" ref="G2525"/>
    <hyperlink r:id="rId3917" ref="S2525"/>
    <hyperlink r:id="rId3918" ref="F2526"/>
    <hyperlink r:id="rId3919" ref="S2526"/>
    <hyperlink r:id="rId3920" ref="G2528"/>
    <hyperlink r:id="rId3921" ref="F2529"/>
    <hyperlink r:id="rId3922" ref="F2530"/>
    <hyperlink r:id="rId3923" ref="S2530"/>
    <hyperlink r:id="rId3924" ref="F2531"/>
    <hyperlink r:id="rId3925" ref="S2531"/>
    <hyperlink r:id="rId3926" ref="S2534"/>
    <hyperlink r:id="rId3927" ref="G2536"/>
    <hyperlink r:id="rId3928" ref="S2536"/>
    <hyperlink r:id="rId3929" ref="G2537"/>
    <hyperlink r:id="rId3930" ref="G2538"/>
    <hyperlink r:id="rId3931" ref="S2538"/>
    <hyperlink r:id="rId3932" ref="F2539"/>
    <hyperlink r:id="rId3933" ref="S2539"/>
    <hyperlink r:id="rId3934" ref="F2540"/>
    <hyperlink r:id="rId3935" ref="S2540"/>
    <hyperlink r:id="rId3936" ref="F2541"/>
    <hyperlink r:id="rId3937" ref="S2541"/>
    <hyperlink r:id="rId3938" ref="F2542"/>
    <hyperlink r:id="rId3939" ref="S2542"/>
    <hyperlink r:id="rId3940" ref="F2543"/>
    <hyperlink r:id="rId3941" ref="S2544"/>
    <hyperlink r:id="rId3942" ref="F2545"/>
    <hyperlink r:id="rId3943" ref="S2545"/>
    <hyperlink r:id="rId3944" ref="G2547"/>
    <hyperlink r:id="rId3945" ref="S2547"/>
    <hyperlink r:id="rId3946" ref="G2549"/>
    <hyperlink r:id="rId3947" ref="S2551"/>
    <hyperlink r:id="rId3948" ref="F2553"/>
    <hyperlink r:id="rId3949" ref="S2553"/>
    <hyperlink r:id="rId3950" ref="F2554"/>
    <hyperlink r:id="rId3951" ref="G2555"/>
    <hyperlink r:id="rId3952" ref="G2557"/>
    <hyperlink r:id="rId3953" ref="S2557"/>
    <hyperlink r:id="rId3954" ref="S2558"/>
    <hyperlink r:id="rId3955" ref="S2559"/>
    <hyperlink r:id="rId3956" ref="F2560"/>
    <hyperlink r:id="rId3957" ref="S2560"/>
    <hyperlink r:id="rId3958" ref="F2562"/>
    <hyperlink r:id="rId3959" ref="G2562"/>
    <hyperlink r:id="rId3960" ref="S2562"/>
    <hyperlink r:id="rId3961" ref="S2563"/>
    <hyperlink r:id="rId3962" ref="F2565"/>
    <hyperlink r:id="rId3963" ref="G2565"/>
    <hyperlink r:id="rId3964" ref="S2565"/>
    <hyperlink r:id="rId3965" ref="G2567"/>
    <hyperlink r:id="rId3966" ref="S2567"/>
    <hyperlink r:id="rId3967" ref="S2568"/>
    <hyperlink r:id="rId3968" ref="G2571"/>
    <hyperlink r:id="rId3969" ref="S2571"/>
    <hyperlink r:id="rId3970" ref="F2572"/>
    <hyperlink r:id="rId3971" ref="G2572"/>
    <hyperlink r:id="rId3972" ref="G2573"/>
    <hyperlink r:id="rId3973" ref="S2573"/>
    <hyperlink r:id="rId3974" ref="S2574"/>
    <hyperlink r:id="rId3975" ref="F2575"/>
    <hyperlink r:id="rId3976" ref="S2575"/>
    <hyperlink r:id="rId3977" ref="F2576"/>
    <hyperlink r:id="rId3978" ref="S2576"/>
    <hyperlink r:id="rId3979" ref="F2579"/>
    <hyperlink r:id="rId3980" ref="S2579"/>
    <hyperlink r:id="rId3981" ref="G2580"/>
    <hyperlink r:id="rId3982" ref="S2580"/>
    <hyperlink r:id="rId3983" ref="F2581"/>
    <hyperlink r:id="rId3984" ref="G2581"/>
    <hyperlink r:id="rId3985" ref="F2583"/>
    <hyperlink r:id="rId3986" ref="G2583"/>
    <hyperlink r:id="rId3987" ref="S2583"/>
    <hyperlink r:id="rId3988" location="youarenotalone" ref="F2584"/>
    <hyperlink r:id="rId3989" ref="G2584"/>
    <hyperlink r:id="rId3990" ref="F2585"/>
    <hyperlink r:id="rId3991" ref="S2585"/>
    <hyperlink r:id="rId3992" ref="G2587"/>
    <hyperlink r:id="rId3993" ref="S2587"/>
    <hyperlink r:id="rId3994" ref="F2588"/>
    <hyperlink r:id="rId3995" ref="S2588"/>
    <hyperlink r:id="rId3996" ref="G2590"/>
    <hyperlink r:id="rId3997" ref="S2590"/>
    <hyperlink r:id="rId3998" ref="F2591"/>
    <hyperlink r:id="rId3999" ref="G2591"/>
    <hyperlink r:id="rId4000" ref="S2591"/>
    <hyperlink r:id="rId4001" ref="F2592"/>
    <hyperlink r:id="rId4002" ref="S2592"/>
    <hyperlink r:id="rId4003" ref="F2593"/>
    <hyperlink r:id="rId4004" ref="G2593"/>
    <hyperlink r:id="rId4005" ref="S2593"/>
    <hyperlink r:id="rId4006" ref="F2594"/>
    <hyperlink r:id="rId4007" ref="S2594"/>
    <hyperlink r:id="rId4008" ref="F2595"/>
    <hyperlink r:id="rId4009" ref="S2595"/>
  </hyperlinks>
  <drawing r:id="rId4010"/>
  <tableParts count="1">
    <tablePart r:id="rId4012"/>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0" t="s">
        <v>1</v>
      </c>
      <c r="B1" s="10" t="s">
        <v>38</v>
      </c>
      <c r="C1" s="19"/>
      <c r="D1" s="19"/>
      <c r="E1" s="19"/>
      <c r="F1" s="19"/>
      <c r="G1" s="19"/>
      <c r="H1" s="19"/>
      <c r="I1" s="19"/>
      <c r="J1" s="19"/>
      <c r="K1" s="19"/>
      <c r="L1" s="19"/>
      <c r="M1" s="19"/>
      <c r="N1" s="19"/>
      <c r="O1" s="19"/>
      <c r="P1" s="19"/>
      <c r="Q1" s="19"/>
      <c r="R1" s="19"/>
      <c r="S1" s="19"/>
      <c r="T1" s="19"/>
      <c r="U1" s="19"/>
      <c r="V1" s="19"/>
      <c r="W1" s="19"/>
      <c r="X1" s="19"/>
      <c r="Y1" s="19"/>
      <c r="Z1" s="19"/>
    </row>
    <row r="2">
      <c r="A2" s="20">
        <v>43848.82545157407</v>
      </c>
      <c r="B2" s="10" t="s">
        <v>41</v>
      </c>
      <c r="C2" s="19"/>
      <c r="D2" s="19"/>
      <c r="E2" s="19"/>
      <c r="F2" s="19"/>
      <c r="G2" s="19"/>
      <c r="H2" s="19"/>
      <c r="I2" s="19"/>
      <c r="J2" s="19"/>
      <c r="K2" s="19"/>
      <c r="L2" s="19"/>
      <c r="M2" s="19"/>
      <c r="N2" s="19"/>
      <c r="O2" s="19"/>
      <c r="P2" s="19"/>
      <c r="Q2" s="19"/>
      <c r="R2" s="19"/>
      <c r="S2" s="19"/>
      <c r="T2" s="19"/>
      <c r="U2" s="19"/>
      <c r="V2" s="19"/>
      <c r="W2" s="19"/>
      <c r="X2" s="19"/>
      <c r="Y2" s="19"/>
      <c r="Z2" s="19"/>
    </row>
    <row r="3">
      <c r="A3" s="20">
        <v>43848.85069950232</v>
      </c>
      <c r="B3" s="10" t="s">
        <v>42</v>
      </c>
      <c r="C3" s="19"/>
      <c r="D3" s="19"/>
      <c r="E3" s="19"/>
      <c r="F3" s="19"/>
      <c r="G3" s="19"/>
      <c r="H3" s="19"/>
      <c r="I3" s="19"/>
      <c r="J3" s="19"/>
      <c r="K3" s="19"/>
      <c r="L3" s="19"/>
      <c r="M3" s="19"/>
      <c r="N3" s="19"/>
      <c r="O3" s="19"/>
      <c r="P3" s="19"/>
      <c r="Q3" s="19"/>
      <c r="R3" s="19"/>
      <c r="S3" s="19"/>
      <c r="T3" s="19"/>
      <c r="U3" s="19"/>
      <c r="V3" s="19"/>
      <c r="W3" s="19"/>
      <c r="X3" s="19"/>
      <c r="Y3" s="19"/>
      <c r="Z3" s="19"/>
    </row>
    <row r="4">
      <c r="A4" s="20">
        <v>43848.892364444444</v>
      </c>
      <c r="B4" s="10" t="s">
        <v>44</v>
      </c>
      <c r="C4" s="19"/>
      <c r="D4" s="19"/>
      <c r="E4" s="19"/>
      <c r="F4" s="19"/>
      <c r="G4" s="19"/>
      <c r="H4" s="19"/>
      <c r="I4" s="19"/>
      <c r="J4" s="19"/>
      <c r="K4" s="19"/>
      <c r="L4" s="19"/>
      <c r="M4" s="19"/>
      <c r="N4" s="19"/>
      <c r="O4" s="19"/>
      <c r="P4" s="19"/>
      <c r="Q4" s="19"/>
      <c r="R4" s="19"/>
      <c r="S4" s="19"/>
      <c r="T4" s="19"/>
      <c r="U4" s="19"/>
      <c r="V4" s="19"/>
      <c r="W4" s="19"/>
      <c r="X4" s="19"/>
      <c r="Y4" s="19"/>
      <c r="Z4" s="19"/>
    </row>
    <row r="5">
      <c r="A5" s="20">
        <v>43848.93403497685</v>
      </c>
      <c r="B5" s="10" t="s">
        <v>45</v>
      </c>
      <c r="C5" s="19"/>
      <c r="D5" s="19"/>
      <c r="E5" s="19"/>
      <c r="F5" s="19"/>
      <c r="G5" s="19"/>
      <c r="H5" s="19"/>
      <c r="I5" s="19"/>
      <c r="J5" s="19"/>
      <c r="K5" s="19"/>
      <c r="L5" s="19"/>
      <c r="M5" s="19"/>
      <c r="N5" s="19"/>
      <c r="O5" s="19"/>
      <c r="P5" s="19"/>
      <c r="Q5" s="19"/>
      <c r="R5" s="19"/>
      <c r="S5" s="19"/>
      <c r="T5" s="19"/>
      <c r="U5" s="19"/>
      <c r="V5" s="19"/>
      <c r="W5" s="19"/>
      <c r="X5" s="19"/>
      <c r="Y5" s="19"/>
      <c r="Z5" s="19"/>
    </row>
    <row r="6">
      <c r="A6" s="19"/>
      <c r="B6" s="19"/>
      <c r="C6" s="19"/>
      <c r="D6" s="19"/>
      <c r="E6" s="19"/>
      <c r="F6" s="19"/>
      <c r="G6" s="19"/>
      <c r="H6" s="19"/>
      <c r="I6" s="19"/>
      <c r="J6" s="19"/>
      <c r="K6" s="19"/>
      <c r="L6" s="19"/>
      <c r="M6" s="19"/>
      <c r="N6" s="19"/>
      <c r="O6" s="19"/>
      <c r="P6" s="19"/>
      <c r="Q6" s="19"/>
      <c r="R6" s="19"/>
      <c r="S6" s="19"/>
      <c r="T6" s="19"/>
      <c r="U6" s="19"/>
      <c r="V6" s="19"/>
      <c r="W6" s="19"/>
      <c r="X6" s="19"/>
      <c r="Y6" s="19"/>
      <c r="Z6" s="19"/>
    </row>
    <row r="7">
      <c r="A7" s="19"/>
      <c r="B7" s="19"/>
      <c r="C7" s="19"/>
      <c r="D7" s="19"/>
      <c r="E7" s="19"/>
      <c r="F7" s="19"/>
      <c r="G7" s="19"/>
      <c r="H7" s="19"/>
      <c r="I7" s="19"/>
      <c r="J7" s="19"/>
      <c r="K7" s="19"/>
      <c r="L7" s="19"/>
      <c r="M7" s="19"/>
      <c r="N7" s="19"/>
      <c r="O7" s="19"/>
      <c r="P7" s="19"/>
      <c r="Q7" s="19"/>
      <c r="R7" s="19"/>
      <c r="S7" s="19"/>
      <c r="T7" s="19"/>
      <c r="U7" s="19"/>
      <c r="V7" s="19"/>
      <c r="W7" s="19"/>
      <c r="X7" s="19"/>
      <c r="Y7" s="19"/>
      <c r="Z7" s="19"/>
    </row>
    <row r="8">
      <c r="A8" s="19"/>
      <c r="B8" s="19"/>
      <c r="C8" s="19"/>
      <c r="D8" s="19"/>
      <c r="E8" s="19"/>
      <c r="F8" s="19"/>
      <c r="G8" s="19"/>
      <c r="H8" s="19"/>
      <c r="I8" s="19"/>
      <c r="J8" s="19"/>
      <c r="K8" s="19"/>
      <c r="L8" s="19"/>
      <c r="M8" s="19"/>
      <c r="N8" s="19"/>
      <c r="O8" s="19"/>
      <c r="P8" s="19"/>
      <c r="Q8" s="19"/>
      <c r="R8" s="19"/>
      <c r="S8" s="19"/>
      <c r="T8" s="19"/>
      <c r="U8" s="19"/>
      <c r="V8" s="19"/>
      <c r="W8" s="19"/>
      <c r="X8" s="19"/>
      <c r="Y8" s="19"/>
      <c r="Z8" s="19"/>
    </row>
    <row r="9">
      <c r="A9" s="19"/>
      <c r="B9" s="19"/>
      <c r="C9" s="19"/>
      <c r="D9" s="19"/>
      <c r="E9" s="19"/>
      <c r="F9" s="19"/>
      <c r="G9" s="19"/>
      <c r="H9" s="19"/>
      <c r="I9" s="19"/>
      <c r="J9" s="19"/>
      <c r="K9" s="19"/>
      <c r="L9" s="19"/>
      <c r="M9" s="19"/>
      <c r="N9" s="19"/>
      <c r="O9" s="19"/>
      <c r="P9" s="19"/>
      <c r="Q9" s="19"/>
      <c r="R9" s="19"/>
      <c r="S9" s="19"/>
      <c r="T9" s="19"/>
      <c r="U9" s="19"/>
      <c r="V9" s="19"/>
      <c r="W9" s="19"/>
      <c r="X9" s="19"/>
      <c r="Y9" s="19"/>
      <c r="Z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rawing r:id="rId1"/>
  <tableParts count="1">
    <tablePart r:id="rId3"/>
  </tableParts>
</worksheet>
</file>