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4505" yWindow="-15" windowWidth="14310" windowHeight="13440" tabRatio="659"/>
  </bookViews>
  <sheets>
    <sheet name="overview" sheetId="1" r:id="rId1"/>
    <sheet name="empty_2x2" sheetId="4" r:id="rId2"/>
    <sheet name="Abumuaileq" sheetId="8" r:id="rId3"/>
    <sheet name="Chan" sheetId="2" r:id="rId4"/>
    <sheet name="Demelo" sheetId="19" r:id="rId5"/>
    <sheet name="Lobos" sheetId="18" r:id="rId6"/>
    <sheet name="Palareti" sheetId="3" r:id="rId7"/>
    <sheet name="Park" sheetId="9" r:id="rId8"/>
    <sheet name="Poli" sheetId="6" r:id="rId9"/>
    <sheet name="Proietti" sheetId="10" r:id="rId10"/>
    <sheet name="Roldan" sheetId="5" r:id="rId11"/>
    <sheet name="Ruiz" sheetId="7" r:id="rId12"/>
    <sheet name="Szymanski" sheetId="14" r:id="rId13"/>
  </sheets>
  <definedNames>
    <definedName name="_xlnm._FilterDatabase" localSheetId="0" hidden="1">overview!$A$1:$AI$23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9" l="1"/>
  <c r="F22" i="18"/>
  <c r="F14" i="18"/>
  <c r="F23" i="1"/>
  <c r="F19" i="1"/>
  <c r="F18" i="1"/>
  <c r="F6" i="18"/>
  <c r="E13" i="10"/>
  <c r="F12" i="10"/>
  <c r="E12" i="10"/>
  <c r="D12" i="10"/>
  <c r="D13" i="10"/>
  <c r="E14" i="10"/>
  <c r="D14" i="10"/>
  <c r="F4" i="10"/>
  <c r="E4" i="10"/>
  <c r="E5" i="10"/>
  <c r="E6" i="10"/>
  <c r="D4" i="10"/>
  <c r="D5" i="10"/>
  <c r="D6" i="10"/>
  <c r="E5" i="2"/>
  <c r="E6" i="2"/>
  <c r="D5" i="2"/>
  <c r="D6" i="2"/>
  <c r="D6" i="9"/>
  <c r="F4" i="9"/>
  <c r="F5" i="9"/>
  <c r="F6" i="9"/>
  <c r="D12" i="9"/>
  <c r="D10" i="9"/>
  <c r="D14" i="9"/>
  <c r="E6" i="9"/>
  <c r="D11" i="9"/>
  <c r="D15" i="9"/>
  <c r="D16" i="9"/>
  <c r="D9" i="9"/>
  <c r="L10" i="8"/>
  <c r="M5" i="8"/>
  <c r="M4" i="8"/>
  <c r="M6" i="8"/>
  <c r="L9" i="8"/>
  <c r="L5" i="8"/>
  <c r="L4" i="8"/>
  <c r="D10" i="8"/>
  <c r="E5" i="8"/>
  <c r="D5" i="8"/>
  <c r="E4" i="8"/>
  <c r="D4" i="8"/>
  <c r="E6" i="8"/>
  <c r="D9" i="8"/>
  <c r="F16" i="7"/>
  <c r="E16" i="7"/>
  <c r="D16" i="7"/>
  <c r="F15" i="7"/>
  <c r="F17" i="7"/>
  <c r="E15" i="7"/>
  <c r="E17" i="7"/>
  <c r="D17" i="7"/>
  <c r="D15" i="7"/>
  <c r="F4" i="7"/>
  <c r="E4" i="7"/>
  <c r="F5" i="7"/>
  <c r="E5" i="7"/>
  <c r="E6" i="7"/>
  <c r="D4" i="7"/>
  <c r="D5" i="7"/>
  <c r="D6" i="7"/>
  <c r="F6" i="7"/>
  <c r="F5" i="6"/>
  <c r="F4" i="6"/>
  <c r="F6" i="6"/>
  <c r="D9" i="5"/>
  <c r="D10" i="5"/>
  <c r="F5" i="5"/>
  <c r="E5" i="5"/>
  <c r="E4" i="5"/>
  <c r="D4" i="5"/>
  <c r="D6" i="5"/>
  <c r="D8" i="5"/>
  <c r="F15" i="2"/>
  <c r="E15" i="2"/>
  <c r="D15" i="2"/>
  <c r="F14" i="2"/>
  <c r="E14" i="2"/>
  <c r="D14" i="2"/>
  <c r="D5" i="5"/>
</calcChain>
</file>

<file path=xl/comments1.xml><?xml version="1.0" encoding="utf-8"?>
<comments xmlns="http://schemas.openxmlformats.org/spreadsheetml/2006/main">
  <authors>
    <author>JHA van Miert</author>
    <author>Miert, JHA van (onco)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JHA van Miert:</t>
        </r>
        <r>
          <rPr>
            <sz val="9"/>
            <color indexed="81"/>
            <rFont val="Tahoma"/>
            <family val="2"/>
          </rPr>
          <t xml:space="preserve">
External validation cohort</t>
        </r>
      </text>
    </comment>
    <comment ref="G17" authorId="1">
      <text>
        <r>
          <rPr>
            <b/>
            <sz val="9"/>
            <color indexed="81"/>
            <rFont val="Tahoma"/>
            <family val="2"/>
          </rPr>
          <t>Miert, JHA van (onco):</t>
        </r>
        <r>
          <rPr>
            <sz val="9"/>
            <color indexed="81"/>
            <rFont val="Tahoma"/>
            <family val="2"/>
          </rPr>
          <t xml:space="preserve">
met survivor-bias
</t>
        </r>
      </text>
    </comment>
    <comment ref="G23" authorId="1">
      <text>
        <r>
          <rPr>
            <b/>
            <sz val="9"/>
            <color indexed="81"/>
            <rFont val="Tahoma"/>
            <family val="2"/>
          </rPr>
          <t>Miert, JHA van (onco):</t>
        </r>
        <r>
          <rPr>
            <sz val="9"/>
            <color indexed="81"/>
            <rFont val="Tahoma"/>
            <family val="2"/>
          </rPr>
          <t xml:space="preserve">
In ieder geval experienced qua AF, qua VKA onduidelijk</t>
        </r>
      </text>
    </comment>
  </commentList>
</comments>
</file>

<file path=xl/sharedStrings.xml><?xml version="1.0" encoding="utf-8"?>
<sst xmlns="http://schemas.openxmlformats.org/spreadsheetml/2006/main" count="509" uniqueCount="131">
  <si>
    <t>study</t>
  </si>
  <si>
    <t>qoac_cutoff</t>
  </si>
  <si>
    <t>score_cutoff</t>
  </si>
  <si>
    <t>score_cutoff_included</t>
  </si>
  <si>
    <t>opmerkingen</t>
  </si>
  <si>
    <t>Palareti</t>
  </si>
  <si>
    <t>TTR</t>
  </si>
  <si>
    <t>TRUE</t>
  </si>
  <si>
    <t>Roldan</t>
  </si>
  <si>
    <t>alleen continue ttr</t>
  </si>
  <si>
    <t>Gallego</t>
  </si>
  <si>
    <t>Ruiz</t>
  </si>
  <si>
    <t>Chan</t>
  </si>
  <si>
    <t>Park</t>
  </si>
  <si>
    <t>Abumuaileq</t>
  </si>
  <si>
    <t>sens_ll</t>
  </si>
  <si>
    <t>sens_ul</t>
  </si>
  <si>
    <t>spec_ll</t>
  </si>
  <si>
    <t>spec_ul</t>
  </si>
  <si>
    <t>ppv_ll</t>
  </si>
  <si>
    <t>ppv_ul</t>
  </si>
  <si>
    <t>npv_ll</t>
  </si>
  <si>
    <t>npv_ul</t>
  </si>
  <si>
    <t>sens_pe</t>
  </si>
  <si>
    <t>spec_pe</t>
  </si>
  <si>
    <t>ppv_pe</t>
  </si>
  <si>
    <t>npv_pe</t>
  </si>
  <si>
    <t>LRp_pe</t>
  </si>
  <si>
    <t>LRp_ll</t>
  </si>
  <si>
    <t>LRp_ul</t>
  </si>
  <si>
    <t>Test</t>
  </si>
  <si>
    <t>Diagnostic</t>
  </si>
  <si>
    <t>Score</t>
  </si>
  <si>
    <t>&lt;70</t>
  </si>
  <si>
    <t>&gt;=70</t>
  </si>
  <si>
    <t>0-2</t>
  </si>
  <si>
    <t>3+</t>
  </si>
  <si>
    <t>pos</t>
  </si>
  <si>
    <t>neg</t>
  </si>
  <si>
    <t>total</t>
  </si>
  <si>
    <t>FALSE</t>
  </si>
  <si>
    <t>0-3</t>
  </si>
  <si>
    <t>4+</t>
  </si>
  <si>
    <t>LRn_pe</t>
  </si>
  <si>
    <t>LRn_ll</t>
  </si>
  <si>
    <t>LRn_ul</t>
  </si>
  <si>
    <t>&lt;65</t>
  </si>
  <si>
    <t>&gt;=65</t>
  </si>
  <si>
    <t>0-1</t>
  </si>
  <si>
    <t>&gt;=2</t>
  </si>
  <si>
    <t>2+</t>
  </si>
  <si>
    <t>&gt;65</t>
  </si>
  <si>
    <t>&lt;=65</t>
  </si>
  <si>
    <t>x</t>
  </si>
  <si>
    <t>y</t>
  </si>
  <si>
    <t>with x = a:b and y = 2,1*x = c:d</t>
  </si>
  <si>
    <t>baseline-odds</t>
  </si>
  <si>
    <t>OR = 2.1</t>
  </si>
  <si>
    <t>NA</t>
  </si>
  <si>
    <t>&lt;=70</t>
  </si>
  <si>
    <t>&gt;70</t>
  </si>
  <si>
    <t>(a:b)</t>
  </si>
  <si>
    <t>baseline</t>
  </si>
  <si>
    <t>(c:d)</t>
  </si>
  <si>
    <t>OR = 1,5</t>
  </si>
  <si>
    <t>OR = 1,9</t>
  </si>
  <si>
    <t>accuracy</t>
  </si>
  <si>
    <t>sens</t>
  </si>
  <si>
    <t>spec</t>
  </si>
  <si>
    <t>prev</t>
  </si>
  <si>
    <t>TP</t>
  </si>
  <si>
    <t>TN</t>
  </si>
  <si>
    <t>prev_pe</t>
  </si>
  <si>
    <t>prev_ll</t>
  </si>
  <si>
    <t>prev_ul</t>
  </si>
  <si>
    <t>Bernaitis</t>
  </si>
  <si>
    <t>Demelo</t>
  </si>
  <si>
    <t>Lip</t>
  </si>
  <si>
    <t>Gorzelak</t>
  </si>
  <si>
    <t>niet de scope, wel de gegevens</t>
  </si>
  <si>
    <t>Proietti</t>
  </si>
  <si>
    <t>niet in simulatie</t>
  </si>
  <si>
    <t>Lobos</t>
  </si>
  <si>
    <t>Szymanski</t>
  </si>
  <si>
    <t>N</t>
  </si>
  <si>
    <t>Poli</t>
  </si>
  <si>
    <t>indication</t>
  </si>
  <si>
    <t>AF</t>
  </si>
  <si>
    <t>VTE</t>
  </si>
  <si>
    <t>cohort</t>
  </si>
  <si>
    <t>inception</t>
  </si>
  <si>
    <t>first month</t>
  </si>
  <si>
    <t>first 6 weeks</t>
  </si>
  <si>
    <t>6 months</t>
  </si>
  <si>
    <t>experienced</t>
  </si>
  <si>
    <t>none</t>
  </si>
  <si>
    <t>6 months back</t>
  </si>
  <si>
    <t>12 months back</t>
  </si>
  <si>
    <t>mixed</t>
  </si>
  <si>
    <t>Apostolakis</t>
  </si>
  <si>
    <t>12 months or until event</t>
  </si>
  <si>
    <t>TTR duration</t>
  </si>
  <si>
    <t>original_study_method</t>
  </si>
  <si>
    <t>high score predicts low TTR</t>
  </si>
  <si>
    <t>low score predicts high TTR</t>
  </si>
  <si>
    <t>only continuous TTR</t>
  </si>
  <si>
    <t>only in table</t>
  </si>
  <si>
    <t>period excluded</t>
  </si>
  <si>
    <t>high score predicts high TTR</t>
  </si>
  <si>
    <t>ref</t>
  </si>
  <si>
    <t>Abumuaileq2015</t>
  </si>
  <si>
    <t>Apostolakis2013</t>
  </si>
  <si>
    <t>Bernaitis2017</t>
  </si>
  <si>
    <t>Chan2016a</t>
  </si>
  <si>
    <t>Demelo2016</t>
  </si>
  <si>
    <t>Gallego2014</t>
  </si>
  <si>
    <t>Lip2016c</t>
  </si>
  <si>
    <t>Lobos2016</t>
  </si>
  <si>
    <t>Palareti2016</t>
  </si>
  <si>
    <t>Park2015</t>
  </si>
  <si>
    <t>Poli2014</t>
  </si>
  <si>
    <t>Proietti2016</t>
  </si>
  <si>
    <t>Roldan2015</t>
  </si>
  <si>
    <t>Ruiz-Ortiz2015</t>
  </si>
  <si>
    <t>Szymanski2016</t>
  </si>
  <si>
    <t>Gorzelak2016</t>
  </si>
  <si>
    <t>not reported</t>
  </si>
  <si>
    <t>ttr_method</t>
  </si>
  <si>
    <t>PINRR</t>
  </si>
  <si>
    <t>Rosendaal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</si>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</sst>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Geneva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5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" fontId="0" fillId="0" borderId="0" xfId="0" applyNumberFormat="1"/>
    <xf numFmtId="1" fontId="0" fillId="33" borderId="0" xfId="0" applyNumberFormat="1" applyFill="1"/>
    <xf numFmtId="164" fontId="0" fillId="0" borderId="0" xfId="0" applyNumberFormat="1"/>
    <xf numFmtId="0" fontId="0" fillId="0" borderId="0" xfId="0" applyFill="1"/>
    <xf numFmtId="165" fontId="18" fillId="0" borderId="0" xfId="42" applyNumberFormat="1" applyFill="1" applyProtection="1"/>
    <xf numFmtId="165" fontId="18" fillId="0" borderId="0" xfId="42" applyNumberFormat="1" applyFill="1"/>
    <xf numFmtId="165" fontId="18" fillId="34" borderId="0" xfId="42" applyNumberFormat="1" applyFill="1"/>
    <xf numFmtId="165" fontId="18" fillId="34" borderId="0" xfId="42" applyNumberFormat="1" applyFill="1" applyProtection="1"/>
    <xf numFmtId="165" fontId="18" fillId="35" borderId="0" xfId="42" applyNumberFormat="1" applyFill="1" applyProtection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36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 textRotation="9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3"/>
  <sheetViews>
    <sheetView tabSelected="1" workbookViewId="0">
      <pane xSplit="12" ySplit="1" topLeftCell="M2" activePane="bottomRight" state="frozen"/>
      <selection pane="topRight" activeCell="E1" sqref="E1"/>
      <selection pane="bottomLeft" activeCell="A2" sqref="A2"/>
      <selection pane="bottomRight" activeCell="H15" sqref="H15"/>
    </sheetView>
  </sheetViews>
  <sheetFormatPr defaultColWidth="8.85546875" defaultRowHeight="15"/>
  <cols>
    <col min="1" max="1" width="15.28515625" style="8" bestFit="1" customWidth="1"/>
    <col min="2" max="2" width="15.28515625" style="8" customWidth="1"/>
    <col min="3" max="3" width="7.140625" style="8" bestFit="1" customWidth="1"/>
    <col min="4" max="4" width="9.85546875" style="8" bestFit="1" customWidth="1"/>
    <col min="5" max="5" width="9.85546875" style="8" customWidth="1"/>
    <col min="6" max="6" width="5" style="8" bestFit="1" customWidth="1"/>
    <col min="7" max="7" width="12.140625" style="8" bestFit="1" customWidth="1"/>
    <col min="8" max="8" width="16.140625" style="8" bestFit="1" customWidth="1"/>
    <col min="9" max="9" width="13.7109375" style="8" bestFit="1" customWidth="1"/>
    <col min="10" max="10" width="13.7109375" style="8" customWidth="1"/>
    <col min="11" max="11" width="11.42578125" style="8" bestFit="1" customWidth="1"/>
    <col min="12" max="12" width="12" style="8" bestFit="1" customWidth="1"/>
    <col min="13" max="13" width="21" style="20" bestFit="1" customWidth="1"/>
    <col min="14" max="14" width="8.28515625" style="8" bestFit="1" customWidth="1"/>
    <col min="15" max="15" width="7.140625" style="8" bestFit="1" customWidth="1"/>
    <col min="16" max="16" width="7.7109375" style="8" bestFit="1" customWidth="1"/>
    <col min="17" max="17" width="8.28515625" style="8" bestFit="1" customWidth="1"/>
    <col min="18" max="18" width="7.140625" style="8" bestFit="1" customWidth="1"/>
    <col min="19" max="19" width="7.7109375" style="8" bestFit="1" customWidth="1"/>
    <col min="20" max="20" width="7.42578125" style="8" bestFit="1" customWidth="1"/>
    <col min="21" max="21" width="6.28515625" style="8" bestFit="1" customWidth="1"/>
    <col min="22" max="22" width="6.85546875" style="8" bestFit="1" customWidth="1"/>
    <col min="23" max="23" width="7.42578125" style="8" bestFit="1" customWidth="1"/>
    <col min="24" max="24" width="6.28515625" style="8" bestFit="1" customWidth="1"/>
    <col min="25" max="25" width="6.85546875" style="8" customWidth="1"/>
    <col min="26" max="26" width="7.42578125" style="8" bestFit="1" customWidth="1"/>
    <col min="27" max="28" width="7" style="8" bestFit="1" customWidth="1"/>
    <col min="29" max="29" width="7.42578125" style="8" bestFit="1" customWidth="1"/>
    <col min="30" max="31" width="7" style="8" bestFit="1" customWidth="1"/>
    <col min="32" max="34" width="7" style="8" customWidth="1"/>
    <col min="35" max="35" width="17.7109375" style="8" bestFit="1" customWidth="1"/>
    <col min="36" max="16384" width="8.85546875" style="8"/>
  </cols>
  <sheetData>
    <row r="1" spans="1:35">
      <c r="A1" s="8" t="s">
        <v>0</v>
      </c>
      <c r="B1" s="8" t="s">
        <v>109</v>
      </c>
      <c r="C1" s="8" t="s">
        <v>130</v>
      </c>
      <c r="D1" s="8" t="s">
        <v>86</v>
      </c>
      <c r="E1" s="8" t="s">
        <v>127</v>
      </c>
      <c r="F1" s="8" t="s">
        <v>84</v>
      </c>
      <c r="G1" s="8" t="s">
        <v>89</v>
      </c>
      <c r="H1" s="8" t="s">
        <v>107</v>
      </c>
      <c r="I1" s="8" t="s">
        <v>101</v>
      </c>
      <c r="J1" s="8" t="s">
        <v>102</v>
      </c>
      <c r="K1" s="8" t="s">
        <v>1</v>
      </c>
      <c r="L1" s="8" t="s">
        <v>2</v>
      </c>
      <c r="M1" s="20" t="s">
        <v>3</v>
      </c>
      <c r="N1" s="8" t="s">
        <v>23</v>
      </c>
      <c r="O1" s="8" t="s">
        <v>15</v>
      </c>
      <c r="P1" s="8" t="s">
        <v>16</v>
      </c>
      <c r="Q1" s="8" t="s">
        <v>24</v>
      </c>
      <c r="R1" s="8" t="s">
        <v>17</v>
      </c>
      <c r="S1" s="8" t="s">
        <v>18</v>
      </c>
      <c r="T1" s="8" t="s">
        <v>27</v>
      </c>
      <c r="U1" s="8" t="s">
        <v>28</v>
      </c>
      <c r="V1" s="8" t="s">
        <v>29</v>
      </c>
      <c r="W1" s="8" t="s">
        <v>43</v>
      </c>
      <c r="X1" s="8" t="s">
        <v>44</v>
      </c>
      <c r="Y1" s="8" t="s">
        <v>45</v>
      </c>
      <c r="Z1" s="8" t="s">
        <v>25</v>
      </c>
      <c r="AA1" s="8" t="s">
        <v>19</v>
      </c>
      <c r="AB1" s="8" t="s">
        <v>20</v>
      </c>
      <c r="AC1" s="8" t="s">
        <v>26</v>
      </c>
      <c r="AD1" s="8" t="s">
        <v>21</v>
      </c>
      <c r="AE1" s="8" t="s">
        <v>22</v>
      </c>
      <c r="AF1" s="8" t="s">
        <v>72</v>
      </c>
      <c r="AG1" s="8" t="s">
        <v>73</v>
      </c>
      <c r="AH1" s="8" t="s">
        <v>74</v>
      </c>
      <c r="AI1" s="8" t="s">
        <v>4</v>
      </c>
    </row>
    <row r="2" spans="1:35">
      <c r="A2" s="8" t="s">
        <v>14</v>
      </c>
      <c r="B2" s="8" t="s">
        <v>110</v>
      </c>
      <c r="C2" s="8">
        <v>2015</v>
      </c>
      <c r="D2" s="8" t="s">
        <v>87</v>
      </c>
      <c r="E2" s="8" t="s">
        <v>128</v>
      </c>
      <c r="F2" s="8">
        <v>911</v>
      </c>
      <c r="G2" s="8" t="s">
        <v>90</v>
      </c>
      <c r="H2" s="8" t="s">
        <v>91</v>
      </c>
      <c r="I2" s="8" t="s">
        <v>100</v>
      </c>
      <c r="J2" s="8" t="s">
        <v>103</v>
      </c>
      <c r="K2" s="8">
        <v>70</v>
      </c>
      <c r="L2" s="8">
        <v>2</v>
      </c>
      <c r="M2" s="20" t="s">
        <v>7</v>
      </c>
      <c r="N2" s="12">
        <v>0.29393939393939394</v>
      </c>
      <c r="O2" s="12">
        <v>0.25918305759313204</v>
      </c>
      <c r="P2" s="12">
        <v>0.32869573028565585</v>
      </c>
      <c r="Q2" s="12">
        <v>0.82071713147410363</v>
      </c>
      <c r="R2" s="12">
        <v>0.77326176230957466</v>
      </c>
      <c r="S2" s="12">
        <v>0.8681725006386326</v>
      </c>
      <c r="T2" s="11">
        <v>1.6395286195286201</v>
      </c>
      <c r="U2" s="11">
        <v>1.2269155429793641</v>
      </c>
      <c r="V2" s="11">
        <v>2.1909039376303947</v>
      </c>
      <c r="W2" s="11">
        <v>0.86029714621947628</v>
      </c>
      <c r="X2" s="11">
        <v>0.79738700857116995</v>
      </c>
      <c r="Y2" s="11">
        <v>0.92817060202620172</v>
      </c>
      <c r="Z2" s="12">
        <v>0.81171548117154813</v>
      </c>
      <c r="AA2" s="12">
        <v>0.76215148191550997</v>
      </c>
      <c r="AB2" s="12">
        <v>0.86127948042758629</v>
      </c>
      <c r="AC2" s="12">
        <v>0.30654761904761907</v>
      </c>
      <c r="AD2" s="12">
        <v>0.27168751088364884</v>
      </c>
      <c r="AE2" s="12">
        <v>0.3414077272115893</v>
      </c>
      <c r="AF2" s="13">
        <v>0.72447859495060374</v>
      </c>
      <c r="AG2" s="13">
        <v>0.69546594925496952</v>
      </c>
      <c r="AH2" s="13">
        <v>0.75349124064623796</v>
      </c>
    </row>
    <row r="3" spans="1:35">
      <c r="A3" s="8" t="s">
        <v>14</v>
      </c>
      <c r="B3" s="8" t="s">
        <v>110</v>
      </c>
      <c r="C3" s="8">
        <v>2015</v>
      </c>
      <c r="D3" s="8" t="s">
        <v>87</v>
      </c>
      <c r="E3" s="8" t="s">
        <v>128</v>
      </c>
      <c r="F3" s="8">
        <v>911</v>
      </c>
      <c r="G3" s="8" t="s">
        <v>90</v>
      </c>
      <c r="H3" s="8" t="s">
        <v>91</v>
      </c>
      <c r="I3" s="8" t="s">
        <v>100</v>
      </c>
      <c r="J3" s="8" t="s">
        <v>103</v>
      </c>
      <c r="K3" s="8">
        <v>65</v>
      </c>
      <c r="L3" s="8">
        <v>2</v>
      </c>
      <c r="M3" s="20" t="s">
        <v>7</v>
      </c>
      <c r="N3" s="12">
        <v>0.29272727272727272</v>
      </c>
      <c r="O3" s="12">
        <v>0.25469959753484284</v>
      </c>
      <c r="P3" s="12">
        <v>0.33075494791970261</v>
      </c>
      <c r="Q3" s="12">
        <v>0.78393351800554012</v>
      </c>
      <c r="R3" s="12">
        <v>0.74147783933824651</v>
      </c>
      <c r="S3" s="12">
        <v>0.82638919667283373</v>
      </c>
      <c r="T3" s="11">
        <v>1.3548018648018645</v>
      </c>
      <c r="U3" s="11">
        <v>1.0704732315779759</v>
      </c>
      <c r="V3" s="11">
        <v>1.7146510895605784</v>
      </c>
      <c r="W3" s="11">
        <v>0.90221008673305503</v>
      </c>
      <c r="X3" s="11">
        <v>0.83592023684368855</v>
      </c>
      <c r="Y3" s="11">
        <v>0.97375683076694797</v>
      </c>
      <c r="Z3" s="12">
        <v>0.67364016736401677</v>
      </c>
      <c r="AA3" s="12">
        <v>0.61419460234529644</v>
      </c>
      <c r="AB3" s="12">
        <v>0.73308573238273711</v>
      </c>
      <c r="AC3" s="12">
        <v>0.42113095238095238</v>
      </c>
      <c r="AD3" s="12">
        <v>0.383799904545094</v>
      </c>
      <c r="AE3" s="12">
        <v>0.45846200021681077</v>
      </c>
      <c r="AF3" s="13">
        <v>0.60373216245883643</v>
      </c>
      <c r="AG3" s="13">
        <v>0.57196975215702484</v>
      </c>
      <c r="AH3" s="13">
        <v>0.63549457276064802</v>
      </c>
    </row>
    <row r="4" spans="1:35">
      <c r="A4" s="8" t="s">
        <v>99</v>
      </c>
      <c r="B4" s="8" t="s">
        <v>111</v>
      </c>
      <c r="C4" s="8">
        <v>2013</v>
      </c>
      <c r="D4" s="8" t="s">
        <v>87</v>
      </c>
      <c r="E4" s="8" t="s">
        <v>129</v>
      </c>
      <c r="F4" s="8">
        <v>286</v>
      </c>
      <c r="G4" s="8" t="s">
        <v>126</v>
      </c>
      <c r="H4" s="8" t="s">
        <v>126</v>
      </c>
      <c r="I4" s="8" t="s">
        <v>126</v>
      </c>
      <c r="J4" s="8" t="s">
        <v>103</v>
      </c>
      <c r="AI4" s="8" t="s">
        <v>9</v>
      </c>
    </row>
    <row r="5" spans="1:35">
      <c r="A5" s="8" t="s">
        <v>75</v>
      </c>
      <c r="B5" s="8" t="s">
        <v>112</v>
      </c>
      <c r="C5" s="8">
        <v>2017</v>
      </c>
      <c r="D5" s="8" t="s">
        <v>87</v>
      </c>
      <c r="E5" s="8" t="s">
        <v>129</v>
      </c>
      <c r="F5" s="8">
        <v>1137</v>
      </c>
      <c r="G5" s="8" t="s">
        <v>126</v>
      </c>
      <c r="H5" s="8" t="s">
        <v>126</v>
      </c>
      <c r="I5" s="8" t="s">
        <v>126</v>
      </c>
      <c r="J5" s="8" t="s">
        <v>105</v>
      </c>
      <c r="AI5" s="8" t="s">
        <v>9</v>
      </c>
    </row>
    <row r="6" spans="1:35">
      <c r="A6" s="8" t="s">
        <v>12</v>
      </c>
      <c r="B6" s="8" t="s">
        <v>113</v>
      </c>
      <c r="C6" s="8">
        <v>2016</v>
      </c>
      <c r="D6" s="8" t="s">
        <v>87</v>
      </c>
      <c r="E6" s="8" t="s">
        <v>129</v>
      </c>
      <c r="F6" s="8">
        <v>1428</v>
      </c>
      <c r="G6" s="8" t="s">
        <v>126</v>
      </c>
      <c r="H6" s="8" t="s">
        <v>92</v>
      </c>
      <c r="I6" s="8" t="s">
        <v>126</v>
      </c>
      <c r="J6" s="8" t="s">
        <v>108</v>
      </c>
      <c r="K6" s="8">
        <v>70</v>
      </c>
      <c r="L6" s="8">
        <v>2</v>
      </c>
      <c r="M6" s="20" t="s">
        <v>40</v>
      </c>
      <c r="N6" s="12">
        <v>0.81789638932496078</v>
      </c>
      <c r="O6" s="12">
        <v>0.79670400695327104</v>
      </c>
      <c r="P6" s="12">
        <v>0.83908877169665053</v>
      </c>
      <c r="Q6" s="12">
        <v>0.14285714285714285</v>
      </c>
      <c r="R6" s="12">
        <v>8.7589200480522267E-2</v>
      </c>
      <c r="S6" s="12">
        <v>0.19812508523376343</v>
      </c>
      <c r="T6" s="11">
        <v>0.95421245421245415</v>
      </c>
      <c r="U6" s="11">
        <v>0.89015509980602736</v>
      </c>
      <c r="V6" s="11">
        <v>1.0228795049003994</v>
      </c>
      <c r="W6" s="11">
        <v>1.2747252747252746</v>
      </c>
      <c r="X6" s="11">
        <v>0.85106287450969864</v>
      </c>
      <c r="Y6" s="11">
        <v>1.9092884611604679</v>
      </c>
      <c r="Z6" s="12">
        <v>0.88756388415672915</v>
      </c>
      <c r="AA6" s="12">
        <v>0.86949319351737941</v>
      </c>
      <c r="AB6" s="12">
        <v>0.90563457479607889</v>
      </c>
      <c r="AC6" s="12">
        <v>8.6614173228346455E-2</v>
      </c>
      <c r="AD6" s="12">
        <v>5.2023355467496868E-2</v>
      </c>
      <c r="AE6" s="12">
        <v>0.12120499098919604</v>
      </c>
      <c r="AF6" s="13">
        <v>0.89215686274509809</v>
      </c>
      <c r="AG6" s="13">
        <v>0.8760686116950831</v>
      </c>
      <c r="AH6" s="13">
        <v>0.90824511379511308</v>
      </c>
    </row>
    <row r="7" spans="1:35">
      <c r="A7" s="8" t="s">
        <v>12</v>
      </c>
      <c r="B7" s="8" t="s">
        <v>113</v>
      </c>
      <c r="C7" s="8">
        <v>2016</v>
      </c>
      <c r="D7" s="8" t="s">
        <v>87</v>
      </c>
      <c r="E7" s="8" t="s">
        <v>129</v>
      </c>
      <c r="F7" s="8">
        <v>1428</v>
      </c>
      <c r="G7" s="8" t="s">
        <v>126</v>
      </c>
      <c r="H7" s="8" t="s">
        <v>92</v>
      </c>
      <c r="I7" s="8" t="s">
        <v>126</v>
      </c>
      <c r="J7" s="8" t="s">
        <v>108</v>
      </c>
      <c r="K7" s="8">
        <v>70</v>
      </c>
      <c r="L7" s="8">
        <v>3</v>
      </c>
      <c r="M7" s="20" t="s">
        <v>40</v>
      </c>
      <c r="N7" s="12">
        <v>0.37362637362637363</v>
      </c>
      <c r="O7" s="12">
        <v>0.34706155522504639</v>
      </c>
      <c r="P7" s="12">
        <v>0.40019119202770087</v>
      </c>
      <c r="Q7" s="12">
        <v>0.66233766233766234</v>
      </c>
      <c r="R7" s="12">
        <v>0.58764520498369144</v>
      </c>
      <c r="S7" s="12">
        <v>0.73703011969163323</v>
      </c>
      <c r="T7" s="11">
        <v>1.1065088757396451</v>
      </c>
      <c r="U7" s="11">
        <v>0.87709460402534456</v>
      </c>
      <c r="V7" s="11">
        <v>1.3959291124030608</v>
      </c>
      <c r="W7" s="11">
        <v>0.94570135746606332</v>
      </c>
      <c r="X7" s="11">
        <v>0.83835757531175192</v>
      </c>
      <c r="Y7" s="11">
        <v>1.0667894987178725</v>
      </c>
      <c r="Z7" s="12">
        <v>0.90151515151515149</v>
      </c>
      <c r="AA7" s="12">
        <v>0.87609896810998089</v>
      </c>
      <c r="AB7" s="12">
        <v>0.92693133492032209</v>
      </c>
      <c r="AC7" s="12">
        <v>0.11333333333333333</v>
      </c>
      <c r="AD7" s="12">
        <v>9.2622678116605572E-2</v>
      </c>
      <c r="AE7" s="12">
        <v>0.13404398855006108</v>
      </c>
      <c r="AF7" s="13">
        <v>0.89215686274509809</v>
      </c>
      <c r="AG7" s="13">
        <v>0.8760686116950831</v>
      </c>
      <c r="AH7" s="13">
        <v>0.90824511379511308</v>
      </c>
    </row>
    <row r="8" spans="1:35">
      <c r="A8" s="8" t="s">
        <v>76</v>
      </c>
      <c r="B8" s="8" t="s">
        <v>114</v>
      </c>
      <c r="C8" s="8">
        <v>2016</v>
      </c>
      <c r="D8" s="8" t="s">
        <v>88</v>
      </c>
      <c r="E8" s="8" t="s">
        <v>129</v>
      </c>
      <c r="F8" s="8">
        <v>135</v>
      </c>
      <c r="G8" s="8" t="s">
        <v>90</v>
      </c>
      <c r="H8" s="8" t="s">
        <v>91</v>
      </c>
      <c r="I8" s="8" t="s">
        <v>126</v>
      </c>
      <c r="J8" s="8" t="s">
        <v>103</v>
      </c>
      <c r="K8" s="8">
        <v>65</v>
      </c>
      <c r="L8" s="8">
        <v>2</v>
      </c>
      <c r="M8" s="20" t="s">
        <v>7</v>
      </c>
      <c r="N8" s="12">
        <v>0.31818181818181818</v>
      </c>
      <c r="O8" s="8">
        <v>0.20581034556197209</v>
      </c>
      <c r="P8" s="8">
        <v>0.43055329080166427</v>
      </c>
      <c r="Q8" s="12">
        <v>0.66666666666666663</v>
      </c>
      <c r="R8" s="8">
        <v>0.55543581331419012</v>
      </c>
      <c r="S8" s="8">
        <v>0.77789752001914314</v>
      </c>
      <c r="T8" s="8">
        <v>0.95454545454545447</v>
      </c>
      <c r="U8" s="8">
        <v>0.58719483448398957</v>
      </c>
      <c r="V8" s="8">
        <v>1.5517115806955075</v>
      </c>
      <c r="W8" s="8">
        <v>1.0227272727272729</v>
      </c>
      <c r="X8" s="8">
        <v>0.80892504448749791</v>
      </c>
      <c r="Y8" s="8">
        <v>1.2930383123974738</v>
      </c>
      <c r="Z8" s="12">
        <v>0.47727272727272729</v>
      </c>
      <c r="AA8" s="8">
        <v>0.32968487189042084</v>
      </c>
      <c r="AB8" s="8">
        <v>0.62486058265503375</v>
      </c>
      <c r="AC8" s="12">
        <v>0.50549450549450547</v>
      </c>
      <c r="AD8" s="8">
        <v>0.40276879455188719</v>
      </c>
      <c r="AE8" s="8">
        <v>0.60822021643712376</v>
      </c>
      <c r="AF8" s="8">
        <v>0.48888888888888887</v>
      </c>
      <c r="AG8" s="8">
        <v>0.40456474672856491</v>
      </c>
      <c r="AH8" s="8">
        <v>0.57321303104921284</v>
      </c>
    </row>
    <row r="9" spans="1:35">
      <c r="A9" s="8" t="s">
        <v>10</v>
      </c>
      <c r="B9" s="8" t="s">
        <v>115</v>
      </c>
      <c r="C9" s="8">
        <v>2014</v>
      </c>
      <c r="D9" s="8" t="s">
        <v>87</v>
      </c>
      <c r="E9" s="8" t="s">
        <v>129</v>
      </c>
      <c r="F9" s="8">
        <v>972</v>
      </c>
      <c r="G9" s="8" t="s">
        <v>94</v>
      </c>
      <c r="H9" s="8" t="s">
        <v>95</v>
      </c>
      <c r="I9" s="8" t="s">
        <v>93</v>
      </c>
      <c r="J9" s="8" t="s">
        <v>105</v>
      </c>
      <c r="AI9" s="8" t="s">
        <v>9</v>
      </c>
    </row>
    <row r="10" spans="1:35">
      <c r="A10" s="8" t="s">
        <v>78</v>
      </c>
      <c r="B10" s="8" t="s">
        <v>125</v>
      </c>
      <c r="C10" s="8">
        <v>2016</v>
      </c>
      <c r="D10" s="8" t="s">
        <v>87</v>
      </c>
      <c r="E10" s="8" t="s">
        <v>129</v>
      </c>
      <c r="F10" s="8">
        <v>104</v>
      </c>
      <c r="G10" s="8" t="s">
        <v>94</v>
      </c>
      <c r="H10" s="8" t="s">
        <v>95</v>
      </c>
      <c r="I10" s="8" t="s">
        <v>96</v>
      </c>
      <c r="J10" s="8" t="s">
        <v>105</v>
      </c>
      <c r="AI10" s="8" t="s">
        <v>79</v>
      </c>
    </row>
    <row r="11" spans="1:35">
      <c r="A11" s="8" t="s">
        <v>77</v>
      </c>
      <c r="B11" s="8" t="s">
        <v>116</v>
      </c>
      <c r="C11" s="8">
        <v>2016</v>
      </c>
      <c r="D11" s="8" t="s">
        <v>87</v>
      </c>
      <c r="E11" s="8" t="s">
        <v>129</v>
      </c>
      <c r="F11" s="8">
        <v>229</v>
      </c>
      <c r="G11" s="8" t="s">
        <v>94</v>
      </c>
      <c r="H11" s="8" t="s">
        <v>126</v>
      </c>
      <c r="I11" s="8" t="s">
        <v>126</v>
      </c>
      <c r="J11" s="8" t="s">
        <v>105</v>
      </c>
      <c r="AI11" s="8" t="s">
        <v>9</v>
      </c>
    </row>
    <row r="12" spans="1:35">
      <c r="A12" s="8" t="s">
        <v>82</v>
      </c>
      <c r="B12" s="8" t="s">
        <v>117</v>
      </c>
      <c r="C12" s="8">
        <v>2016</v>
      </c>
      <c r="D12" s="8" t="s">
        <v>87</v>
      </c>
      <c r="E12" s="8" t="s">
        <v>129</v>
      </c>
      <c r="F12" s="8">
        <v>1524</v>
      </c>
      <c r="G12" s="8" t="s">
        <v>126</v>
      </c>
      <c r="H12" s="8" t="s">
        <v>126</v>
      </c>
      <c r="I12" s="8" t="s">
        <v>97</v>
      </c>
      <c r="J12" s="8" t="s">
        <v>103</v>
      </c>
      <c r="K12" s="8">
        <v>65</v>
      </c>
      <c r="L12" s="8">
        <v>2</v>
      </c>
      <c r="M12" s="20" t="b">
        <v>1</v>
      </c>
      <c r="N12" s="8">
        <v>0.23745819397993312</v>
      </c>
      <c r="O12" s="8">
        <v>0.20335218603440347</v>
      </c>
      <c r="P12" s="8">
        <v>0.27156420192546277</v>
      </c>
      <c r="Q12" s="8">
        <v>0.8077753779697624</v>
      </c>
      <c r="R12" s="8">
        <v>0.78239486523522606</v>
      </c>
      <c r="S12" s="8">
        <v>0.83315589070429874</v>
      </c>
      <c r="T12" s="8">
        <v>1.2353162226147081</v>
      </c>
      <c r="U12" s="8">
        <v>1.0163623372529633</v>
      </c>
      <c r="V12" s="8">
        <v>1.5014391166634324</v>
      </c>
      <c r="W12" s="8">
        <v>0.94400228927083141</v>
      </c>
      <c r="X12" s="8">
        <v>0.8937879965816935</v>
      </c>
      <c r="Y12" s="8">
        <v>0.99703769300634038</v>
      </c>
      <c r="Z12" s="8">
        <v>0.44374999999999998</v>
      </c>
      <c r="AA12" s="8">
        <v>0.38931411634144714</v>
      </c>
      <c r="AB12" s="8">
        <v>0.49818588365855282</v>
      </c>
      <c r="AC12" s="8">
        <v>0.62126245847176076</v>
      </c>
      <c r="AD12" s="8">
        <v>0.59386252166233999</v>
      </c>
      <c r="AE12" s="8">
        <v>0.64866239528118153</v>
      </c>
      <c r="AF12" s="8">
        <v>0.39238845144356954</v>
      </c>
      <c r="AG12" s="8">
        <v>0.36787329290332899</v>
      </c>
      <c r="AH12" s="8">
        <v>0.4169036099838101</v>
      </c>
    </row>
    <row r="13" spans="1:35">
      <c r="A13" s="8" t="s">
        <v>82</v>
      </c>
      <c r="B13" s="8" t="s">
        <v>117</v>
      </c>
      <c r="C13" s="8">
        <v>2016</v>
      </c>
      <c r="D13" s="8" t="s">
        <v>87</v>
      </c>
      <c r="E13" s="8" t="s">
        <v>129</v>
      </c>
      <c r="F13" s="8">
        <v>1524</v>
      </c>
      <c r="G13" s="8" t="s">
        <v>126</v>
      </c>
      <c r="H13" s="8" t="s">
        <v>126</v>
      </c>
      <c r="I13" s="8" t="s">
        <v>97</v>
      </c>
      <c r="J13" s="8" t="s">
        <v>103</v>
      </c>
      <c r="K13" s="8">
        <v>70</v>
      </c>
      <c r="L13" s="8">
        <v>2</v>
      </c>
      <c r="M13" s="20" t="b">
        <v>1</v>
      </c>
      <c r="N13" s="8">
        <v>0.22880215343203231</v>
      </c>
      <c r="O13" s="8">
        <v>0.19859744676828617</v>
      </c>
      <c r="P13" s="8">
        <v>0.25900686009577845</v>
      </c>
      <c r="Q13" s="8">
        <v>0.80665813060179259</v>
      </c>
      <c r="R13" s="8">
        <v>0.77896077742162451</v>
      </c>
      <c r="S13" s="8">
        <v>0.83435548378196067</v>
      </c>
      <c r="T13" s="8">
        <v>1.1834071644398494</v>
      </c>
      <c r="U13" s="8">
        <v>0.97393706330925311</v>
      </c>
      <c r="V13" s="8">
        <v>1.4379291738719677</v>
      </c>
      <c r="W13" s="8">
        <v>0.95604050503108362</v>
      </c>
      <c r="X13" s="8">
        <v>0.90751899925095736</v>
      </c>
      <c r="Y13" s="8">
        <v>1.0071562667167215</v>
      </c>
      <c r="Z13" s="8">
        <v>0.52959501557632394</v>
      </c>
      <c r="AA13" s="8">
        <v>0.47499265015965186</v>
      </c>
      <c r="AB13" s="8">
        <v>0.58419738099299601</v>
      </c>
      <c r="AC13" s="8">
        <v>0.52369077306733169</v>
      </c>
      <c r="AD13" s="8">
        <v>0.49546764047663594</v>
      </c>
      <c r="AE13" s="8">
        <v>0.55191390565802745</v>
      </c>
      <c r="AF13" s="8">
        <v>0.48753280839895013</v>
      </c>
      <c r="AG13" s="8">
        <v>0.46243715285813308</v>
      </c>
      <c r="AH13" s="8">
        <v>0.51262846393976713</v>
      </c>
    </row>
    <row r="14" spans="1:35">
      <c r="A14" s="8" t="s">
        <v>82</v>
      </c>
      <c r="B14" s="8" t="s">
        <v>117</v>
      </c>
      <c r="C14" s="8">
        <v>2016</v>
      </c>
      <c r="D14" s="8" t="s">
        <v>87</v>
      </c>
      <c r="E14" s="8" t="s">
        <v>129</v>
      </c>
      <c r="F14" s="8">
        <v>1524</v>
      </c>
      <c r="G14" s="8" t="s">
        <v>126</v>
      </c>
      <c r="H14" s="8" t="s">
        <v>126</v>
      </c>
      <c r="I14" s="8" t="s">
        <v>97</v>
      </c>
      <c r="J14" s="8" t="s">
        <v>103</v>
      </c>
      <c r="K14" s="8">
        <v>65</v>
      </c>
      <c r="L14" s="8">
        <v>3</v>
      </c>
      <c r="M14" s="20" t="b">
        <v>1</v>
      </c>
      <c r="N14" s="8">
        <v>5.8430717863105178E-2</v>
      </c>
      <c r="O14" s="8">
        <v>3.9646660235593711E-2</v>
      </c>
      <c r="P14" s="8">
        <v>7.7214775490616644E-2</v>
      </c>
      <c r="Q14" s="8">
        <v>0.95783783783783782</v>
      </c>
      <c r="R14" s="8">
        <v>0.9448871559223827</v>
      </c>
      <c r="S14" s="8">
        <v>0.97078851975329294</v>
      </c>
      <c r="T14" s="8">
        <v>1.3858567698300583</v>
      </c>
      <c r="U14" s="8">
        <v>0.88841902529877104</v>
      </c>
      <c r="V14" s="8">
        <v>2.1618165885606908</v>
      </c>
      <c r="W14" s="8">
        <v>0.98301533405939923</v>
      </c>
      <c r="X14" s="8">
        <v>0.95960800701045357</v>
      </c>
      <c r="Y14" s="8">
        <v>1.0069936264979347</v>
      </c>
      <c r="Z14" s="8">
        <v>0.47297297297297297</v>
      </c>
      <c r="AA14" s="8">
        <v>0.35921684072755111</v>
      </c>
      <c r="AB14" s="8">
        <v>0.58672910521839483</v>
      </c>
      <c r="AC14" s="8">
        <v>0.61103448275862071</v>
      </c>
      <c r="AD14" s="8">
        <v>0.58594102662962633</v>
      </c>
      <c r="AE14" s="8">
        <v>0.6361279388876151</v>
      </c>
      <c r="AF14" s="8">
        <v>0.39304461942257218</v>
      </c>
      <c r="AG14" s="8">
        <v>0.36852222358872533</v>
      </c>
      <c r="AH14" s="8">
        <v>0.41756701525641904</v>
      </c>
    </row>
    <row r="15" spans="1:35">
      <c r="A15" s="8" t="s">
        <v>5</v>
      </c>
      <c r="B15" s="8" t="s">
        <v>118</v>
      </c>
      <c r="C15" s="8">
        <v>2016</v>
      </c>
      <c r="D15" s="8" t="s">
        <v>88</v>
      </c>
      <c r="E15" s="8" t="s">
        <v>129</v>
      </c>
      <c r="F15" s="8">
        <v>1308</v>
      </c>
      <c r="G15" s="8" t="s">
        <v>90</v>
      </c>
      <c r="H15" s="8" t="s">
        <v>126</v>
      </c>
      <c r="I15" s="8" t="s">
        <v>126</v>
      </c>
      <c r="J15" s="8" t="s">
        <v>103</v>
      </c>
      <c r="K15" s="8">
        <v>65</v>
      </c>
      <c r="L15" s="8">
        <v>2</v>
      </c>
      <c r="M15" s="20" t="s">
        <v>7</v>
      </c>
      <c r="N15" s="8">
        <v>0.34289999999999998</v>
      </c>
      <c r="O15" s="8">
        <v>0.30930000000000002</v>
      </c>
      <c r="P15" s="8">
        <v>0.3765</v>
      </c>
      <c r="Q15" s="9">
        <v>0.76155268022181144</v>
      </c>
      <c r="R15" s="9">
        <v>0.72564365327725111</v>
      </c>
      <c r="S15" s="9">
        <v>0.79746170716637177</v>
      </c>
      <c r="T15" s="10">
        <v>1.438029976855361</v>
      </c>
      <c r="U15" s="10">
        <v>1.2015539192948095</v>
      </c>
      <c r="V15" s="10">
        <v>1.7210465390918919</v>
      </c>
      <c r="W15" s="10">
        <v>0.86284983734383114</v>
      </c>
      <c r="X15" s="10">
        <v>0.80487934431098751</v>
      </c>
      <c r="Y15" s="10">
        <v>0.92499558730956044</v>
      </c>
      <c r="Z15" s="9">
        <v>0.67091836734693877</v>
      </c>
      <c r="AA15" s="9">
        <v>0.62440265242505588</v>
      </c>
      <c r="AB15" s="9">
        <v>0.71743408226882166</v>
      </c>
      <c r="AC15" s="9">
        <v>0.44978165938864628</v>
      </c>
      <c r="AD15" s="9">
        <v>0.41756527954769695</v>
      </c>
      <c r="AE15" s="9">
        <v>0.48199803922959561</v>
      </c>
      <c r="AF15" s="9">
        <v>0.58639143730886845</v>
      </c>
      <c r="AG15" s="9">
        <v>0.55970191690012461</v>
      </c>
      <c r="AH15" s="9">
        <v>0.61308095771761228</v>
      </c>
    </row>
    <row r="16" spans="1:35">
      <c r="A16" s="8" t="s">
        <v>13</v>
      </c>
      <c r="B16" s="8" t="s">
        <v>119</v>
      </c>
      <c r="C16" s="8">
        <v>2015</v>
      </c>
      <c r="D16" s="8" t="s">
        <v>87</v>
      </c>
      <c r="E16" s="8" t="s">
        <v>129</v>
      </c>
      <c r="F16" s="8">
        <v>380</v>
      </c>
      <c r="G16" s="8" t="s">
        <v>126</v>
      </c>
      <c r="H16" s="8" t="s">
        <v>91</v>
      </c>
      <c r="I16" s="8" t="s">
        <v>126</v>
      </c>
      <c r="J16" s="8" t="s">
        <v>105</v>
      </c>
      <c r="K16" s="8">
        <v>65</v>
      </c>
      <c r="L16" s="8">
        <v>4</v>
      </c>
      <c r="M16" s="20" t="s">
        <v>7</v>
      </c>
      <c r="N16" s="12">
        <v>0.39183673469387753</v>
      </c>
      <c r="O16" s="12">
        <v>0.33070936682938645</v>
      </c>
      <c r="P16" s="12">
        <v>0.45296410255836861</v>
      </c>
      <c r="Q16" s="12">
        <v>0.57777777777777772</v>
      </c>
      <c r="R16" s="12">
        <v>0.49445952619328704</v>
      </c>
      <c r="S16" s="12">
        <v>0.66109602936226841</v>
      </c>
      <c r="T16" s="11">
        <v>0.92803437164339408</v>
      </c>
      <c r="U16" s="11">
        <v>0.72163527043318765</v>
      </c>
      <c r="V16" s="11">
        <v>1.1934668803460149</v>
      </c>
      <c r="W16" s="11">
        <v>1.0525902668759812</v>
      </c>
      <c r="X16" s="11">
        <v>0.88291803994757845</v>
      </c>
      <c r="Y16" s="11">
        <v>1.2548687644753884</v>
      </c>
      <c r="Z16" s="12">
        <v>0.62745098039215685</v>
      </c>
      <c r="AA16" s="12">
        <v>0.55083983251613344</v>
      </c>
      <c r="AB16" s="12">
        <v>0.70406212826818027</v>
      </c>
      <c r="AC16" s="12">
        <v>0.34361233480176212</v>
      </c>
      <c r="AD16" s="12">
        <v>0.28183093825960837</v>
      </c>
      <c r="AE16" s="12">
        <v>0.40539373134391588</v>
      </c>
      <c r="AF16" s="13">
        <v>0.64473684210526316</v>
      </c>
      <c r="AG16" s="13">
        <v>0.59661628985151793</v>
      </c>
      <c r="AH16" s="13">
        <v>0.69285739435900839</v>
      </c>
    </row>
    <row r="17" spans="1:35">
      <c r="A17" s="8" t="s">
        <v>85</v>
      </c>
      <c r="B17" s="8" t="s">
        <v>120</v>
      </c>
      <c r="C17" s="8">
        <v>2014</v>
      </c>
      <c r="D17" s="8" t="s">
        <v>87</v>
      </c>
      <c r="E17" s="8" t="s">
        <v>129</v>
      </c>
      <c r="F17" s="8">
        <v>1089</v>
      </c>
      <c r="G17" s="8" t="s">
        <v>90</v>
      </c>
      <c r="H17" s="8" t="s">
        <v>95</v>
      </c>
      <c r="I17" s="8" t="s">
        <v>126</v>
      </c>
      <c r="J17" s="8" t="s">
        <v>105</v>
      </c>
      <c r="AI17" s="8" t="s">
        <v>9</v>
      </c>
    </row>
    <row r="18" spans="1:35">
      <c r="A18" s="8" t="s">
        <v>80</v>
      </c>
      <c r="B18" s="8" t="s">
        <v>121</v>
      </c>
      <c r="C18" s="8">
        <v>2016</v>
      </c>
      <c r="D18" s="8" t="s">
        <v>87</v>
      </c>
      <c r="E18" s="8" t="s">
        <v>129</v>
      </c>
      <c r="F18" s="8">
        <f>2914+710</f>
        <v>3624</v>
      </c>
      <c r="G18" s="8" t="s">
        <v>98</v>
      </c>
      <c r="H18" s="8" t="s">
        <v>98</v>
      </c>
      <c r="I18" s="8" t="s">
        <v>126</v>
      </c>
      <c r="J18" s="8" t="s">
        <v>103</v>
      </c>
      <c r="K18" s="8">
        <v>70</v>
      </c>
      <c r="L18" s="8">
        <v>2</v>
      </c>
      <c r="M18" s="20" t="s">
        <v>40</v>
      </c>
      <c r="N18" s="8">
        <v>0.21090534979423869</v>
      </c>
      <c r="O18" s="8">
        <v>0.19277040287944264</v>
      </c>
      <c r="P18" s="8">
        <v>0.22904029670903475</v>
      </c>
      <c r="Q18" s="8">
        <v>0.82277745496804189</v>
      </c>
      <c r="R18" s="8">
        <v>0.80473621794622407</v>
      </c>
      <c r="S18" s="8">
        <v>0.8408186919898597</v>
      </c>
      <c r="T18" s="8">
        <v>1.1900593671996227</v>
      </c>
      <c r="U18" s="8">
        <v>1.0415899950049425</v>
      </c>
      <c r="V18" s="8">
        <v>1.3596917253922414</v>
      </c>
      <c r="W18" s="8">
        <v>0.95906207133058974</v>
      </c>
      <c r="X18" s="8">
        <v>0.92907683076649727</v>
      </c>
      <c r="Y18" s="8">
        <v>0.99001506248528159</v>
      </c>
      <c r="Z18" s="8">
        <v>0.57342657342657344</v>
      </c>
      <c r="AA18" s="8">
        <v>0.53717399867759275</v>
      </c>
      <c r="AB18" s="8">
        <v>0.60967914817555413</v>
      </c>
      <c r="AC18" s="8">
        <v>0.48</v>
      </c>
      <c r="AD18" s="8">
        <v>0.46197117787766917</v>
      </c>
      <c r="AE18" s="8">
        <v>0.49802882212233079</v>
      </c>
      <c r="AF18" s="8">
        <v>0.53042291950886766</v>
      </c>
      <c r="AG18" s="8">
        <v>0.51426506592712251</v>
      </c>
      <c r="AH18" s="8">
        <v>0.54658077309061281</v>
      </c>
      <c r="AI18" s="8" t="s">
        <v>81</v>
      </c>
    </row>
    <row r="19" spans="1:35">
      <c r="A19" s="8" t="s">
        <v>80</v>
      </c>
      <c r="B19" s="8" t="s">
        <v>121</v>
      </c>
      <c r="C19" s="8">
        <v>2016</v>
      </c>
      <c r="D19" s="8" t="s">
        <v>87</v>
      </c>
      <c r="E19" s="8" t="s">
        <v>129</v>
      </c>
      <c r="F19" s="8">
        <f>2914+710</f>
        <v>3624</v>
      </c>
      <c r="G19" s="8" t="s">
        <v>98</v>
      </c>
      <c r="H19" s="8" t="s">
        <v>98</v>
      </c>
      <c r="I19" s="8" t="s">
        <v>126</v>
      </c>
      <c r="J19" s="8" t="s">
        <v>103</v>
      </c>
      <c r="K19" s="8">
        <v>65</v>
      </c>
      <c r="L19" s="8">
        <v>2</v>
      </c>
      <c r="M19" s="20" t="s">
        <v>40</v>
      </c>
      <c r="N19" s="8">
        <v>0.21368624919302776</v>
      </c>
      <c r="O19" s="8">
        <v>0.19327279090314731</v>
      </c>
      <c r="P19" s="8">
        <v>0.2340997074829082</v>
      </c>
      <c r="Q19" s="8">
        <v>0.81852551984877131</v>
      </c>
      <c r="R19" s="8">
        <v>0.80210366790350673</v>
      </c>
      <c r="S19" s="8">
        <v>0.83494737179403589</v>
      </c>
      <c r="T19" s="8">
        <v>1.177500268990747</v>
      </c>
      <c r="U19" s="8">
        <v>1.0323199082141112</v>
      </c>
      <c r="V19" s="8">
        <v>1.3430980769051575</v>
      </c>
      <c r="W19" s="8">
        <v>0.96064659163253641</v>
      </c>
      <c r="X19" s="8">
        <v>0.92963940204191131</v>
      </c>
      <c r="Y19" s="8">
        <v>0.99268799492386872</v>
      </c>
      <c r="Z19" s="8">
        <v>0.46293706293706294</v>
      </c>
      <c r="AA19" s="8">
        <v>0.42638796878212837</v>
      </c>
      <c r="AB19" s="8">
        <v>0.49948615709199751</v>
      </c>
      <c r="AC19" s="8">
        <v>0.58711864406779657</v>
      </c>
      <c r="AD19" s="8">
        <v>0.56935137679918424</v>
      </c>
      <c r="AE19" s="8">
        <v>0.6048859113364089</v>
      </c>
      <c r="AF19" s="8">
        <v>0.42264665757162345</v>
      </c>
      <c r="AG19" s="8">
        <v>0.40665370521578331</v>
      </c>
      <c r="AH19" s="8">
        <v>0.43863960992746359</v>
      </c>
      <c r="AI19" s="8" t="s">
        <v>81</v>
      </c>
    </row>
    <row r="20" spans="1:35">
      <c r="A20" s="8" t="s">
        <v>8</v>
      </c>
      <c r="B20" s="8" t="s">
        <v>122</v>
      </c>
      <c r="C20" s="8">
        <v>2015</v>
      </c>
      <c r="D20" s="8" t="s">
        <v>87</v>
      </c>
      <c r="E20" s="8" t="s">
        <v>129</v>
      </c>
      <c r="F20" s="8">
        <v>459</v>
      </c>
      <c r="G20" s="8" t="s">
        <v>90</v>
      </c>
      <c r="H20" s="8" t="s">
        <v>126</v>
      </c>
      <c r="I20" s="8" t="s">
        <v>93</v>
      </c>
      <c r="J20" s="8" t="s">
        <v>103</v>
      </c>
      <c r="K20" s="8">
        <v>65</v>
      </c>
      <c r="L20" s="8">
        <v>2</v>
      </c>
      <c r="M20" s="20" t="s">
        <v>7</v>
      </c>
      <c r="N20" s="9">
        <v>0.55392156862745101</v>
      </c>
      <c r="O20" s="9">
        <v>0.48570800507984035</v>
      </c>
      <c r="P20" s="9">
        <v>0.62213513217506167</v>
      </c>
      <c r="Q20" s="9">
        <v>0.63137254901960782</v>
      </c>
      <c r="R20" s="9">
        <v>0.57215878541941123</v>
      </c>
      <c r="S20" s="9">
        <v>0.69058631261980441</v>
      </c>
      <c r="T20" s="10">
        <v>1.5026595744680851</v>
      </c>
      <c r="U20" s="10">
        <v>1.2273174708571661</v>
      </c>
      <c r="V20" s="10">
        <v>1.8397732048608539</v>
      </c>
      <c r="W20" s="10">
        <v>0.70652173913043503</v>
      </c>
      <c r="X20" s="10">
        <v>0.59049828247658953</v>
      </c>
      <c r="Y20" s="10">
        <v>0.84534194709310451</v>
      </c>
      <c r="Z20" s="9">
        <v>0.54589371980676327</v>
      </c>
      <c r="AA20" s="9">
        <v>0.47806654908223228</v>
      </c>
      <c r="AB20" s="9">
        <v>0.61372089053129431</v>
      </c>
      <c r="AC20" s="9">
        <v>0.63888888888888884</v>
      </c>
      <c r="AD20" s="9">
        <v>0.57958421878823319</v>
      </c>
      <c r="AE20" s="9">
        <v>0.69819355898954449</v>
      </c>
      <c r="AF20" s="9">
        <v>0.44444444444444442</v>
      </c>
      <c r="AG20" s="9">
        <v>0.39898519961011503</v>
      </c>
      <c r="AH20" s="9">
        <v>0.48990368927877381</v>
      </c>
    </row>
    <row r="21" spans="1:35">
      <c r="A21" s="8" t="s">
        <v>11</v>
      </c>
      <c r="B21" s="8" t="s">
        <v>123</v>
      </c>
      <c r="C21" s="8">
        <v>2015</v>
      </c>
      <c r="D21" s="8" t="s">
        <v>87</v>
      </c>
      <c r="E21" s="8" t="s">
        <v>129</v>
      </c>
      <c r="F21" s="8">
        <v>1056</v>
      </c>
      <c r="G21" s="8" t="s">
        <v>94</v>
      </c>
      <c r="H21" s="8" t="s">
        <v>126</v>
      </c>
      <c r="I21" s="8" t="s">
        <v>96</v>
      </c>
      <c r="J21" s="8" t="s">
        <v>104</v>
      </c>
      <c r="K21" s="8">
        <v>65</v>
      </c>
      <c r="L21" s="8">
        <v>2</v>
      </c>
      <c r="M21" s="20" t="s">
        <v>7</v>
      </c>
      <c r="N21" s="9">
        <v>0.48185483870967744</v>
      </c>
      <c r="O21" s="9">
        <v>0.4378805251572836</v>
      </c>
      <c r="P21" s="9">
        <v>0.52582915226207128</v>
      </c>
      <c r="Q21" s="9">
        <v>0.63571428571428568</v>
      </c>
      <c r="R21" s="9">
        <v>0.59585641321712401</v>
      </c>
      <c r="S21" s="9">
        <v>0.67557215821144734</v>
      </c>
      <c r="T21" s="10">
        <v>1.3227387729285263</v>
      </c>
      <c r="U21" s="10">
        <v>1.1470883566407764</v>
      </c>
      <c r="V21" s="10">
        <v>1.5252860438163982</v>
      </c>
      <c r="W21" s="10">
        <v>0.81505980427691183</v>
      </c>
      <c r="X21" s="10">
        <v>0.73343948599050324</v>
      </c>
      <c r="Y21" s="10">
        <v>0.90576318460787053</v>
      </c>
      <c r="Z21" s="9">
        <v>0.53950338600451464</v>
      </c>
      <c r="AA21" s="9">
        <v>0.49308772750128843</v>
      </c>
      <c r="AB21" s="9">
        <v>0.5859190445077409</v>
      </c>
      <c r="AC21" s="9">
        <v>0.5807504078303426</v>
      </c>
      <c r="AD21" s="9">
        <v>0.54168818795835183</v>
      </c>
      <c r="AE21" s="9">
        <v>0.61981262770233336</v>
      </c>
      <c r="AF21" s="9">
        <v>0.46969696969696972</v>
      </c>
      <c r="AG21" s="9">
        <v>0.43959499087907311</v>
      </c>
      <c r="AH21" s="9">
        <v>0.49979894851486634</v>
      </c>
    </row>
    <row r="22" spans="1:35">
      <c r="A22" s="8" t="s">
        <v>11</v>
      </c>
      <c r="B22" s="8" t="s">
        <v>123</v>
      </c>
      <c r="C22" s="8">
        <v>2015</v>
      </c>
      <c r="D22" s="8" t="s">
        <v>87</v>
      </c>
      <c r="E22" s="8" t="s">
        <v>129</v>
      </c>
      <c r="F22" s="8">
        <v>1056</v>
      </c>
      <c r="G22" s="8" t="s">
        <v>94</v>
      </c>
      <c r="H22" s="8" t="s">
        <v>126</v>
      </c>
      <c r="I22" s="8" t="s">
        <v>96</v>
      </c>
      <c r="J22" s="8" t="s">
        <v>104</v>
      </c>
      <c r="K22" s="8">
        <v>70</v>
      </c>
      <c r="L22" s="8">
        <v>2</v>
      </c>
      <c r="M22" s="20" t="s">
        <v>7</v>
      </c>
      <c r="N22" s="9">
        <v>0.4863013698630137</v>
      </c>
      <c r="O22" s="9">
        <v>0.44576390380271774</v>
      </c>
      <c r="P22" s="9">
        <v>0.5268388359233096</v>
      </c>
      <c r="Q22" s="9">
        <v>0.66313559322033899</v>
      </c>
      <c r="R22" s="9">
        <v>0.62049592622171168</v>
      </c>
      <c r="S22" s="9">
        <v>0.7057752602189663</v>
      </c>
      <c r="T22" s="11">
        <v>1.4436116136813992</v>
      </c>
      <c r="U22" s="11">
        <v>1.240590101257997</v>
      </c>
      <c r="V22" s="11">
        <v>1.6798574235297845</v>
      </c>
      <c r="W22" s="11">
        <v>0.77465096940785161</v>
      </c>
      <c r="X22" s="11">
        <v>0.69967775695313261</v>
      </c>
      <c r="Y22" s="11">
        <v>0.85765785526424909</v>
      </c>
      <c r="Z22" s="12">
        <v>0.64108352144469527</v>
      </c>
      <c r="AA22" s="12">
        <v>0.59641431736839912</v>
      </c>
      <c r="AB22" s="12">
        <v>0.68575272552099142</v>
      </c>
      <c r="AC22" s="12">
        <v>0.51060358890701463</v>
      </c>
      <c r="AD22" s="12">
        <v>0.47103066356601775</v>
      </c>
      <c r="AE22" s="12">
        <v>0.55017651424801151</v>
      </c>
      <c r="AF22" s="13">
        <v>0.55303030303030298</v>
      </c>
      <c r="AG22" s="13">
        <v>0.52304298559765561</v>
      </c>
      <c r="AH22" s="13">
        <v>0.58301762046295036</v>
      </c>
    </row>
    <row r="23" spans="1:35">
      <c r="A23" t="s">
        <v>83</v>
      </c>
      <c r="B23" t="s">
        <v>124</v>
      </c>
      <c r="C23" s="8">
        <v>2016</v>
      </c>
      <c r="D23" s="8" t="s">
        <v>87</v>
      </c>
      <c r="E23" s="8" t="s">
        <v>129</v>
      </c>
      <c r="F23" s="8">
        <f>114+97</f>
        <v>211</v>
      </c>
      <c r="G23" s="8" t="s">
        <v>94</v>
      </c>
      <c r="H23" s="8" t="s">
        <v>126</v>
      </c>
      <c r="I23" s="8" t="s">
        <v>126</v>
      </c>
      <c r="J23" s="8" t="s">
        <v>106</v>
      </c>
      <c r="K23" s="8">
        <v>70</v>
      </c>
      <c r="L23" s="8">
        <v>2</v>
      </c>
      <c r="M23" s="20" t="b">
        <v>1</v>
      </c>
      <c r="N23" s="8">
        <v>0.45614035087719296</v>
      </c>
      <c r="O23" s="8">
        <v>0.38148676360418587</v>
      </c>
      <c r="P23" s="8">
        <v>0.53079393815020004</v>
      </c>
      <c r="Q23" s="8">
        <v>0.52500000000000002</v>
      </c>
      <c r="R23" s="8">
        <v>0.37024220536593322</v>
      </c>
      <c r="S23" s="8">
        <v>0.67975779463406683</v>
      </c>
      <c r="T23" s="16">
        <v>0.96029547553093264</v>
      </c>
      <c r="U23" s="16">
        <v>0.66689869051624118</v>
      </c>
      <c r="V23" s="16">
        <v>1.3827698471132657</v>
      </c>
      <c r="W23" s="8">
        <v>1.035923141186299</v>
      </c>
      <c r="X23" s="8">
        <v>0.74835576525952729</v>
      </c>
      <c r="Y23" s="8">
        <v>1.4339927668936023</v>
      </c>
      <c r="Z23" s="8">
        <v>0.80412371134020622</v>
      </c>
      <c r="AA23" s="8">
        <v>0.72514272159305437</v>
      </c>
      <c r="AB23" s="8">
        <v>0.88310470108735806</v>
      </c>
      <c r="AC23" s="8">
        <v>0.18421052631578946</v>
      </c>
      <c r="AD23" s="8">
        <v>0.1130482361883549</v>
      </c>
      <c r="AE23" s="8">
        <v>0.25537281644322402</v>
      </c>
      <c r="AF23" s="8">
        <v>0.81042654028436023</v>
      </c>
      <c r="AG23" s="8">
        <v>0.75753813900637745</v>
      </c>
      <c r="AH23" s="8">
        <v>0.86331494156234301</v>
      </c>
      <c r="AI23" s="8" t="s">
        <v>81</v>
      </c>
    </row>
  </sheetData>
  <autoFilter ref="A1:AI23">
    <sortState ref="A2:AH23">
      <sortCondition ref="A1:A23"/>
    </sortState>
  </autoFilter>
  <sortState ref="A2:AC32">
    <sortCondition ref="A2:A32"/>
  </sortState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ColWidth="8.85546875" defaultRowHeight="15"/>
  <sheetData>
    <row r="1" spans="1:6">
      <c r="B1" s="21" t="s">
        <v>31</v>
      </c>
      <c r="C1" s="21"/>
      <c r="D1" s="14" t="s">
        <v>37</v>
      </c>
      <c r="E1" s="14" t="s">
        <v>38</v>
      </c>
    </row>
    <row r="2" spans="1:6">
      <c r="A2" s="22" t="s">
        <v>30</v>
      </c>
      <c r="D2" s="23" t="s">
        <v>6</v>
      </c>
      <c r="E2" s="23"/>
      <c r="F2" s="4"/>
    </row>
    <row r="3" spans="1:6">
      <c r="A3" s="22"/>
      <c r="D3" t="s">
        <v>33</v>
      </c>
      <c r="E3" t="s">
        <v>34</v>
      </c>
      <c r="F3" t="s">
        <v>39</v>
      </c>
    </row>
    <row r="4" spans="1:6">
      <c r="A4" t="s">
        <v>38</v>
      </c>
      <c r="B4" s="24" t="s">
        <v>32</v>
      </c>
      <c r="C4" t="s">
        <v>35</v>
      </c>
      <c r="D4" s="5">
        <f>F4-E4</f>
        <v>1534</v>
      </c>
      <c r="E4" s="5">
        <f>0.48*F4</f>
        <v>1416</v>
      </c>
      <c r="F4" s="5">
        <f>F6-F5</f>
        <v>2950</v>
      </c>
    </row>
    <row r="5" spans="1:6">
      <c r="A5" t="s">
        <v>37</v>
      </c>
      <c r="B5" s="24"/>
      <c r="C5" t="s">
        <v>36</v>
      </c>
      <c r="D5" s="5">
        <f>F5-E5</f>
        <v>409.69499999999999</v>
      </c>
      <c r="E5" s="5">
        <f>0.427*F5</f>
        <v>305.30500000000001</v>
      </c>
      <c r="F5" s="5">
        <v>715</v>
      </c>
    </row>
    <row r="6" spans="1:6">
      <c r="B6" s="24"/>
      <c r="C6" t="s">
        <v>39</v>
      </c>
      <c r="D6" s="5">
        <f>SUM(D4:D5)</f>
        <v>1943.6949999999999</v>
      </c>
      <c r="E6" s="5">
        <f>SUM(E4:E5)</f>
        <v>1721.3050000000001</v>
      </c>
      <c r="F6" s="5">
        <v>3665</v>
      </c>
    </row>
    <row r="9" spans="1:6">
      <c r="B9" s="21" t="s">
        <v>31</v>
      </c>
      <c r="C9" s="21"/>
      <c r="D9" s="14" t="s">
        <v>37</v>
      </c>
      <c r="E9" s="14" t="s">
        <v>38</v>
      </c>
    </row>
    <row r="10" spans="1:6">
      <c r="A10" s="22" t="s">
        <v>30</v>
      </c>
      <c r="D10" s="23" t="s">
        <v>6</v>
      </c>
      <c r="E10" s="23"/>
      <c r="F10" s="4"/>
    </row>
    <row r="11" spans="1:6">
      <c r="A11" s="22"/>
      <c r="D11" t="s">
        <v>46</v>
      </c>
      <c r="E11" t="s">
        <v>47</v>
      </c>
      <c r="F11" t="s">
        <v>39</v>
      </c>
    </row>
    <row r="12" spans="1:6">
      <c r="A12" t="s">
        <v>38</v>
      </c>
      <c r="B12" s="24" t="s">
        <v>32</v>
      </c>
      <c r="C12" t="s">
        <v>35</v>
      </c>
      <c r="D12" s="5">
        <f>F12-E12</f>
        <v>1218.3500000000001</v>
      </c>
      <c r="E12" s="5">
        <f>F12*0.587</f>
        <v>1731.6499999999999</v>
      </c>
      <c r="F12" s="5">
        <f>F14-F13</f>
        <v>2950</v>
      </c>
    </row>
    <row r="13" spans="1:6">
      <c r="A13" t="s">
        <v>37</v>
      </c>
      <c r="B13" s="24"/>
      <c r="C13" t="s">
        <v>36</v>
      </c>
      <c r="D13" s="5">
        <f>F13-E13</f>
        <v>331.04499999999996</v>
      </c>
      <c r="E13" s="5">
        <f>F13*0.537</f>
        <v>383.95500000000004</v>
      </c>
      <c r="F13" s="5">
        <v>715</v>
      </c>
    </row>
    <row r="14" spans="1:6">
      <c r="B14" s="24"/>
      <c r="C14" t="s">
        <v>39</v>
      </c>
      <c r="D14" s="5">
        <f>SUM(D12:D13)</f>
        <v>1549.395</v>
      </c>
      <c r="E14" s="5">
        <f>SUM(E12:E13)</f>
        <v>2115.605</v>
      </c>
      <c r="F14" s="5">
        <v>3665</v>
      </c>
    </row>
  </sheetData>
  <mergeCells count="8">
    <mergeCell ref="B12:B14"/>
    <mergeCell ref="B1:C1"/>
    <mergeCell ref="A2:A3"/>
    <mergeCell ref="D2:E2"/>
    <mergeCell ref="B4:B6"/>
    <mergeCell ref="B9:C9"/>
    <mergeCell ref="A10:A11"/>
    <mergeCell ref="D10:E1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10" sqref="E10"/>
    </sheetView>
  </sheetViews>
  <sheetFormatPr defaultColWidth="8.85546875" defaultRowHeight="15"/>
  <sheetData>
    <row r="1" spans="1:6">
      <c r="B1" s="21" t="s">
        <v>31</v>
      </c>
      <c r="C1" s="21"/>
      <c r="D1" s="2" t="s">
        <v>37</v>
      </c>
      <c r="E1" s="2" t="s">
        <v>38</v>
      </c>
    </row>
    <row r="2" spans="1:6">
      <c r="A2" s="22" t="s">
        <v>30</v>
      </c>
      <c r="D2" s="23" t="s">
        <v>6</v>
      </c>
      <c r="E2" s="23"/>
      <c r="F2" s="4"/>
    </row>
    <row r="3" spans="1:6">
      <c r="A3" s="22"/>
      <c r="D3" t="s">
        <v>52</v>
      </c>
      <c r="E3" t="s">
        <v>51</v>
      </c>
      <c r="F3" t="s">
        <v>39</v>
      </c>
    </row>
    <row r="4" spans="1:6">
      <c r="A4" t="s">
        <v>38</v>
      </c>
      <c r="B4" s="24" t="s">
        <v>32</v>
      </c>
      <c r="C4" t="s">
        <v>48</v>
      </c>
      <c r="D4" s="6">
        <f>(F4/(1+D9))*D9</f>
        <v>91.356515763019047</v>
      </c>
      <c r="E4" s="6">
        <f>F4/(1+D9)*1</f>
        <v>160.64348423698092</v>
      </c>
      <c r="F4">
        <v>252</v>
      </c>
    </row>
    <row r="5" spans="1:6">
      <c r="A5" t="s">
        <v>37</v>
      </c>
      <c r="B5" s="24"/>
      <c r="C5" t="s">
        <v>50</v>
      </c>
      <c r="D5" s="6">
        <f>F5/(D10+1)*D10</f>
        <v>112.66258113462027</v>
      </c>
      <c r="E5" s="6">
        <f>F5/(D10+1)*1</f>
        <v>94.33741886537976</v>
      </c>
      <c r="F5">
        <f>F6-F4</f>
        <v>207</v>
      </c>
    </row>
    <row r="6" spans="1:6">
      <c r="B6" s="24"/>
      <c r="C6" t="s">
        <v>39</v>
      </c>
      <c r="D6">
        <f>F6-E6</f>
        <v>211</v>
      </c>
      <c r="E6">
        <v>248</v>
      </c>
      <c r="F6">
        <v>459</v>
      </c>
    </row>
    <row r="8" spans="1:6">
      <c r="C8" t="s">
        <v>56</v>
      </c>
      <c r="D8">
        <f>D6/E6</f>
        <v>0.85080645161290325</v>
      </c>
    </row>
    <row r="9" spans="1:6">
      <c r="C9" t="s">
        <v>53</v>
      </c>
      <c r="D9">
        <f>(459*(211/248))/(207*2.1+252)</f>
        <v>0.56869107512789074</v>
      </c>
    </row>
    <row r="10" spans="1:6">
      <c r="C10" t="s">
        <v>54</v>
      </c>
      <c r="D10">
        <f>2.1*D9</f>
        <v>1.1942512577685707</v>
      </c>
      <c r="E10" t="s">
        <v>57</v>
      </c>
    </row>
    <row r="12" spans="1:6">
      <c r="C12" t="s">
        <v>55</v>
      </c>
    </row>
  </sheetData>
  <mergeCells count="4">
    <mergeCell ref="B1:C1"/>
    <mergeCell ref="A2:A3"/>
    <mergeCell ref="D2:E2"/>
    <mergeCell ref="B4:B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5" sqref="D5"/>
    </sheetView>
  </sheetViews>
  <sheetFormatPr defaultColWidth="8.85546875" defaultRowHeight="15"/>
  <sheetData>
    <row r="1" spans="1:6">
      <c r="B1" s="21" t="s">
        <v>31</v>
      </c>
      <c r="C1" s="21"/>
      <c r="D1" s="2" t="s">
        <v>37</v>
      </c>
      <c r="E1" s="2" t="s">
        <v>38</v>
      </c>
    </row>
    <row r="2" spans="1:6">
      <c r="A2" s="22" t="s">
        <v>30</v>
      </c>
      <c r="D2" s="23" t="s">
        <v>6</v>
      </c>
      <c r="E2" s="23"/>
      <c r="F2" s="4"/>
    </row>
    <row r="3" spans="1:6">
      <c r="A3" s="22"/>
      <c r="D3" t="s">
        <v>46</v>
      </c>
      <c r="E3" t="s">
        <v>47</v>
      </c>
      <c r="F3" t="s">
        <v>39</v>
      </c>
    </row>
    <row r="4" spans="1:6">
      <c r="A4" t="s">
        <v>38</v>
      </c>
      <c r="B4" s="24" t="s">
        <v>32</v>
      </c>
      <c r="C4" t="s">
        <v>48</v>
      </c>
      <c r="D4" s="5">
        <f>F4-E4</f>
        <v>257.46000000000004</v>
      </c>
      <c r="E4" s="5">
        <f>0.58*F4</f>
        <v>355.53999999999996</v>
      </c>
      <c r="F4" s="5">
        <f>202+411</f>
        <v>613</v>
      </c>
    </row>
    <row r="5" spans="1:6">
      <c r="A5" t="s">
        <v>37</v>
      </c>
      <c r="B5" s="24"/>
      <c r="C5" t="s">
        <v>50</v>
      </c>
      <c r="D5" s="5">
        <f>F5-E5</f>
        <v>239.22</v>
      </c>
      <c r="E5" s="5">
        <f>0.46*F5</f>
        <v>203.78</v>
      </c>
      <c r="F5" s="5">
        <f>316+90+37</f>
        <v>443</v>
      </c>
    </row>
    <row r="6" spans="1:6">
      <c r="B6" s="24"/>
      <c r="C6" t="s">
        <v>39</v>
      </c>
      <c r="D6" s="5">
        <f>SUM(D4:D5)</f>
        <v>496.68000000000006</v>
      </c>
      <c r="E6" s="5">
        <f>SUM(E4:E5)</f>
        <v>559.31999999999994</v>
      </c>
      <c r="F6" s="5">
        <f>SUM(F4:F5)</f>
        <v>1056</v>
      </c>
    </row>
    <row r="12" spans="1:6">
      <c r="B12" s="21" t="s">
        <v>31</v>
      </c>
      <c r="C12" s="21"/>
      <c r="D12" s="2" t="s">
        <v>37</v>
      </c>
      <c r="E12" s="2" t="s">
        <v>38</v>
      </c>
    </row>
    <row r="13" spans="1:6">
      <c r="A13" s="22" t="s">
        <v>30</v>
      </c>
      <c r="D13" s="23" t="s">
        <v>6</v>
      </c>
      <c r="E13" s="23"/>
      <c r="F13" s="4"/>
    </row>
    <row r="14" spans="1:6">
      <c r="A14" s="22"/>
      <c r="D14" t="s">
        <v>33</v>
      </c>
      <c r="E14" t="s">
        <v>34</v>
      </c>
      <c r="F14" t="s">
        <v>39</v>
      </c>
    </row>
    <row r="15" spans="1:6">
      <c r="A15" t="s">
        <v>38</v>
      </c>
      <c r="B15" s="24" t="s">
        <v>32</v>
      </c>
      <c r="C15" t="s">
        <v>48</v>
      </c>
      <c r="D15" s="5">
        <f>F15-E15</f>
        <v>300.37</v>
      </c>
      <c r="E15" s="5">
        <f>0.51*F15</f>
        <v>312.63</v>
      </c>
      <c r="F15" s="5">
        <f>202+411</f>
        <v>613</v>
      </c>
    </row>
    <row r="16" spans="1:6">
      <c r="A16" t="s">
        <v>37</v>
      </c>
      <c r="B16" s="24"/>
      <c r="C16" t="s">
        <v>50</v>
      </c>
      <c r="D16" s="5">
        <f t="shared" ref="D16:D17" si="0">F16-E16</f>
        <v>283.52</v>
      </c>
      <c r="E16" s="5">
        <f>0.36*F16</f>
        <v>159.47999999999999</v>
      </c>
      <c r="F16" s="5">
        <f>316+90+37</f>
        <v>443</v>
      </c>
    </row>
    <row r="17" spans="2:6">
      <c r="B17" s="24"/>
      <c r="C17" t="s">
        <v>39</v>
      </c>
      <c r="D17" s="5">
        <f t="shared" si="0"/>
        <v>583.89</v>
      </c>
      <c r="E17" s="5">
        <f>E15+E16</f>
        <v>472.11</v>
      </c>
      <c r="F17" s="5">
        <f>SUM(F15:F16)</f>
        <v>1056</v>
      </c>
    </row>
  </sheetData>
  <mergeCells count="8">
    <mergeCell ref="B15:B17"/>
    <mergeCell ref="B1:C1"/>
    <mergeCell ref="A2:A3"/>
    <mergeCell ref="D2:E2"/>
    <mergeCell ref="B4:B6"/>
    <mergeCell ref="B12:C12"/>
    <mergeCell ref="A13:A14"/>
    <mergeCell ref="D13:E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6" sqref="F6"/>
    </sheetView>
  </sheetViews>
  <sheetFormatPr defaultColWidth="8.85546875" defaultRowHeight="15"/>
  <sheetData>
    <row r="1" spans="1:6">
      <c r="B1" s="21" t="s">
        <v>31</v>
      </c>
      <c r="C1" s="21"/>
      <c r="D1" s="15" t="s">
        <v>37</v>
      </c>
      <c r="E1" s="15" t="s">
        <v>38</v>
      </c>
    </row>
    <row r="2" spans="1:6">
      <c r="A2" s="22" t="s">
        <v>30</v>
      </c>
      <c r="D2" s="23" t="s">
        <v>6</v>
      </c>
      <c r="E2" s="23"/>
      <c r="F2" s="4"/>
    </row>
    <row r="3" spans="1:6">
      <c r="A3" s="22"/>
      <c r="D3" t="s">
        <v>33</v>
      </c>
      <c r="E3" t="s">
        <v>34</v>
      </c>
      <c r="F3" t="s">
        <v>39</v>
      </c>
    </row>
    <row r="4" spans="1:6">
      <c r="A4" t="s">
        <v>38</v>
      </c>
      <c r="B4" s="24" t="s">
        <v>32</v>
      </c>
      <c r="C4" t="s">
        <v>48</v>
      </c>
      <c r="D4">
        <v>93</v>
      </c>
      <c r="E4">
        <v>21</v>
      </c>
      <c r="F4">
        <v>114</v>
      </c>
    </row>
    <row r="5" spans="1:6">
      <c r="A5" t="s">
        <v>37</v>
      </c>
      <c r="B5" s="24"/>
      <c r="C5" t="s">
        <v>49</v>
      </c>
      <c r="D5">
        <v>78</v>
      </c>
      <c r="E5">
        <v>19</v>
      </c>
      <c r="F5">
        <v>97</v>
      </c>
    </row>
    <row r="6" spans="1:6">
      <c r="B6" s="24"/>
      <c r="C6" t="s">
        <v>39</v>
      </c>
    </row>
  </sheetData>
  <mergeCells count="4">
    <mergeCell ref="B1:C1"/>
    <mergeCell ref="A2:A3"/>
    <mergeCell ref="D2:E2"/>
    <mergeCell ref="B4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H15" sqref="H15"/>
    </sheetView>
  </sheetViews>
  <sheetFormatPr defaultColWidth="8.85546875" defaultRowHeight="15"/>
  <sheetData>
    <row r="1" spans="1:6">
      <c r="B1" s="21" t="s">
        <v>31</v>
      </c>
      <c r="C1" s="21"/>
      <c r="D1" s="2" t="s">
        <v>37</v>
      </c>
      <c r="E1" s="2" t="s">
        <v>38</v>
      </c>
    </row>
    <row r="2" spans="1:6">
      <c r="A2" s="22" t="s">
        <v>30</v>
      </c>
      <c r="D2" s="23" t="s">
        <v>6</v>
      </c>
      <c r="E2" s="23"/>
      <c r="F2" s="4"/>
    </row>
    <row r="3" spans="1:6">
      <c r="A3" s="22"/>
      <c r="D3" t="s">
        <v>33</v>
      </c>
      <c r="E3" t="s">
        <v>34</v>
      </c>
      <c r="F3" t="s">
        <v>39</v>
      </c>
    </row>
    <row r="4" spans="1:6">
      <c r="A4" t="s">
        <v>38</v>
      </c>
      <c r="B4" s="24" t="s">
        <v>32</v>
      </c>
      <c r="C4" t="s">
        <v>35</v>
      </c>
    </row>
    <row r="5" spans="1:6">
      <c r="A5" t="s">
        <v>37</v>
      </c>
      <c r="B5" s="24"/>
      <c r="C5" t="s">
        <v>36</v>
      </c>
    </row>
    <row r="6" spans="1:6">
      <c r="B6" s="24"/>
      <c r="C6" t="s">
        <v>39</v>
      </c>
    </row>
  </sheetData>
  <mergeCells count="4">
    <mergeCell ref="B1:C1"/>
    <mergeCell ref="A2:A3"/>
    <mergeCell ref="D2:E2"/>
    <mergeCell ref="B4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B1" workbookViewId="0">
      <selection activeCell="D10" sqref="D10"/>
    </sheetView>
  </sheetViews>
  <sheetFormatPr defaultColWidth="8.85546875" defaultRowHeight="15"/>
  <sheetData>
    <row r="1" spans="1:14">
      <c r="B1" s="21" t="s">
        <v>31</v>
      </c>
      <c r="C1" s="21"/>
      <c r="D1" s="3" t="s">
        <v>37</v>
      </c>
      <c r="E1" s="3" t="s">
        <v>38</v>
      </c>
      <c r="J1" s="21" t="s">
        <v>31</v>
      </c>
      <c r="K1" s="21"/>
      <c r="L1" s="3" t="s">
        <v>37</v>
      </c>
      <c r="M1" s="3" t="s">
        <v>38</v>
      </c>
    </row>
    <row r="2" spans="1:14">
      <c r="A2" s="22" t="s">
        <v>30</v>
      </c>
      <c r="D2" s="23" t="s">
        <v>6</v>
      </c>
      <c r="E2" s="23"/>
      <c r="F2" s="4"/>
      <c r="I2" s="22" t="s">
        <v>30</v>
      </c>
      <c r="L2" s="23" t="s">
        <v>6</v>
      </c>
      <c r="M2" s="23"/>
      <c r="N2" s="4"/>
    </row>
    <row r="3" spans="1:14">
      <c r="A3" s="22"/>
      <c r="D3" t="s">
        <v>59</v>
      </c>
      <c r="E3" t="s">
        <v>60</v>
      </c>
      <c r="F3" t="s">
        <v>39</v>
      </c>
      <c r="I3" s="22"/>
      <c r="L3" t="s">
        <v>52</v>
      </c>
      <c r="M3" t="s">
        <v>51</v>
      </c>
      <c r="N3" t="s">
        <v>39</v>
      </c>
    </row>
    <row r="4" spans="1:14">
      <c r="A4" t="s">
        <v>38</v>
      </c>
      <c r="B4" s="24" t="s">
        <v>32</v>
      </c>
      <c r="C4" t="s">
        <v>48</v>
      </c>
      <c r="D4" s="5">
        <f>(F4/(D8+1))*D8</f>
        <v>465.97829038789808</v>
      </c>
      <c r="E4" s="5">
        <f>(F4/(D8+1))</f>
        <v>206.02170961210194</v>
      </c>
      <c r="F4" s="5">
        <v>672</v>
      </c>
      <c r="I4" t="s">
        <v>38</v>
      </c>
      <c r="J4" s="24" t="s">
        <v>32</v>
      </c>
      <c r="K4" t="s">
        <v>48</v>
      </c>
      <c r="L4" s="5">
        <f>(N4/(L8+1))*L8</f>
        <v>388.67885615400252</v>
      </c>
      <c r="M4" s="5">
        <f>(N4/(L8+1))*1</f>
        <v>283.32114384599743</v>
      </c>
      <c r="N4" s="5">
        <v>672</v>
      </c>
    </row>
    <row r="5" spans="1:14">
      <c r="A5" t="s">
        <v>37</v>
      </c>
      <c r="B5" s="24"/>
      <c r="C5" t="s">
        <v>50</v>
      </c>
      <c r="D5" s="5">
        <f>(F5/(D10+1))*D10</f>
        <v>193.8835714573583</v>
      </c>
      <c r="E5" s="5">
        <f>(F5/(D10+1))*1</f>
        <v>45.116428542641685</v>
      </c>
      <c r="F5" s="5">
        <v>239</v>
      </c>
      <c r="I5" t="s">
        <v>37</v>
      </c>
      <c r="J5" s="24"/>
      <c r="K5" t="s">
        <v>50</v>
      </c>
      <c r="L5" s="5">
        <f>(N5/(L10+1))*L10</f>
        <v>160.83923392532597</v>
      </c>
      <c r="M5" s="5">
        <f>(N5/(L10+1))*1</f>
        <v>78.160766074674044</v>
      </c>
      <c r="N5" s="5">
        <v>239</v>
      </c>
    </row>
    <row r="6" spans="1:14">
      <c r="B6" s="24"/>
      <c r="C6" t="s">
        <v>39</v>
      </c>
      <c r="D6" s="5">
        <v>671</v>
      </c>
      <c r="E6" s="5">
        <f>F6-D6</f>
        <v>240</v>
      </c>
      <c r="F6" s="5">
        <v>911</v>
      </c>
      <c r="J6" s="24"/>
      <c r="K6" t="s">
        <v>39</v>
      </c>
      <c r="L6" s="5">
        <v>554</v>
      </c>
      <c r="M6" s="5">
        <f>N6-L6</f>
        <v>357</v>
      </c>
      <c r="N6" s="5">
        <v>911</v>
      </c>
    </row>
    <row r="7" spans="1:14">
      <c r="D7" s="5"/>
      <c r="L7" s="5"/>
    </row>
    <row r="8" spans="1:14">
      <c r="C8" t="s">
        <v>61</v>
      </c>
      <c r="D8" s="7">
        <v>2.2617921735784199</v>
      </c>
      <c r="K8" t="s">
        <v>61</v>
      </c>
      <c r="L8" s="7">
        <v>1.3718667476694699</v>
      </c>
    </row>
    <row r="9" spans="1:14">
      <c r="C9" t="s">
        <v>62</v>
      </c>
      <c r="D9">
        <f>D6/E6</f>
        <v>2.7958333333333334</v>
      </c>
      <c r="K9" t="s">
        <v>62</v>
      </c>
      <c r="L9">
        <f>L6/M6</f>
        <v>1.5518207282913166</v>
      </c>
    </row>
    <row r="10" spans="1:14">
      <c r="C10" t="s">
        <v>63</v>
      </c>
      <c r="D10">
        <f>D8*1.9</f>
        <v>4.2974051297989977</v>
      </c>
      <c r="E10" t="s">
        <v>65</v>
      </c>
      <c r="K10" t="s">
        <v>63</v>
      </c>
      <c r="L10">
        <f>L8*1.5</f>
        <v>2.0578001215042048</v>
      </c>
      <c r="M10" t="s">
        <v>64</v>
      </c>
    </row>
  </sheetData>
  <mergeCells count="8">
    <mergeCell ref="L2:M2"/>
    <mergeCell ref="J4:J6"/>
    <mergeCell ref="B1:C1"/>
    <mergeCell ref="A2:A3"/>
    <mergeCell ref="D2:E2"/>
    <mergeCell ref="B4:B6"/>
    <mergeCell ref="J1:K1"/>
    <mergeCell ref="I2:I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H4" sqref="H4"/>
    </sheetView>
  </sheetViews>
  <sheetFormatPr defaultColWidth="8.85546875" defaultRowHeight="15"/>
  <sheetData>
    <row r="1" spans="1:6">
      <c r="B1" s="21" t="s">
        <v>31</v>
      </c>
      <c r="C1" s="21"/>
      <c r="D1" s="2" t="s">
        <v>37</v>
      </c>
      <c r="E1" s="2" t="s">
        <v>38</v>
      </c>
    </row>
    <row r="2" spans="1:6">
      <c r="A2" s="22" t="s">
        <v>30</v>
      </c>
      <c r="D2" s="23" t="s">
        <v>6</v>
      </c>
      <c r="E2" s="23"/>
      <c r="F2" s="4"/>
    </row>
    <row r="3" spans="1:6">
      <c r="A3" s="22"/>
      <c r="D3" t="s">
        <v>33</v>
      </c>
      <c r="E3" t="s">
        <v>34</v>
      </c>
      <c r="F3" t="s">
        <v>39</v>
      </c>
    </row>
    <row r="4" spans="1:6" ht="15" customHeight="1">
      <c r="A4" t="s">
        <v>38</v>
      </c>
      <c r="B4" s="24" t="s">
        <v>32</v>
      </c>
      <c r="C4" t="s">
        <v>35</v>
      </c>
      <c r="D4">
        <v>232</v>
      </c>
      <c r="E4">
        <v>22</v>
      </c>
      <c r="F4">
        <v>254</v>
      </c>
    </row>
    <row r="5" spans="1:6">
      <c r="A5" t="s">
        <v>37</v>
      </c>
      <c r="B5" s="24"/>
      <c r="C5" t="s">
        <v>36</v>
      </c>
      <c r="D5">
        <f>566+401+68+7</f>
        <v>1042</v>
      </c>
      <c r="E5">
        <f>80+41+7+4</f>
        <v>132</v>
      </c>
      <c r="F5">
        <v>1174</v>
      </c>
    </row>
    <row r="6" spans="1:6">
      <c r="B6" s="24"/>
      <c r="C6" t="s">
        <v>39</v>
      </c>
      <c r="D6">
        <f>SUM(D4:D5)</f>
        <v>1274</v>
      </c>
      <c r="E6">
        <f>SUM(E4:E5)</f>
        <v>154</v>
      </c>
      <c r="F6">
        <v>1428</v>
      </c>
    </row>
    <row r="11" spans="1:6">
      <c r="B11" s="21" t="s">
        <v>31</v>
      </c>
      <c r="C11" s="21"/>
      <c r="D11" s="2" t="s">
        <v>37</v>
      </c>
      <c r="E11" s="2" t="s">
        <v>38</v>
      </c>
    </row>
    <row r="12" spans="1:6">
      <c r="A12" s="22" t="s">
        <v>30</v>
      </c>
      <c r="D12" s="23" t="s">
        <v>6</v>
      </c>
      <c r="E12" s="23"/>
      <c r="F12" s="4"/>
    </row>
    <row r="13" spans="1:6">
      <c r="A13" s="22"/>
      <c r="D13" t="s">
        <v>33</v>
      </c>
      <c r="E13" t="s">
        <v>34</v>
      </c>
      <c r="F13" t="s">
        <v>39</v>
      </c>
    </row>
    <row r="14" spans="1:6">
      <c r="A14" t="s">
        <v>38</v>
      </c>
      <c r="B14" s="24" t="s">
        <v>32</v>
      </c>
      <c r="C14" t="s">
        <v>41</v>
      </c>
      <c r="D14">
        <f>F14-E14</f>
        <v>798</v>
      </c>
      <c r="E14">
        <f>22+80</f>
        <v>102</v>
      </c>
      <c r="F14">
        <f>254+646</f>
        <v>900</v>
      </c>
    </row>
    <row r="15" spans="1:6">
      <c r="A15" t="s">
        <v>37</v>
      </c>
      <c r="B15" s="24"/>
      <c r="C15" t="s">
        <v>42</v>
      </c>
      <c r="D15">
        <f>F15-E15</f>
        <v>476</v>
      </c>
      <c r="E15">
        <f>41+7+4</f>
        <v>52</v>
      </c>
      <c r="F15">
        <f>442+75+11</f>
        <v>528</v>
      </c>
    </row>
    <row r="16" spans="1:6">
      <c r="B16" s="24"/>
      <c r="C16" t="s">
        <v>39</v>
      </c>
      <c r="D16">
        <v>1274</v>
      </c>
      <c r="E16">
        <v>154</v>
      </c>
      <c r="F16">
        <v>1428</v>
      </c>
    </row>
  </sheetData>
  <mergeCells count="8">
    <mergeCell ref="B14:B16"/>
    <mergeCell ref="D2:E2"/>
    <mergeCell ref="B4:B6"/>
    <mergeCell ref="B1:C1"/>
    <mergeCell ref="A2:A3"/>
    <mergeCell ref="B11:C11"/>
    <mergeCell ref="A12:A13"/>
    <mergeCell ref="D12:E1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6" sqref="F6"/>
    </sheetView>
  </sheetViews>
  <sheetFormatPr defaultColWidth="8.85546875" defaultRowHeight="15"/>
  <sheetData>
    <row r="1" spans="1:6">
      <c r="B1" s="21" t="s">
        <v>31</v>
      </c>
      <c r="C1" s="21"/>
      <c r="D1" s="19" t="s">
        <v>37</v>
      </c>
      <c r="E1" s="19" t="s">
        <v>38</v>
      </c>
    </row>
    <row r="2" spans="1:6">
      <c r="A2" s="22" t="s">
        <v>30</v>
      </c>
      <c r="D2" s="23" t="s">
        <v>6</v>
      </c>
      <c r="E2" s="23"/>
      <c r="F2" s="4"/>
    </row>
    <row r="3" spans="1:6">
      <c r="A3" s="22"/>
      <c r="D3" t="s">
        <v>46</v>
      </c>
      <c r="E3" t="s">
        <v>47</v>
      </c>
      <c r="F3" t="s">
        <v>39</v>
      </c>
    </row>
    <row r="4" spans="1:6">
      <c r="A4" t="s">
        <v>38</v>
      </c>
      <c r="B4" s="24" t="s">
        <v>32</v>
      </c>
      <c r="C4" t="s">
        <v>48</v>
      </c>
      <c r="D4">
        <v>45</v>
      </c>
      <c r="E4">
        <v>46</v>
      </c>
    </row>
    <row r="5" spans="1:6">
      <c r="A5" t="s">
        <v>37</v>
      </c>
      <c r="B5" s="24"/>
      <c r="C5" t="s">
        <v>50</v>
      </c>
      <c r="D5">
        <v>21</v>
      </c>
      <c r="E5">
        <v>23</v>
      </c>
    </row>
    <row r="6" spans="1:6">
      <c r="B6" s="24"/>
      <c r="C6" t="s">
        <v>39</v>
      </c>
      <c r="F6">
        <f>SUM(D4:E5)</f>
        <v>135</v>
      </c>
    </row>
  </sheetData>
  <mergeCells count="4">
    <mergeCell ref="B1:C1"/>
    <mergeCell ref="A2:A3"/>
    <mergeCell ref="D2:E2"/>
    <mergeCell ref="B4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22" sqref="E22"/>
    </sheetView>
  </sheetViews>
  <sheetFormatPr defaultColWidth="8.85546875" defaultRowHeight="15"/>
  <sheetData>
    <row r="1" spans="1:6">
      <c r="B1" s="21" t="s">
        <v>31</v>
      </c>
      <c r="C1" s="21"/>
      <c r="D1" s="17" t="s">
        <v>37</v>
      </c>
      <c r="E1" s="17" t="s">
        <v>38</v>
      </c>
    </row>
    <row r="2" spans="1:6">
      <c r="A2" s="22" t="s">
        <v>30</v>
      </c>
      <c r="D2" s="23" t="s">
        <v>6</v>
      </c>
      <c r="E2" s="23"/>
      <c r="F2" s="4"/>
    </row>
    <row r="3" spans="1:6">
      <c r="A3" s="22"/>
      <c r="D3" t="s">
        <v>33</v>
      </c>
      <c r="E3" t="s">
        <v>34</v>
      </c>
      <c r="F3" t="s">
        <v>39</v>
      </c>
    </row>
    <row r="4" spans="1:6">
      <c r="A4" t="s">
        <v>38</v>
      </c>
      <c r="B4" s="24" t="s">
        <v>32</v>
      </c>
      <c r="C4" t="s">
        <v>48</v>
      </c>
      <c r="D4">
        <v>573</v>
      </c>
      <c r="E4">
        <v>630</v>
      </c>
    </row>
    <row r="5" spans="1:6">
      <c r="A5" t="s">
        <v>37</v>
      </c>
      <c r="B5" s="24"/>
      <c r="C5" t="s">
        <v>50</v>
      </c>
      <c r="D5">
        <v>170</v>
      </c>
      <c r="E5">
        <v>151</v>
      </c>
    </row>
    <row r="6" spans="1:6">
      <c r="B6" s="24"/>
      <c r="C6" t="s">
        <v>39</v>
      </c>
      <c r="F6">
        <f>SUM(D4:E5)</f>
        <v>1524</v>
      </c>
    </row>
    <row r="9" spans="1:6">
      <c r="B9" s="21" t="s">
        <v>31</v>
      </c>
      <c r="C9" s="21"/>
      <c r="D9" s="18" t="s">
        <v>37</v>
      </c>
      <c r="E9" s="18" t="s">
        <v>38</v>
      </c>
    </row>
    <row r="10" spans="1:6">
      <c r="A10" s="22" t="s">
        <v>30</v>
      </c>
      <c r="D10" s="23" t="s">
        <v>6</v>
      </c>
      <c r="E10" s="23"/>
      <c r="F10" s="4"/>
    </row>
    <row r="11" spans="1:6">
      <c r="A11" s="22"/>
      <c r="D11" t="s">
        <v>46</v>
      </c>
      <c r="E11" t="s">
        <v>47</v>
      </c>
      <c r="F11" t="s">
        <v>39</v>
      </c>
    </row>
    <row r="12" spans="1:6">
      <c r="A12" t="s">
        <v>38</v>
      </c>
      <c r="B12" s="24" t="s">
        <v>32</v>
      </c>
      <c r="C12" t="s">
        <v>48</v>
      </c>
      <c r="D12">
        <v>456</v>
      </c>
      <c r="E12">
        <v>748</v>
      </c>
    </row>
    <row r="13" spans="1:6">
      <c r="A13" t="s">
        <v>37</v>
      </c>
      <c r="B13" s="24"/>
      <c r="C13" t="s">
        <v>50</v>
      </c>
      <c r="D13">
        <v>142</v>
      </c>
      <c r="E13">
        <v>178</v>
      </c>
    </row>
    <row r="14" spans="1:6">
      <c r="B14" s="24"/>
      <c r="C14" t="s">
        <v>39</v>
      </c>
      <c r="F14">
        <f>SUM(D12:E13)</f>
        <v>1524</v>
      </c>
    </row>
    <row r="17" spans="1:6">
      <c r="B17" s="21" t="s">
        <v>31</v>
      </c>
      <c r="C17" s="21"/>
      <c r="D17" s="18" t="s">
        <v>37</v>
      </c>
      <c r="E17" s="18" t="s">
        <v>38</v>
      </c>
    </row>
    <row r="18" spans="1:6">
      <c r="A18" s="22" t="s">
        <v>30</v>
      </c>
      <c r="D18" s="23" t="s">
        <v>6</v>
      </c>
      <c r="E18" s="23"/>
      <c r="F18" s="4"/>
    </row>
    <row r="19" spans="1:6">
      <c r="A19" s="22"/>
      <c r="D19" t="s">
        <v>46</v>
      </c>
      <c r="E19" t="s">
        <v>47</v>
      </c>
      <c r="F19" t="s">
        <v>39</v>
      </c>
    </row>
    <row r="20" spans="1:6">
      <c r="A20" t="s">
        <v>38</v>
      </c>
      <c r="B20" s="24" t="s">
        <v>32</v>
      </c>
      <c r="C20" t="s">
        <v>35</v>
      </c>
      <c r="D20">
        <v>564</v>
      </c>
      <c r="E20">
        <v>886</v>
      </c>
    </row>
    <row r="21" spans="1:6">
      <c r="A21" t="s">
        <v>37</v>
      </c>
      <c r="B21" s="24"/>
      <c r="C21" t="s">
        <v>36</v>
      </c>
      <c r="D21">
        <v>35</v>
      </c>
      <c r="E21">
        <v>39</v>
      </c>
    </row>
    <row r="22" spans="1:6">
      <c r="B22" s="24"/>
      <c r="C22" t="s">
        <v>39</v>
      </c>
      <c r="F22">
        <f>SUM(D20:E21)</f>
        <v>1524</v>
      </c>
    </row>
  </sheetData>
  <mergeCells count="12">
    <mergeCell ref="B1:C1"/>
    <mergeCell ref="A2:A3"/>
    <mergeCell ref="D2:E2"/>
    <mergeCell ref="B4:B6"/>
    <mergeCell ref="B9:C9"/>
    <mergeCell ref="B20:B22"/>
    <mergeCell ref="A10:A11"/>
    <mergeCell ref="D10:E10"/>
    <mergeCell ref="B12:B14"/>
    <mergeCell ref="B17:C17"/>
    <mergeCell ref="A18:A19"/>
    <mergeCell ref="D18:E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13" sqref="D13"/>
    </sheetView>
  </sheetViews>
  <sheetFormatPr defaultColWidth="8.85546875" defaultRowHeight="15"/>
  <sheetData>
    <row r="1" spans="1:6">
      <c r="B1" s="21" t="s">
        <v>31</v>
      </c>
      <c r="C1" s="21"/>
      <c r="D1" s="2" t="s">
        <v>37</v>
      </c>
      <c r="E1" s="2" t="s">
        <v>38</v>
      </c>
    </row>
    <row r="2" spans="1:6">
      <c r="A2" s="22" t="s">
        <v>30</v>
      </c>
      <c r="D2" s="23" t="s">
        <v>6</v>
      </c>
      <c r="E2" s="23"/>
      <c r="F2" s="4"/>
    </row>
    <row r="3" spans="1:6">
      <c r="A3" s="22"/>
      <c r="D3" t="s">
        <v>46</v>
      </c>
      <c r="E3" t="s">
        <v>47</v>
      </c>
      <c r="F3" t="s">
        <v>39</v>
      </c>
    </row>
    <row r="4" spans="1:6">
      <c r="A4" t="s">
        <v>38</v>
      </c>
      <c r="B4" s="24" t="s">
        <v>32</v>
      </c>
      <c r="C4" t="s">
        <v>48</v>
      </c>
      <c r="D4">
        <v>504</v>
      </c>
      <c r="E4">
        <v>412</v>
      </c>
      <c r="F4" s="1">
        <v>916</v>
      </c>
    </row>
    <row r="5" spans="1:6">
      <c r="A5" t="s">
        <v>37</v>
      </c>
      <c r="B5" s="24"/>
      <c r="C5" t="s">
        <v>49</v>
      </c>
      <c r="D5">
        <v>263</v>
      </c>
      <c r="E5">
        <v>129</v>
      </c>
      <c r="F5" s="1">
        <v>392</v>
      </c>
    </row>
    <row r="6" spans="1:6">
      <c r="B6" s="24"/>
      <c r="C6" t="s">
        <v>39</v>
      </c>
      <c r="D6" s="1">
        <v>772</v>
      </c>
      <c r="E6" s="1">
        <v>536</v>
      </c>
      <c r="F6" s="1">
        <v>1308</v>
      </c>
    </row>
  </sheetData>
  <mergeCells count="4">
    <mergeCell ref="B1:C1"/>
    <mergeCell ref="A2:A3"/>
    <mergeCell ref="D2:E2"/>
    <mergeCell ref="B4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16" sqref="D16"/>
    </sheetView>
  </sheetViews>
  <sheetFormatPr defaultColWidth="8.85546875" defaultRowHeight="15"/>
  <sheetData>
    <row r="1" spans="1:6">
      <c r="B1" s="21" t="s">
        <v>31</v>
      </c>
      <c r="C1" s="21"/>
      <c r="D1" s="2" t="s">
        <v>37</v>
      </c>
      <c r="E1" s="2" t="s">
        <v>38</v>
      </c>
    </row>
    <row r="2" spans="1:6">
      <c r="A2" s="22" t="s">
        <v>30</v>
      </c>
      <c r="D2" s="23" t="s">
        <v>6</v>
      </c>
      <c r="E2" s="23"/>
      <c r="F2" s="4"/>
    </row>
    <row r="3" spans="1:6">
      <c r="A3" s="22"/>
      <c r="D3" t="s">
        <v>46</v>
      </c>
      <c r="E3" t="s">
        <v>47</v>
      </c>
      <c r="F3" t="s">
        <v>39</v>
      </c>
    </row>
    <row r="4" spans="1:6">
      <c r="A4" t="s">
        <v>38</v>
      </c>
      <c r="B4" s="24" t="s">
        <v>32</v>
      </c>
      <c r="C4" t="s">
        <v>41</v>
      </c>
      <c r="D4">
        <v>149</v>
      </c>
      <c r="E4">
        <v>78</v>
      </c>
      <c r="F4">
        <f>SUM(D4:E4)</f>
        <v>227</v>
      </c>
    </row>
    <row r="5" spans="1:6">
      <c r="A5" t="s">
        <v>37</v>
      </c>
      <c r="B5" s="24"/>
      <c r="C5" t="s">
        <v>42</v>
      </c>
      <c r="D5">
        <v>96</v>
      </c>
      <c r="E5">
        <v>57</v>
      </c>
      <c r="F5">
        <f>SUM(D5:E5)</f>
        <v>153</v>
      </c>
    </row>
    <row r="6" spans="1:6">
      <c r="B6" s="24"/>
      <c r="C6" t="s">
        <v>39</v>
      </c>
      <c r="D6">
        <f>SUM(D4:D5)</f>
        <v>245</v>
      </c>
      <c r="E6">
        <f t="shared" ref="E6:F6" si="0">SUM(E4:E5)</f>
        <v>135</v>
      </c>
      <c r="F6">
        <f t="shared" si="0"/>
        <v>380</v>
      </c>
    </row>
    <row r="9" spans="1:6">
      <c r="C9" t="s">
        <v>66</v>
      </c>
      <c r="D9">
        <f>(D5+E4)/F6</f>
        <v>0.45789473684210524</v>
      </c>
    </row>
    <row r="10" spans="1:6">
      <c r="C10" t="s">
        <v>67</v>
      </c>
      <c r="D10">
        <f>D5/D6</f>
        <v>0.39183673469387753</v>
      </c>
    </row>
    <row r="11" spans="1:6">
      <c r="C11" t="s">
        <v>68</v>
      </c>
      <c r="D11">
        <f>E4/E6</f>
        <v>0.57777777777777772</v>
      </c>
    </row>
    <row r="12" spans="1:6">
      <c r="C12" t="s">
        <v>69</v>
      </c>
      <c r="D12">
        <f>D6/F6</f>
        <v>0.64473684210526316</v>
      </c>
    </row>
    <row r="14" spans="1:6">
      <c r="C14" t="s">
        <v>70</v>
      </c>
      <c r="D14">
        <f>D12*D10</f>
        <v>0.25263157894736843</v>
      </c>
    </row>
    <row r="15" spans="1:6">
      <c r="C15" t="s">
        <v>71</v>
      </c>
      <c r="D15">
        <f>(1-D12)*D11</f>
        <v>0.20526315789473681</v>
      </c>
    </row>
    <row r="16" spans="1:6">
      <c r="D16">
        <f>SUM(D14:D15)</f>
        <v>0.45789473684210524</v>
      </c>
    </row>
  </sheetData>
  <mergeCells count="4">
    <mergeCell ref="B1:C1"/>
    <mergeCell ref="A2:A3"/>
    <mergeCell ref="D2:E2"/>
    <mergeCell ref="B4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7" sqref="D7"/>
    </sheetView>
  </sheetViews>
  <sheetFormatPr defaultColWidth="8.85546875" defaultRowHeight="15"/>
  <sheetData>
    <row r="1" spans="1:6">
      <c r="B1" s="21" t="s">
        <v>31</v>
      </c>
      <c r="C1" s="21"/>
      <c r="D1" s="2" t="s">
        <v>37</v>
      </c>
      <c r="E1" s="2" t="s">
        <v>38</v>
      </c>
    </row>
    <row r="2" spans="1:6">
      <c r="A2" s="22" t="s">
        <v>30</v>
      </c>
      <c r="D2" s="23" t="s">
        <v>6</v>
      </c>
      <c r="E2" s="23"/>
      <c r="F2" s="4"/>
    </row>
    <row r="3" spans="1:6">
      <c r="A3" s="22"/>
      <c r="D3" t="s">
        <v>33</v>
      </c>
      <c r="E3" t="s">
        <v>34</v>
      </c>
      <c r="F3" t="s">
        <v>39</v>
      </c>
    </row>
    <row r="4" spans="1:6">
      <c r="A4" t="s">
        <v>38</v>
      </c>
      <c r="B4" s="24" t="s">
        <v>32</v>
      </c>
      <c r="C4" t="s">
        <v>35</v>
      </c>
      <c r="D4" t="s">
        <v>58</v>
      </c>
      <c r="E4" t="s">
        <v>58</v>
      </c>
      <c r="F4">
        <f>189+435+288</f>
        <v>912</v>
      </c>
    </row>
    <row r="5" spans="1:6">
      <c r="A5" t="s">
        <v>37</v>
      </c>
      <c r="B5" s="24"/>
      <c r="C5" t="s">
        <v>36</v>
      </c>
      <c r="D5" t="s">
        <v>58</v>
      </c>
      <c r="E5" t="s">
        <v>58</v>
      </c>
      <c r="F5">
        <f>127+44+5+1</f>
        <v>177</v>
      </c>
    </row>
    <row r="6" spans="1:6">
      <c r="B6" s="24"/>
      <c r="C6" t="s">
        <v>39</v>
      </c>
      <c r="D6" t="s">
        <v>58</v>
      </c>
      <c r="E6" t="s">
        <v>58</v>
      </c>
      <c r="F6">
        <f>SUM(F4:F5)</f>
        <v>1089</v>
      </c>
    </row>
  </sheetData>
  <mergeCells count="4">
    <mergeCell ref="B1:C1"/>
    <mergeCell ref="A2:A3"/>
    <mergeCell ref="D2:E2"/>
    <mergeCell ref="B4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overview</vt:lpstr>
      <vt:lpstr>empty_2x2</vt:lpstr>
      <vt:lpstr>Abumuaileq</vt:lpstr>
      <vt:lpstr>Chan</vt:lpstr>
      <vt:lpstr>Demelo</vt:lpstr>
      <vt:lpstr>Lobos</vt:lpstr>
      <vt:lpstr>Palareti</vt:lpstr>
      <vt:lpstr>Park</vt:lpstr>
      <vt:lpstr>Poli</vt:lpstr>
      <vt:lpstr>Proietti</vt:lpstr>
      <vt:lpstr>Roldan</vt:lpstr>
      <vt:lpstr>Ruiz</vt:lpstr>
      <vt:lpstr>Szymanski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Miert, JHA van (onco)</dc:creator>
  <cp:lastModifiedBy>JHA van Miert</cp:lastModifiedBy>
  <dcterms:created xsi:type="dcterms:W3CDTF">2016-10-26T10:12:36Z</dcterms:created>
  <dcterms:modified xsi:type="dcterms:W3CDTF">2017-08-22T13:41:21Z</dcterms:modified>
</cp:coreProperties>
</file>