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W18" i="1" l="1"/>
  <c r="V18" i="1" s="1"/>
  <c r="W19" i="1"/>
  <c r="W20" i="1"/>
  <c r="W21" i="1"/>
  <c r="V21" i="1" s="1"/>
  <c r="W22" i="1"/>
  <c r="W23" i="1"/>
  <c r="W24" i="1"/>
  <c r="V24" i="1" s="1"/>
  <c r="W25" i="1"/>
  <c r="V25" i="1" s="1"/>
  <c r="W26" i="1"/>
  <c r="V26" i="1" s="1"/>
  <c r="W27" i="1"/>
  <c r="W28" i="1"/>
  <c r="W29" i="1"/>
  <c r="V29" i="1" s="1"/>
  <c r="W30" i="1"/>
  <c r="W31" i="1"/>
  <c r="W32" i="1"/>
  <c r="V32" i="1" s="1"/>
  <c r="W33" i="1"/>
  <c r="V33" i="1" s="1"/>
  <c r="W34" i="1"/>
  <c r="V34" i="1" s="1"/>
  <c r="W35" i="1"/>
  <c r="W36" i="1"/>
  <c r="W37" i="1"/>
  <c r="V37" i="1" s="1"/>
  <c r="W38" i="1"/>
  <c r="V38" i="1" s="1"/>
  <c r="W39" i="1"/>
  <c r="V39" i="1" s="1"/>
  <c r="W40" i="1"/>
  <c r="V40" i="1" s="1"/>
  <c r="W41" i="1"/>
  <c r="V41" i="1" s="1"/>
  <c r="W42" i="1"/>
  <c r="V42" i="1" s="1"/>
  <c r="W43" i="1"/>
  <c r="W44" i="1"/>
  <c r="V44" i="1" s="1"/>
  <c r="W45" i="1"/>
  <c r="V45" i="1" s="1"/>
  <c r="W46" i="1"/>
  <c r="V46" i="1" s="1"/>
  <c r="W47" i="1"/>
  <c r="W48" i="1"/>
  <c r="V48" i="1" s="1"/>
  <c r="W49" i="1"/>
  <c r="V49" i="1" s="1"/>
  <c r="W50" i="1"/>
  <c r="V50" i="1" s="1"/>
  <c r="W51" i="1"/>
  <c r="W52" i="1"/>
  <c r="W17" i="1"/>
  <c r="V17" i="1" s="1"/>
  <c r="T18" i="1"/>
  <c r="U18" i="1" s="1"/>
  <c r="T19" i="1"/>
  <c r="T20" i="1"/>
  <c r="T21" i="1"/>
  <c r="T22" i="1"/>
  <c r="T23" i="1"/>
  <c r="T24" i="1"/>
  <c r="T25" i="1"/>
  <c r="T26" i="1"/>
  <c r="U26" i="1" s="1"/>
  <c r="T27" i="1"/>
  <c r="T28" i="1"/>
  <c r="T29" i="1"/>
  <c r="T30" i="1"/>
  <c r="T31" i="1"/>
  <c r="T32" i="1"/>
  <c r="T33" i="1"/>
  <c r="T34" i="1"/>
  <c r="U34" i="1" s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U50" i="1" s="1"/>
  <c r="T51" i="1"/>
  <c r="T52" i="1"/>
  <c r="T17" i="1"/>
  <c r="V22" i="1"/>
  <c r="V31" i="1"/>
  <c r="V51" i="1"/>
  <c r="U42" i="1" l="1"/>
  <c r="U52" i="1"/>
  <c r="U36" i="1"/>
  <c r="U28" i="1"/>
  <c r="U20" i="1"/>
  <c r="V20" i="1"/>
  <c r="U51" i="1"/>
  <c r="U43" i="1"/>
  <c r="U35" i="1"/>
  <c r="U27" i="1"/>
  <c r="U19" i="1"/>
  <c r="V36" i="1"/>
  <c r="V19" i="1"/>
  <c r="V52" i="1"/>
  <c r="V35" i="1"/>
  <c r="U49" i="1"/>
  <c r="U33" i="1"/>
  <c r="U47" i="1"/>
  <c r="U39" i="1"/>
  <c r="U31" i="1"/>
  <c r="U23" i="1"/>
  <c r="V47" i="1"/>
  <c r="V27" i="1"/>
  <c r="U38" i="1"/>
  <c r="U30" i="1"/>
  <c r="U22" i="1"/>
  <c r="V43" i="1"/>
  <c r="V23" i="1"/>
  <c r="U41" i="1"/>
  <c r="U25" i="1"/>
  <c r="V30" i="1"/>
  <c r="U48" i="1"/>
  <c r="U40" i="1"/>
  <c r="U32" i="1"/>
  <c r="U24" i="1"/>
  <c r="V28" i="1"/>
  <c r="U46" i="1"/>
  <c r="U17" i="1"/>
  <c r="U45" i="1"/>
  <c r="U37" i="1"/>
  <c r="U29" i="1"/>
  <c r="U21" i="1"/>
  <c r="U44" i="1"/>
  <c r="T53" i="1"/>
  <c r="W53" i="1"/>
  <c r="T54" i="1"/>
  <c r="V54" i="1" l="1"/>
  <c r="V53" i="1"/>
  <c r="U53" i="1"/>
  <c r="U54" i="1"/>
  <c r="W54" i="1"/>
  <c r="C40" i="1"/>
  <c r="C39" i="1"/>
  <c r="C38" i="1"/>
  <c r="B40" i="1"/>
  <c r="B39" i="1"/>
  <c r="B38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M17" i="1"/>
  <c r="L17" i="1"/>
  <c r="Q20" i="1" l="1"/>
  <c r="Q28" i="1"/>
  <c r="Q36" i="1"/>
  <c r="Q44" i="1"/>
  <c r="Q52" i="1"/>
  <c r="Q22" i="1"/>
  <c r="Q38" i="1"/>
  <c r="Q23" i="1"/>
  <c r="Q39" i="1"/>
  <c r="Q42" i="1"/>
  <c r="Q35" i="1"/>
  <c r="Q51" i="1"/>
  <c r="Q21" i="1"/>
  <c r="Q29" i="1"/>
  <c r="Q37" i="1"/>
  <c r="Q45" i="1"/>
  <c r="Q17" i="1"/>
  <c r="Q30" i="1"/>
  <c r="Q46" i="1"/>
  <c r="Q31" i="1"/>
  <c r="Q47" i="1"/>
  <c r="Q50" i="1"/>
  <c r="Q27" i="1"/>
  <c r="Q24" i="1"/>
  <c r="Q32" i="1"/>
  <c r="Q40" i="1"/>
  <c r="Q48" i="1"/>
  <c r="Q25" i="1"/>
  <c r="Q33" i="1"/>
  <c r="Q41" i="1"/>
  <c r="Q49" i="1"/>
  <c r="Q18" i="1"/>
  <c r="Q26" i="1"/>
  <c r="Q34" i="1"/>
  <c r="Q19" i="1"/>
  <c r="Q43" i="1"/>
  <c r="AB17" i="1"/>
  <c r="AB18" i="1" s="1"/>
  <c r="M54" i="1"/>
  <c r="S16" i="1" s="1"/>
  <c r="L53" i="1"/>
  <c r="L54" i="1"/>
  <c r="M53" i="1"/>
  <c r="X25" i="1" l="1"/>
  <c r="X33" i="1"/>
  <c r="X41" i="1"/>
  <c r="X49" i="1"/>
  <c r="X18" i="1"/>
  <c r="X26" i="1"/>
  <c r="X34" i="1"/>
  <c r="X42" i="1"/>
  <c r="X50" i="1"/>
  <c r="X19" i="1"/>
  <c r="X27" i="1"/>
  <c r="X35" i="1"/>
  <c r="X43" i="1"/>
  <c r="X51" i="1"/>
  <c r="X20" i="1"/>
  <c r="X28" i="1"/>
  <c r="X36" i="1"/>
  <c r="X44" i="1"/>
  <c r="X52" i="1"/>
  <c r="X21" i="1"/>
  <c r="X29" i="1"/>
  <c r="X37" i="1"/>
  <c r="X45" i="1"/>
  <c r="X17" i="1"/>
  <c r="X22" i="1"/>
  <c r="X30" i="1"/>
  <c r="X38" i="1"/>
  <c r="X46" i="1"/>
  <c r="X23" i="1"/>
  <c r="X31" i="1"/>
  <c r="X39" i="1"/>
  <c r="X47" i="1"/>
  <c r="X24" i="1"/>
  <c r="X32" i="1"/>
  <c r="X40" i="1"/>
  <c r="X48" i="1"/>
  <c r="Q53" i="1"/>
  <c r="AB16" i="1"/>
  <c r="S17" i="1"/>
  <c r="S18" i="1" l="1"/>
  <c r="S22" i="1"/>
  <c r="AB22" i="1" s="1"/>
  <c r="O37" i="1" l="1"/>
  <c r="P19" i="1"/>
  <c r="P27" i="1"/>
  <c r="P35" i="1"/>
  <c r="P43" i="1"/>
  <c r="P51" i="1"/>
  <c r="P20" i="1"/>
  <c r="P28" i="1"/>
  <c r="P36" i="1"/>
  <c r="P44" i="1"/>
  <c r="P52" i="1"/>
  <c r="P21" i="1"/>
  <c r="P29" i="1"/>
  <c r="P37" i="1"/>
  <c r="P45" i="1"/>
  <c r="P17" i="1"/>
  <c r="P22" i="1"/>
  <c r="P30" i="1"/>
  <c r="P38" i="1"/>
  <c r="P46" i="1"/>
  <c r="N17" i="1"/>
  <c r="P26" i="1"/>
  <c r="P42" i="1"/>
  <c r="P23" i="1"/>
  <c r="P31" i="1"/>
  <c r="P39" i="1"/>
  <c r="P47" i="1"/>
  <c r="P24" i="1"/>
  <c r="P32" i="1"/>
  <c r="P40" i="1"/>
  <c r="P48" i="1"/>
  <c r="P25" i="1"/>
  <c r="P33" i="1"/>
  <c r="P41" i="1"/>
  <c r="P49" i="1"/>
  <c r="P18" i="1"/>
  <c r="P34" i="1"/>
  <c r="P50" i="1"/>
  <c r="O28" i="1"/>
  <c r="O48" i="1"/>
  <c r="N52" i="1"/>
  <c r="O18" i="1"/>
  <c r="O21" i="1"/>
  <c r="N20" i="1"/>
  <c r="O36" i="1"/>
  <c r="O25" i="1"/>
  <c r="N45" i="1"/>
  <c r="N37" i="1"/>
  <c r="O40" i="1"/>
  <c r="O43" i="1"/>
  <c r="O50" i="1"/>
  <c r="N30" i="1"/>
  <c r="N50" i="1"/>
  <c r="N23" i="1"/>
  <c r="N19" i="1"/>
  <c r="O42" i="1"/>
  <c r="O38" i="1"/>
  <c r="O20" i="1"/>
  <c r="N21" i="1"/>
  <c r="N24" i="1"/>
  <c r="O23" i="1"/>
  <c r="N38" i="1"/>
  <c r="N31" i="1"/>
  <c r="N27" i="1"/>
  <c r="O46" i="1"/>
  <c r="N41" i="1"/>
  <c r="N22" i="1"/>
  <c r="N42" i="1"/>
  <c r="O34" i="1"/>
  <c r="O29" i="1"/>
  <c r="N33" i="1"/>
  <c r="N39" i="1"/>
  <c r="N29" i="1"/>
  <c r="N26" i="1"/>
  <c r="N40" i="1"/>
  <c r="O51" i="1"/>
  <c r="O26" i="1"/>
  <c r="O32" i="1"/>
  <c r="O30" i="1"/>
  <c r="N44" i="1"/>
  <c r="O35" i="1"/>
  <c r="O47" i="1"/>
  <c r="N48" i="1"/>
  <c r="N49" i="1"/>
  <c r="N36" i="1"/>
  <c r="N43" i="1"/>
  <c r="O52" i="1"/>
  <c r="O27" i="1"/>
  <c r="O41" i="1"/>
  <c r="O39" i="1"/>
  <c r="O45" i="1"/>
  <c r="O24" i="1"/>
  <c r="O22" i="1"/>
  <c r="N51" i="1"/>
  <c r="O49" i="1"/>
  <c r="O17" i="1"/>
  <c r="N34" i="1"/>
  <c r="N18" i="1"/>
  <c r="N32" i="1"/>
  <c r="N46" i="1"/>
  <c r="N25" i="1"/>
  <c r="N47" i="1"/>
  <c r="N28" i="1"/>
  <c r="N35" i="1"/>
  <c r="O44" i="1"/>
  <c r="O19" i="1"/>
  <c r="O33" i="1"/>
  <c r="O31" i="1"/>
  <c r="Y50" i="1" l="1"/>
  <c r="Z50" i="1"/>
  <c r="Y28" i="1"/>
  <c r="Z28" i="1"/>
  <c r="Y30" i="1"/>
  <c r="Z30" i="1"/>
  <c r="Y32" i="1"/>
  <c r="Z32" i="1"/>
  <c r="Y20" i="1"/>
  <c r="Z20" i="1"/>
  <c r="Y40" i="1"/>
  <c r="Z40" i="1"/>
  <c r="Y45" i="1"/>
  <c r="Z45" i="1"/>
  <c r="Y33" i="1"/>
  <c r="Z33" i="1"/>
  <c r="Y41" i="1"/>
  <c r="Z41" i="1"/>
  <c r="Y34" i="1"/>
  <c r="Z34" i="1"/>
  <c r="Y27" i="1"/>
  <c r="Z27" i="1"/>
  <c r="Y37" i="1"/>
  <c r="Z37" i="1"/>
  <c r="Y22" i="1"/>
  <c r="Z22" i="1"/>
  <c r="Y21" i="1"/>
  <c r="Z21" i="1"/>
  <c r="Y52" i="1"/>
  <c r="Z52" i="1"/>
  <c r="Y17" i="1"/>
  <c r="Z17" i="1"/>
  <c r="X53" i="1"/>
  <c r="Y18" i="1"/>
  <c r="Z18" i="1"/>
  <c r="Y26" i="1"/>
  <c r="Z26" i="1"/>
  <c r="Y29" i="1"/>
  <c r="Z29" i="1"/>
  <c r="Y47" i="1"/>
  <c r="Z47" i="1"/>
  <c r="Y36" i="1"/>
  <c r="Z36" i="1"/>
  <c r="Y42" i="1"/>
  <c r="Z42" i="1"/>
  <c r="Y44" i="1"/>
  <c r="Z44" i="1"/>
  <c r="Y43" i="1"/>
  <c r="Z43" i="1"/>
  <c r="Y25" i="1"/>
  <c r="Z25" i="1"/>
  <c r="Y48" i="1"/>
  <c r="Z48" i="1"/>
  <c r="Y38" i="1"/>
  <c r="Z38" i="1"/>
  <c r="Y31" i="1"/>
  <c r="Z31" i="1"/>
  <c r="Y35" i="1"/>
  <c r="Z35" i="1"/>
  <c r="Y49" i="1"/>
  <c r="Z49" i="1"/>
  <c r="Y24" i="1"/>
  <c r="Z24" i="1"/>
  <c r="Y19" i="1"/>
  <c r="Z19" i="1"/>
  <c r="Y23" i="1"/>
  <c r="Z23" i="1"/>
  <c r="Y51" i="1"/>
  <c r="Z51" i="1"/>
  <c r="Y46" i="1"/>
  <c r="Z46" i="1"/>
  <c r="Y39" i="1"/>
  <c r="Z39" i="1"/>
  <c r="P53" i="1"/>
  <c r="N54" i="1"/>
  <c r="N53" i="1"/>
  <c r="S19" i="1" s="1"/>
  <c r="O53" i="1"/>
  <c r="S20" i="1" l="1"/>
  <c r="S21" i="1"/>
  <c r="Y53" i="1"/>
  <c r="AB19" i="1" s="1"/>
  <c r="Z53" i="1"/>
  <c r="AB21" i="1" s="1"/>
  <c r="Y54" i="1" l="1"/>
  <c r="AB20" i="1"/>
</calcChain>
</file>

<file path=xl/sharedStrings.xml><?xml version="1.0" encoding="utf-8"?>
<sst xmlns="http://schemas.openxmlformats.org/spreadsheetml/2006/main" count="77" uniqueCount="68">
  <si>
    <t xml:space="preserve"> Белгородская область</t>
  </si>
  <si>
    <t>Брянская область</t>
  </si>
  <si>
    <t>Владимирская область</t>
  </si>
  <si>
    <t xml:space="preserve"> Воронежская область</t>
  </si>
  <si>
    <t>Ивановская область</t>
  </si>
  <si>
    <t>Калужская область</t>
  </si>
  <si>
    <t xml:space="preserve"> Московская область</t>
  </si>
  <si>
    <t xml:space="preserve"> Рязанская область</t>
  </si>
  <si>
    <t xml:space="preserve"> Смоленская область</t>
  </si>
  <si>
    <t>Тверская область</t>
  </si>
  <si>
    <t>Тульская область</t>
  </si>
  <si>
    <t xml:space="preserve"> Ярославская область</t>
  </si>
  <si>
    <t>г. Москва</t>
  </si>
  <si>
    <t>Калининградская область</t>
  </si>
  <si>
    <t xml:space="preserve"> Мурманская область</t>
  </si>
  <si>
    <t>Псковская область</t>
  </si>
  <si>
    <t>г. Санкт-Петербург</t>
  </si>
  <si>
    <t xml:space="preserve"> Краснодарский край</t>
  </si>
  <si>
    <t>Волгоградская область</t>
  </si>
  <si>
    <t>Ростовская область</t>
  </si>
  <si>
    <t>г. Севастополь</t>
  </si>
  <si>
    <t>Чеченская Республика</t>
  </si>
  <si>
    <t>Ставропольский край</t>
  </si>
  <si>
    <t xml:space="preserve"> 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</si>
  <si>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</si>
  <si>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</si>
  <si>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</si>
  <si>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</si>
  <si>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</si>
  <si>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</si>
  <si>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</si>
  <si>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</si>
  <si>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 xml:space="preserve"> Саратовская область</t>
  </si>
  <si>
    <t>Ульяновская область</t>
  </si>
  <si>
    <t>Регион РФ</t>
  </si>
  <si>
    <t>Республика Татарстан</t>
  </si>
  <si>
    <t>Чувашская Республика</t>
  </si>
  <si>
    <r>
      <rPr>
        <b/>
        <sz val="16"/>
        <color theme="7" tint="0.79998168889431442"/>
        <rFont val="Calibri"/>
        <family val="2"/>
        <charset val="204"/>
        <scheme val="minor"/>
      </rPr>
      <t>X</t>
    </r>
    <r>
      <rPr>
        <sz val="9"/>
        <color theme="7" tint="0.79998168889431442"/>
        <rFont val="Calibri"/>
        <family val="2"/>
        <scheme val="minor"/>
      </rPr>
      <t xml:space="preserve"> - </t>
    </r>
    <r>
      <rPr>
        <sz val="10"/>
        <color theme="7" tint="0.79998168889431442"/>
        <rFont val="Calibri"/>
        <family val="2"/>
        <charset val="204"/>
        <scheme val="minor"/>
      </rPr>
      <t>Затраты на технологические инновации организаций, млн рублей</t>
    </r>
  </si>
  <si>
    <r>
      <rPr>
        <b/>
        <sz val="16"/>
        <color theme="7" tint="0.79998168889431442"/>
        <rFont val="Calibri"/>
        <family val="2"/>
        <charset val="204"/>
        <scheme val="minor"/>
      </rPr>
      <t>Y</t>
    </r>
    <r>
      <rPr>
        <sz val="18"/>
        <color theme="7" tint="0.79998168889431442"/>
        <rFont val="Calibri"/>
        <family val="2"/>
        <charset val="204"/>
        <scheme val="minor"/>
      </rPr>
      <t xml:space="preserve"> </t>
    </r>
    <r>
      <rPr>
        <sz val="9"/>
        <color theme="7" tint="0.79998168889431442"/>
        <rFont val="Calibri"/>
        <family val="2"/>
        <scheme val="minor"/>
      </rPr>
      <t xml:space="preserve">- </t>
    </r>
    <r>
      <rPr>
        <sz val="10"/>
        <color theme="7" tint="0.79998168889431442"/>
        <rFont val="Calibri"/>
        <family val="2"/>
        <charset val="204"/>
        <scheme val="minor"/>
      </rPr>
      <t>Разработанные передовые производственные технологии, единиц</t>
    </r>
  </si>
  <si>
    <t>X^2</t>
  </si>
  <si>
    <t>XY</t>
  </si>
  <si>
    <r>
      <rPr>
        <sz val="12"/>
        <color theme="1"/>
        <rFont val="Calibri"/>
        <family val="2"/>
        <charset val="204"/>
        <scheme val="minor"/>
      </rPr>
      <t>|y - y</t>
    </r>
    <r>
      <rPr>
        <sz val="8"/>
        <color theme="1"/>
        <rFont val="Calibri"/>
        <family val="2"/>
        <charset val="204"/>
        <scheme val="minor"/>
      </rPr>
      <t>x</t>
    </r>
    <r>
      <rPr>
        <sz val="12"/>
        <color theme="1"/>
        <rFont val="Calibri"/>
        <family val="2"/>
        <charset val="204"/>
        <scheme val="minor"/>
      </rPr>
      <t>|/y -</t>
    </r>
    <r>
      <rPr>
        <sz val="11"/>
        <color theme="1"/>
        <rFont val="Calibri"/>
        <family val="2"/>
        <charset val="204"/>
        <scheme val="minor"/>
      </rPr>
      <t xml:space="preserve"> абсолютная ошибка аппроксимации</t>
    </r>
  </si>
  <si>
    <t>Сумма</t>
  </si>
  <si>
    <t>Средняя</t>
  </si>
  <si>
    <t>Среднее кв. отклонение</t>
  </si>
  <si>
    <t>Коэффициент корреляции</t>
  </si>
  <si>
    <r>
      <t>Параметр модели - А</t>
    </r>
    <r>
      <rPr>
        <b/>
        <sz val="8"/>
        <color theme="1"/>
        <rFont val="Calibri"/>
        <family val="2"/>
        <charset val="204"/>
        <scheme val="minor"/>
      </rPr>
      <t>0</t>
    </r>
  </si>
  <si>
    <r>
      <t>Параметр модели - А</t>
    </r>
    <r>
      <rPr>
        <b/>
        <sz val="8"/>
        <color theme="1"/>
        <rFont val="Calibri"/>
        <family val="2"/>
        <charset val="204"/>
        <scheme val="minor"/>
      </rPr>
      <t>1</t>
    </r>
  </si>
  <si>
    <t>Средняя ошибка аппроксимации</t>
  </si>
  <si>
    <r>
      <rPr>
        <sz val="12"/>
        <color theme="1"/>
        <rFont val="Calibri"/>
        <family val="2"/>
        <charset val="204"/>
        <scheme val="minor"/>
      </rPr>
      <t>Y</t>
    </r>
    <r>
      <rPr>
        <sz val="8"/>
        <color theme="1"/>
        <rFont val="Calibri"/>
        <family val="2"/>
        <charset val="204"/>
        <scheme val="minor"/>
      </rPr>
      <t>x</t>
    </r>
  </si>
  <si>
    <t>Среднее отклонение</t>
  </si>
  <si>
    <t>Коэффициент детерминации R^2</t>
  </si>
  <si>
    <t>Коэффициент эластичности</t>
  </si>
  <si>
    <t>LgX</t>
  </si>
  <si>
    <t>(LgX)^2</t>
  </si>
  <si>
    <r>
      <t>Параметр модели - b</t>
    </r>
    <r>
      <rPr>
        <b/>
        <sz val="8"/>
        <color theme="1"/>
        <rFont val="Calibri"/>
        <family val="2"/>
        <charset val="204"/>
        <scheme val="minor"/>
      </rPr>
      <t>1</t>
    </r>
  </si>
  <si>
    <r>
      <t>Параметр модели - b</t>
    </r>
    <r>
      <rPr>
        <b/>
        <sz val="8"/>
        <color theme="1"/>
        <rFont val="Calibri"/>
        <family val="2"/>
        <charset val="204"/>
        <scheme val="minor"/>
      </rPr>
      <t>0</t>
    </r>
  </si>
  <si>
    <t>LgY</t>
  </si>
  <si>
    <t>LgX*LgY</t>
  </si>
  <si>
    <r>
      <t>(|</t>
    </r>
    <r>
      <rPr>
        <sz val="12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x|)^2</t>
    </r>
  </si>
  <si>
    <r>
      <t>(</t>
    </r>
    <r>
      <rPr>
        <sz val="12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ср)^2</t>
    </r>
  </si>
  <si>
    <t xml:space="preserve">                                                                  Табл. 1 Необходимые расчеты для линейной регрессионой модели</t>
  </si>
  <si>
    <t>Табл. 2 Показатели линейной регрессионной модели</t>
  </si>
  <si>
    <t xml:space="preserve">                                                                                 Табл. 3 Необходимые расчеты для нелинейной регрессионной модели</t>
  </si>
  <si>
    <r>
      <t>|</t>
    </r>
    <r>
      <rPr>
        <sz val="12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- Yx|/Y</t>
    </r>
  </si>
  <si>
    <t>(|Y - Yx|)^2</t>
  </si>
  <si>
    <r>
      <rPr>
        <sz val="12"/>
        <color theme="1"/>
        <rFont val="Calibri"/>
        <family val="2"/>
        <charset val="204"/>
        <scheme val="minor"/>
      </rPr>
      <t>|Y - Y</t>
    </r>
    <r>
      <rPr>
        <sz val="8"/>
        <color theme="1"/>
        <rFont val="Calibri"/>
        <family val="2"/>
        <charset val="204"/>
        <scheme val="minor"/>
      </rPr>
      <t>x</t>
    </r>
    <r>
      <rPr>
        <sz val="12"/>
        <color theme="1"/>
        <rFont val="Calibri"/>
        <family val="2"/>
        <charset val="204"/>
        <scheme val="minor"/>
      </rPr>
      <t>|</t>
    </r>
  </si>
  <si>
    <t>Табл.4 Показатели нелинейной регрессионной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</si>
</sst>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6" tint="0.79998168889431442"/>
      <name val="Calibri"/>
      <family val="2"/>
      <scheme val="minor"/>
    </font>
    <font>
      <sz val="9"/>
      <color theme="7" tint="0.79998168889431442"/>
      <name val="Calibri"/>
      <family val="2"/>
      <scheme val="minor"/>
    </font>
    <font>
      <sz val="18"/>
      <color theme="7" tint="0.79998168889431442"/>
      <name val="Calibri"/>
      <family val="2"/>
      <charset val="204"/>
      <scheme val="minor"/>
    </font>
    <font>
      <sz val="12"/>
      <color theme="7" tint="0.79998168889431442"/>
      <name val="Calibri"/>
      <family val="2"/>
      <charset val="204"/>
      <scheme val="minor"/>
    </font>
    <font>
      <b/>
      <sz val="16"/>
      <color theme="7" tint="0.79998168889431442"/>
      <name val="Calibri"/>
      <family val="2"/>
      <charset val="204"/>
      <scheme val="minor"/>
    </font>
    <font>
      <sz val="9"/>
      <color theme="7" tint="0.79998168889431442"/>
      <name val="Calibri"/>
      <family val="2"/>
      <charset val="204"/>
      <scheme val="minor"/>
    </font>
    <font>
      <sz val="10"/>
      <color theme="7" tint="0.79998168889431442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7" tint="-0.499984740745262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4" fillId="0" borderId="0"/>
    <xf numFmtId="0" fontId="7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 vertical="center" wrapText="1"/>
    </xf>
    <xf numFmtId="0" fontId="9" fillId="0" borderId="1" xfId="0" applyFont="1" applyBorder="1"/>
    <xf numFmtId="4" fontId="9" fillId="0" borderId="1" xfId="0" applyNumberFormat="1" applyFont="1" applyBorder="1"/>
    <xf numFmtId="0" fontId="9" fillId="0" borderId="10" xfId="0" applyFont="1" applyBorder="1"/>
    <xf numFmtId="0" fontId="13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9" fillId="3" borderId="9" xfId="0" applyFont="1" applyFill="1" applyBorder="1"/>
    <xf numFmtId="4" fontId="10" fillId="0" borderId="1" xfId="0" applyNumberFormat="1" applyFont="1" applyBorder="1"/>
    <xf numFmtId="0" fontId="10" fillId="0" borderId="10" xfId="0" applyFont="1" applyBorder="1"/>
    <xf numFmtId="0" fontId="0" fillId="4" borderId="0" xfId="0" applyFill="1"/>
    <xf numFmtId="0" fontId="17" fillId="4" borderId="0" xfId="0" applyFont="1" applyFill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3" borderId="14" xfId="0" applyFont="1" applyFill="1" applyBorder="1"/>
    <xf numFmtId="0" fontId="9" fillId="3" borderId="2" xfId="0" applyFont="1" applyFill="1" applyBorder="1"/>
    <xf numFmtId="4" fontId="0" fillId="8" borderId="1" xfId="0" applyNumberFormat="1" applyFill="1" applyBorder="1"/>
    <xf numFmtId="4" fontId="9" fillId="0" borderId="4" xfId="0" applyNumberFormat="1" applyFont="1" applyBorder="1"/>
    <xf numFmtId="0" fontId="20" fillId="9" borderId="6" xfId="0" applyFont="1" applyFill="1" applyBorder="1"/>
    <xf numFmtId="0" fontId="9" fillId="9" borderId="9" xfId="0" applyFont="1" applyFill="1" applyBorder="1"/>
    <xf numFmtId="0" fontId="20" fillId="9" borderId="11" xfId="0" applyFont="1" applyFill="1" applyBorder="1"/>
    <xf numFmtId="0" fontId="0" fillId="8" borderId="13" xfId="0" applyFill="1" applyBorder="1"/>
    <xf numFmtId="0" fontId="0" fillId="8" borderId="12" xfId="0" applyFill="1" applyBorder="1"/>
    <xf numFmtId="0" fontId="9" fillId="0" borderId="15" xfId="0" applyFont="1" applyBorder="1"/>
    <xf numFmtId="4" fontId="0" fillId="8" borderId="7" xfId="0" applyNumberFormat="1" applyFill="1" applyBorder="1"/>
    <xf numFmtId="0" fontId="0" fillId="8" borderId="8" xfId="0" applyFill="1" applyBorder="1"/>
    <xf numFmtId="0" fontId="0" fillId="8" borderId="10" xfId="0" applyFill="1" applyBorder="1"/>
    <xf numFmtId="0" fontId="17" fillId="10" borderId="0" xfId="0" applyFont="1" applyFill="1"/>
    <xf numFmtId="0" fontId="0" fillId="6" borderId="1" xfId="0" applyFill="1" applyBorder="1"/>
    <xf numFmtId="4" fontId="0" fillId="6" borderId="1" xfId="0" applyNumberFormat="1" applyFill="1" applyBorder="1"/>
    <xf numFmtId="0" fontId="21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left"/>
    </xf>
    <xf numFmtId="0" fontId="17" fillId="10" borderId="17" xfId="0" applyFont="1" applyFill="1" applyBorder="1"/>
    <xf numFmtId="0" fontId="0" fillId="5" borderId="3" xfId="0" applyFill="1" applyBorder="1" applyAlignment="1">
      <alignment horizontal="center" vertical="center"/>
    </xf>
    <xf numFmtId="0" fontId="0" fillId="2" borderId="1" xfId="0" applyFill="1" applyBorder="1"/>
    <xf numFmtId="0" fontId="9" fillId="3" borderId="9" xfId="0" applyFont="1" applyFill="1" applyBorder="1" applyAlignment="1">
      <alignment wrapText="1"/>
    </xf>
    <xf numFmtId="4" fontId="9" fillId="0" borderId="1" xfId="0" applyNumberFormat="1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6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3" fontId="9" fillId="0" borderId="1" xfId="0" applyNumberFormat="1" applyFont="1" applyBorder="1"/>
    <xf numFmtId="0" fontId="2" fillId="5" borderId="1" xfId="0" applyFont="1" applyFill="1" applyBorder="1" applyAlignment="1">
      <alignment vertical="top" wrapText="1"/>
    </xf>
    <xf numFmtId="0" fontId="23" fillId="10" borderId="18" xfId="0" applyFont="1" applyFill="1" applyBorder="1" applyAlignment="1">
      <alignment horizontal="left"/>
    </xf>
    <xf numFmtId="0" fontId="21" fillId="9" borderId="17" xfId="0" applyFont="1" applyFill="1" applyBorder="1" applyAlignment="1">
      <alignment vertical="center"/>
    </xf>
    <xf numFmtId="0" fontId="8" fillId="9" borderId="17" xfId="0" applyFont="1" applyFill="1" applyBorder="1"/>
    <xf numFmtId="0" fontId="8" fillId="9" borderId="19" xfId="0" applyFont="1" applyFill="1" applyBorder="1" applyAlignment="1">
      <alignment wrapText="1"/>
    </xf>
    <xf numFmtId="0" fontId="8" fillId="9" borderId="18" xfId="0" applyFont="1" applyFill="1" applyBorder="1" applyAlignment="1">
      <alignment horizontal="left" vertical="center"/>
    </xf>
    <xf numFmtId="0" fontId="8" fillId="9" borderId="17" xfId="0" applyFont="1" applyFill="1" applyBorder="1" applyAlignment="1">
      <alignment horizontal="center"/>
    </xf>
    <xf numFmtId="0" fontId="8" fillId="9" borderId="17" xfId="0" applyFont="1" applyFill="1" applyBorder="1" applyAlignment="1">
      <alignment horizontal="left" vertical="center"/>
    </xf>
    <xf numFmtId="4" fontId="0" fillId="6" borderId="20" xfId="0" applyNumberFormat="1" applyFill="1" applyBorder="1"/>
    <xf numFmtId="0" fontId="0" fillId="6" borderId="20" xfId="0" applyFill="1" applyBorder="1"/>
    <xf numFmtId="0" fontId="0" fillId="6" borderId="20" xfId="0" applyFont="1" applyFill="1" applyBorder="1"/>
    <xf numFmtId="0" fontId="17" fillId="4" borderId="21" xfId="0" applyFont="1" applyFill="1" applyBorder="1"/>
    <xf numFmtId="0" fontId="0" fillId="4" borderId="22" xfId="0" applyFill="1" applyBorder="1"/>
    <xf numFmtId="0" fontId="0" fillId="4" borderId="19" xfId="0" applyFill="1" applyBorder="1"/>
    <xf numFmtId="0" fontId="0" fillId="5" borderId="9" xfId="0" applyFill="1" applyBorder="1" applyAlignment="1">
      <alignment horizontal="center" vertical="center"/>
    </xf>
    <xf numFmtId="4" fontId="0" fillId="2" borderId="9" xfId="0" applyNumberFormat="1" applyFill="1" applyBorder="1" applyAlignment="1">
      <alignment horizontal="center"/>
    </xf>
    <xf numFmtId="4" fontId="0" fillId="2" borderId="9" xfId="0" applyNumberFormat="1" applyFill="1" applyBorder="1" applyAlignment="1">
      <alignment horizontal="center" wrapText="1"/>
    </xf>
    <xf numFmtId="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0" fontId="21" fillId="7" borderId="1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21" fillId="7" borderId="21" xfId="0" applyFont="1" applyFill="1" applyBorder="1" applyAlignment="1">
      <alignment horizontal="center" vertical="center"/>
    </xf>
    <xf numFmtId="0" fontId="0" fillId="2" borderId="10" xfId="0" applyFill="1" applyBorder="1"/>
    <xf numFmtId="0" fontId="8" fillId="9" borderId="19" xfId="0" applyFont="1" applyFill="1" applyBorder="1" applyAlignment="1">
      <alignment horizontal="left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4" fontId="0" fillId="2" borderId="1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5" xfId="0" applyFill="1" applyBorder="1"/>
    <xf numFmtId="0" fontId="17" fillId="10" borderId="1" xfId="0" applyFont="1" applyFill="1" applyBorder="1"/>
  </cellXfs>
  <cellStyles count="6">
    <cellStyle name="Normal" xfId="2"/>
    <cellStyle name="Гиперссылка 2" xfId="3"/>
    <cellStyle name="Обычный" xfId="0" builtinId="0"/>
    <cellStyle name="Обычный 2" xfId="1"/>
    <cellStyle name="Обычный 2 2" xfId="4"/>
    <cellStyle name="Финансовый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Рис 1. Корреляционное облако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51650601277331"/>
          <c:y val="0.13916126925792907"/>
          <c:w val="0.78070927434018855"/>
          <c:h val="0.67549001890674953"/>
        </c:manualLayout>
      </c:layout>
      <c:scatterChart>
        <c:scatterStyle val="lineMarker"/>
        <c:varyColors val="0"/>
        <c:ser>
          <c:idx val="0"/>
          <c:order val="0"/>
          <c:tx>
            <c:v>Корреляционное облако</c:v>
          </c:tx>
          <c:spPr>
            <a:ln w="66675">
              <a:noFill/>
            </a:ln>
          </c:spPr>
          <c:xVal>
            <c:numRef>
              <c:f>Лист1!$B$2:$B$37</c:f>
              <c:numCache>
                <c:formatCode>#,##0.00</c:formatCode>
                <c:ptCount val="36"/>
                <c:pt idx="0">
                  <c:v>30798.6</c:v>
                </c:pt>
                <c:pt idx="1">
                  <c:v>2525.8000000000002</c:v>
                </c:pt>
                <c:pt idx="2">
                  <c:v>7359.9</c:v>
                </c:pt>
                <c:pt idx="3">
                  <c:v>19090.7</c:v>
                </c:pt>
                <c:pt idx="4" formatCode="General">
                  <c:v>544.1</c:v>
                </c:pt>
                <c:pt idx="5">
                  <c:v>7733.3</c:v>
                </c:pt>
                <c:pt idx="6">
                  <c:v>257162</c:v>
                </c:pt>
                <c:pt idx="7">
                  <c:v>4323.7</c:v>
                </c:pt>
                <c:pt idx="8">
                  <c:v>3228.8</c:v>
                </c:pt>
                <c:pt idx="9">
                  <c:v>4305.7</c:v>
                </c:pt>
                <c:pt idx="10">
                  <c:v>22241.599999999999</c:v>
                </c:pt>
                <c:pt idx="11">
                  <c:v>12947.3</c:v>
                </c:pt>
                <c:pt idx="12">
                  <c:v>645168</c:v>
                </c:pt>
                <c:pt idx="13">
                  <c:v>3908.6</c:v>
                </c:pt>
                <c:pt idx="14">
                  <c:v>1434.7</c:v>
                </c:pt>
                <c:pt idx="15" formatCode="General">
                  <c:v>381.1</c:v>
                </c:pt>
                <c:pt idx="16">
                  <c:v>158468</c:v>
                </c:pt>
                <c:pt idx="17">
                  <c:v>32301.9</c:v>
                </c:pt>
                <c:pt idx="18">
                  <c:v>3324.3</c:v>
                </c:pt>
                <c:pt idx="19">
                  <c:v>32956.699999999997</c:v>
                </c:pt>
                <c:pt idx="20">
                  <c:v>1174.3</c:v>
                </c:pt>
                <c:pt idx="21" formatCode="#,##0">
                  <c:v>22.8</c:v>
                </c:pt>
                <c:pt idx="22">
                  <c:v>5706.6</c:v>
                </c:pt>
                <c:pt idx="23">
                  <c:v>1377.2</c:v>
                </c:pt>
                <c:pt idx="24">
                  <c:v>5510.7</c:v>
                </c:pt>
                <c:pt idx="25">
                  <c:v>203075</c:v>
                </c:pt>
                <c:pt idx="26">
                  <c:v>5093.1000000000004</c:v>
                </c:pt>
                <c:pt idx="27">
                  <c:v>5088.2</c:v>
                </c:pt>
                <c:pt idx="28">
                  <c:v>54866.400000000001</c:v>
                </c:pt>
                <c:pt idx="29">
                  <c:v>41175.800000000003</c:v>
                </c:pt>
                <c:pt idx="30">
                  <c:v>146562</c:v>
                </c:pt>
                <c:pt idx="31">
                  <c:v>16818</c:v>
                </c:pt>
                <c:pt idx="32">
                  <c:v>8110.2</c:v>
                </c:pt>
                <c:pt idx="33">
                  <c:v>69821.7</c:v>
                </c:pt>
                <c:pt idx="34">
                  <c:v>3375.2</c:v>
                </c:pt>
                <c:pt idx="35">
                  <c:v>8109.5</c:v>
                </c:pt>
              </c:numCache>
            </c:numRef>
          </c:xVal>
          <c:yVal>
            <c:numRef>
              <c:f>Лист1!$C$2:$C$37</c:f>
              <c:numCache>
                <c:formatCode>General</c:formatCode>
                <c:ptCount val="36"/>
                <c:pt idx="0">
                  <c:v>33</c:v>
                </c:pt>
                <c:pt idx="1">
                  <c:v>21</c:v>
                </c:pt>
                <c:pt idx="2">
                  <c:v>23</c:v>
                </c:pt>
                <c:pt idx="3">
                  <c:v>29</c:v>
                </c:pt>
                <c:pt idx="4">
                  <c:v>20</c:v>
                </c:pt>
                <c:pt idx="5">
                  <c:v>24</c:v>
                </c:pt>
                <c:pt idx="6">
                  <c:v>91</c:v>
                </c:pt>
                <c:pt idx="7">
                  <c:v>22</c:v>
                </c:pt>
                <c:pt idx="8">
                  <c:v>23</c:v>
                </c:pt>
                <c:pt idx="9">
                  <c:v>21</c:v>
                </c:pt>
                <c:pt idx="10">
                  <c:v>32</c:v>
                </c:pt>
                <c:pt idx="11">
                  <c:v>19</c:v>
                </c:pt>
                <c:pt idx="12">
                  <c:v>342</c:v>
                </c:pt>
                <c:pt idx="13">
                  <c:v>22</c:v>
                </c:pt>
                <c:pt idx="14">
                  <c:v>21</c:v>
                </c:pt>
                <c:pt idx="15">
                  <c:v>19</c:v>
                </c:pt>
                <c:pt idx="16">
                  <c:v>192</c:v>
                </c:pt>
                <c:pt idx="17">
                  <c:v>57</c:v>
                </c:pt>
                <c:pt idx="18">
                  <c:v>16</c:v>
                </c:pt>
                <c:pt idx="19">
                  <c:v>31</c:v>
                </c:pt>
                <c:pt idx="20">
                  <c:v>18</c:v>
                </c:pt>
                <c:pt idx="21">
                  <c:v>10</c:v>
                </c:pt>
                <c:pt idx="22">
                  <c:v>32</c:v>
                </c:pt>
                <c:pt idx="23">
                  <c:v>21</c:v>
                </c:pt>
                <c:pt idx="24">
                  <c:v>18</c:v>
                </c:pt>
                <c:pt idx="25">
                  <c:v>123</c:v>
                </c:pt>
                <c:pt idx="26">
                  <c:v>23</c:v>
                </c:pt>
                <c:pt idx="27">
                  <c:v>22</c:v>
                </c:pt>
                <c:pt idx="28">
                  <c:v>48</c:v>
                </c:pt>
                <c:pt idx="29">
                  <c:v>36</c:v>
                </c:pt>
                <c:pt idx="30">
                  <c:v>71</c:v>
                </c:pt>
                <c:pt idx="31">
                  <c:v>25</c:v>
                </c:pt>
                <c:pt idx="32">
                  <c:v>24</c:v>
                </c:pt>
                <c:pt idx="33">
                  <c:v>47</c:v>
                </c:pt>
                <c:pt idx="34">
                  <c:v>22</c:v>
                </c:pt>
                <c:pt idx="35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6672"/>
        <c:axId val="10724864"/>
      </c:scatterChart>
      <c:valAx>
        <c:axId val="10636672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crossAx val="10724864"/>
        <c:crosses val="autoZero"/>
        <c:crossBetween val="midCat"/>
      </c:valAx>
      <c:valAx>
        <c:axId val="10724864"/>
        <c:scaling>
          <c:orientation val="minMax"/>
          <c:max val="3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36672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>
      <a:solidFill>
        <a:schemeClr val="accent4">
          <a:lumMod val="50000"/>
        </a:schemeClr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Рис.2</a:t>
            </a:r>
            <a:r>
              <a:rPr lang="ru-RU" baseline="0"/>
              <a:t> </a:t>
            </a:r>
            <a:r>
              <a:rPr lang="ru-RU"/>
              <a:t>Линейная</a:t>
            </a:r>
            <a:r>
              <a:rPr lang="en-US"/>
              <a:t> </a:t>
            </a:r>
            <a:r>
              <a:rPr lang="ru-RU"/>
              <a:t>и</a:t>
            </a:r>
            <a:r>
              <a:rPr lang="ru-RU" baseline="0"/>
              <a:t> нелинейная регрессионные модели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384141940863254"/>
          <c:y val="0.1429702159005293"/>
          <c:w val="0.78070927434018855"/>
          <c:h val="0.67549001890674953"/>
        </c:manualLayout>
      </c:layout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2479972031461735E-3"/>
                  <c:y val="7.4148023111290262E-2"/>
                </c:manualLayout>
              </c:layout>
              <c:numFmt formatCode="General" sourceLinked="0"/>
            </c:trendlineLbl>
          </c:trendline>
          <c:trendline>
            <c:spPr>
              <a:ln w="41275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trendline>
            <c:spPr>
              <a:ln w="44450">
                <a:solidFill>
                  <a:schemeClr val="accent2">
                    <a:lumMod val="50000"/>
                  </a:schemeClr>
                </a:solidFill>
              </a:ln>
            </c:spPr>
            <c:trendlineType val="power"/>
            <c:dispRSqr val="0"/>
            <c:dispEq val="1"/>
            <c:trendlineLbl>
              <c:layout>
                <c:manualLayout>
                  <c:x val="1.379716016426679E-2"/>
                  <c:y val="7.0222558941948246E-2"/>
                </c:manualLayout>
              </c:layout>
              <c:numFmt formatCode="General" sourceLinked="0"/>
            </c:trendlineLbl>
          </c:trendline>
          <c:xVal>
            <c:numRef>
              <c:f>Лист1!$B$2:$B$37</c:f>
              <c:numCache>
                <c:formatCode>#,##0.00</c:formatCode>
                <c:ptCount val="36"/>
                <c:pt idx="0">
                  <c:v>30798.6</c:v>
                </c:pt>
                <c:pt idx="1">
                  <c:v>2525.8000000000002</c:v>
                </c:pt>
                <c:pt idx="2">
                  <c:v>7359.9</c:v>
                </c:pt>
                <c:pt idx="3">
                  <c:v>19090.7</c:v>
                </c:pt>
                <c:pt idx="4" formatCode="General">
                  <c:v>544.1</c:v>
                </c:pt>
                <c:pt idx="5">
                  <c:v>7733.3</c:v>
                </c:pt>
                <c:pt idx="6">
                  <c:v>257162</c:v>
                </c:pt>
                <c:pt idx="7">
                  <c:v>4323.7</c:v>
                </c:pt>
                <c:pt idx="8">
                  <c:v>3228.8</c:v>
                </c:pt>
                <c:pt idx="9">
                  <c:v>4305.7</c:v>
                </c:pt>
                <c:pt idx="10">
                  <c:v>22241.599999999999</c:v>
                </c:pt>
                <c:pt idx="11">
                  <c:v>12947.3</c:v>
                </c:pt>
                <c:pt idx="12">
                  <c:v>645168</c:v>
                </c:pt>
                <c:pt idx="13">
                  <c:v>3908.6</c:v>
                </c:pt>
                <c:pt idx="14">
                  <c:v>1434.7</c:v>
                </c:pt>
                <c:pt idx="15" formatCode="General">
                  <c:v>381.1</c:v>
                </c:pt>
                <c:pt idx="16">
                  <c:v>158468</c:v>
                </c:pt>
                <c:pt idx="17">
                  <c:v>32301.9</c:v>
                </c:pt>
                <c:pt idx="18">
                  <c:v>3324.3</c:v>
                </c:pt>
                <c:pt idx="19">
                  <c:v>32956.699999999997</c:v>
                </c:pt>
                <c:pt idx="20">
                  <c:v>1174.3</c:v>
                </c:pt>
                <c:pt idx="21" formatCode="#,##0">
                  <c:v>22.8</c:v>
                </c:pt>
                <c:pt idx="22">
                  <c:v>5706.6</c:v>
                </c:pt>
                <c:pt idx="23">
                  <c:v>1377.2</c:v>
                </c:pt>
                <c:pt idx="24">
                  <c:v>5510.7</c:v>
                </c:pt>
                <c:pt idx="25">
                  <c:v>203075</c:v>
                </c:pt>
                <c:pt idx="26">
                  <c:v>5093.1000000000004</c:v>
                </c:pt>
                <c:pt idx="27">
                  <c:v>5088.2</c:v>
                </c:pt>
                <c:pt idx="28">
                  <c:v>54866.400000000001</c:v>
                </c:pt>
                <c:pt idx="29">
                  <c:v>41175.800000000003</c:v>
                </c:pt>
                <c:pt idx="30">
                  <c:v>146562</c:v>
                </c:pt>
                <c:pt idx="31">
                  <c:v>16818</c:v>
                </c:pt>
                <c:pt idx="32">
                  <c:v>8110.2</c:v>
                </c:pt>
                <c:pt idx="33">
                  <c:v>69821.7</c:v>
                </c:pt>
                <c:pt idx="34">
                  <c:v>3375.2</c:v>
                </c:pt>
                <c:pt idx="35">
                  <c:v>8109.5</c:v>
                </c:pt>
              </c:numCache>
            </c:numRef>
          </c:xVal>
          <c:yVal>
            <c:numRef>
              <c:f>Лист1!$C$2:$C$37</c:f>
              <c:numCache>
                <c:formatCode>General</c:formatCode>
                <c:ptCount val="36"/>
                <c:pt idx="0">
                  <c:v>33</c:v>
                </c:pt>
                <c:pt idx="1">
                  <c:v>21</c:v>
                </c:pt>
                <c:pt idx="2">
                  <c:v>23</c:v>
                </c:pt>
                <c:pt idx="3">
                  <c:v>29</c:v>
                </c:pt>
                <c:pt idx="4">
                  <c:v>20</c:v>
                </c:pt>
                <c:pt idx="5">
                  <c:v>24</c:v>
                </c:pt>
                <c:pt idx="6">
                  <c:v>91</c:v>
                </c:pt>
                <c:pt idx="7">
                  <c:v>22</c:v>
                </c:pt>
                <c:pt idx="8">
                  <c:v>23</c:v>
                </c:pt>
                <c:pt idx="9">
                  <c:v>21</c:v>
                </c:pt>
                <c:pt idx="10">
                  <c:v>32</c:v>
                </c:pt>
                <c:pt idx="11">
                  <c:v>19</c:v>
                </c:pt>
                <c:pt idx="12">
                  <c:v>342</c:v>
                </c:pt>
                <c:pt idx="13">
                  <c:v>22</c:v>
                </c:pt>
                <c:pt idx="14">
                  <c:v>21</c:v>
                </c:pt>
                <c:pt idx="15">
                  <c:v>19</c:v>
                </c:pt>
                <c:pt idx="16">
                  <c:v>192</c:v>
                </c:pt>
                <c:pt idx="17">
                  <c:v>57</c:v>
                </c:pt>
                <c:pt idx="18">
                  <c:v>16</c:v>
                </c:pt>
                <c:pt idx="19">
                  <c:v>31</c:v>
                </c:pt>
                <c:pt idx="20">
                  <c:v>18</c:v>
                </c:pt>
                <c:pt idx="21">
                  <c:v>10</c:v>
                </c:pt>
                <c:pt idx="22">
                  <c:v>32</c:v>
                </c:pt>
                <c:pt idx="23">
                  <c:v>21</c:v>
                </c:pt>
                <c:pt idx="24">
                  <c:v>18</c:v>
                </c:pt>
                <c:pt idx="25">
                  <c:v>123</c:v>
                </c:pt>
                <c:pt idx="26">
                  <c:v>23</c:v>
                </c:pt>
                <c:pt idx="27">
                  <c:v>22</c:v>
                </c:pt>
                <c:pt idx="28">
                  <c:v>48</c:v>
                </c:pt>
                <c:pt idx="29">
                  <c:v>36</c:v>
                </c:pt>
                <c:pt idx="30">
                  <c:v>71</c:v>
                </c:pt>
                <c:pt idx="31">
                  <c:v>25</c:v>
                </c:pt>
                <c:pt idx="32">
                  <c:v>24</c:v>
                </c:pt>
                <c:pt idx="33">
                  <c:v>47</c:v>
                </c:pt>
                <c:pt idx="34">
                  <c:v>22</c:v>
                </c:pt>
                <c:pt idx="35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98976"/>
        <c:axId val="38818560"/>
      </c:scatterChart>
      <c:valAx>
        <c:axId val="38398976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crossAx val="38818560"/>
        <c:crosses val="autoZero"/>
        <c:crossBetween val="midCat"/>
      </c:valAx>
      <c:valAx>
        <c:axId val="38818560"/>
        <c:scaling>
          <c:orientation val="minMax"/>
          <c:max val="3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398976"/>
        <c:crosses val="autoZero"/>
        <c:crossBetween val="midCat"/>
      </c:valAx>
      <c:spPr>
        <a:solidFill>
          <a:schemeClr val="accent6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>
      <a:solidFill>
        <a:schemeClr val="accent4">
          <a:lumMod val="50000"/>
        </a:schemeClr>
      </a:solidFill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12699</xdr:rowOff>
    </xdr:from>
    <xdr:to>
      <xdr:col>10</xdr:col>
      <xdr:colOff>598714</xdr:colOff>
      <xdr:row>51</xdr:row>
      <xdr:rowOff>190499</xdr:rowOff>
    </xdr:to>
    <xdr:sp macro="" textlink="">
      <xdr:nvSpPr>
        <xdr:cNvPr id="2" name="TextBox 1"/>
        <xdr:cNvSpPr txBox="1"/>
      </xdr:nvSpPr>
      <xdr:spPr>
        <a:xfrm>
          <a:off x="3643993" y="12699"/>
          <a:ext cx="4846864" cy="1178015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4">
              <a:lumMod val="50000"/>
            </a:schemeClr>
          </a:solidFill>
        </a:ln>
        <a:effectLst>
          <a:innerShdw blurRad="317500">
            <a:prstClr val="black"/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>
              <a:solidFill>
                <a:schemeClr val="accent4">
                  <a:lumMod val="50000"/>
                </a:schemeClr>
              </a:solidFill>
            </a:rPr>
            <a:t>Цель и задачи исследования:</a:t>
          </a:r>
          <a:r>
            <a:rPr lang="ru-RU" sz="1100" baseline="0">
              <a:solidFill>
                <a:schemeClr val="accent4">
                  <a:lumMod val="50000"/>
                </a:schemeClr>
              </a:solidFill>
            </a:rPr>
            <a:t> </a:t>
          </a:r>
          <a:r>
            <a:rPr lang="ru-RU" sz="1000" i="1" baseline="0">
              <a:solidFill>
                <a:schemeClr val="accent4">
                  <a:lumMod val="50000"/>
                </a:schemeClr>
              </a:solidFill>
            </a:rPr>
            <a:t>проанализировать взаимосвязь пространсвенных показателей, сформулировать выводы, исходя из полученных в процессе исследования закономерностей.</a:t>
          </a:r>
        </a:p>
        <a:p>
          <a:endParaRPr lang="ru-RU" sz="1000" i="1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200" b="1" i="0">
              <a:solidFill>
                <a:schemeClr val="accent6">
                  <a:lumMod val="50000"/>
                </a:schemeClr>
              </a:solidFill>
            </a:rPr>
            <a:t>1. </a:t>
          </a:r>
          <a:r>
            <a:rPr lang="ru-RU" sz="1100" b="1" i="0">
              <a:solidFill>
                <a:schemeClr val="accent4">
                  <a:lumMod val="50000"/>
                </a:schemeClr>
              </a:solidFill>
            </a:rPr>
            <a:t>Список</a:t>
          </a:r>
          <a:r>
            <a:rPr lang="ru-RU" sz="1100" b="1" i="0" baseline="0">
              <a:solidFill>
                <a:schemeClr val="accent4">
                  <a:lumMod val="50000"/>
                </a:schemeClr>
              </a:solidFill>
            </a:rPr>
            <a:t> и</a:t>
          </a:r>
          <a:r>
            <a:rPr lang="ru-RU" sz="1100" b="1" i="0">
              <a:solidFill>
                <a:schemeClr val="accent4">
                  <a:lumMod val="50000"/>
                </a:schemeClr>
              </a:solidFill>
            </a:rPr>
            <a:t>спользуемых показателей: </a:t>
          </a:r>
        </a:p>
        <a:p>
          <a:endParaRPr lang="ru-RU" sz="1100" b="1" i="0">
            <a:solidFill>
              <a:schemeClr val="accent4">
                <a:lumMod val="50000"/>
              </a:schemeClr>
            </a:solidFill>
          </a:endParaRPr>
        </a:p>
        <a:p>
          <a:r>
            <a:rPr lang="en-US" sz="1100" b="1" i="0">
              <a:solidFill>
                <a:schemeClr val="accent4">
                  <a:lumMod val="50000"/>
                </a:schemeClr>
              </a:solidFill>
            </a:rPr>
            <a:t>X -</a:t>
          </a:r>
          <a:r>
            <a:rPr lang="en-US" sz="1100" b="1" i="0" baseline="0">
              <a:solidFill>
                <a:schemeClr val="accent4">
                  <a:lumMod val="50000"/>
                </a:schemeClr>
              </a:solidFill>
            </a:rPr>
            <a:t> </a:t>
          </a:r>
          <a:r>
            <a:rPr lang="ru-RU" sz="1000" b="0" i="1" baseline="0">
              <a:solidFill>
                <a:schemeClr val="accent4">
                  <a:lumMod val="50000"/>
                </a:schemeClr>
              </a:solidFill>
            </a:rPr>
            <a:t>затраты на технологические инновации организаций, млн рублей</a:t>
          </a:r>
        </a:p>
        <a:p>
          <a:r>
            <a:rPr lang="en-US" sz="1100" b="1" i="0" baseline="0">
              <a:solidFill>
                <a:schemeClr val="accent4">
                  <a:lumMod val="50000"/>
                </a:schemeClr>
              </a:solidFill>
            </a:rPr>
            <a:t>Y - </a:t>
          </a:r>
          <a:r>
            <a:rPr lang="ru-RU" sz="1000" b="0" i="1" baseline="0">
              <a:solidFill>
                <a:schemeClr val="accent4">
                  <a:lumMod val="50000"/>
                </a:schemeClr>
              </a:solidFill>
            </a:rPr>
            <a:t>разработанные передовые производственные технологии, единиц</a:t>
          </a:r>
        </a:p>
        <a:p>
          <a:endParaRPr lang="ru-RU" sz="1000" b="0" i="1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200" b="1" i="0" baseline="0">
              <a:solidFill>
                <a:schemeClr val="accent6">
                  <a:lumMod val="50000"/>
                </a:schemeClr>
              </a:solidFill>
            </a:rPr>
            <a:t>2. </a:t>
          </a:r>
          <a:r>
            <a:rPr lang="ru-RU" sz="1100" b="1" i="0" baseline="0">
              <a:solidFill>
                <a:schemeClr val="accent4">
                  <a:lumMod val="50000"/>
                </a:schemeClr>
              </a:solidFill>
            </a:rPr>
            <a:t>Описание выбранных показателей: </a:t>
          </a:r>
        </a:p>
        <a:p>
          <a:endParaRPr lang="ru-RU" sz="1100" b="1" i="0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100" b="1" i="1" baseline="0">
              <a:solidFill>
                <a:schemeClr val="accent4">
                  <a:lumMod val="50000"/>
                </a:schemeClr>
              </a:solidFill>
            </a:rPr>
            <a:t>Экономическая интерпретация </a:t>
          </a:r>
        </a:p>
        <a:p>
          <a:endParaRPr lang="ru-RU" sz="1100" b="1" i="1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100" b="0" i="1" u="sng" baseline="0">
              <a:solidFill>
                <a:schemeClr val="accent4">
                  <a:lumMod val="50000"/>
                </a:schemeClr>
              </a:solidFill>
            </a:rPr>
            <a:t>Показатель </a:t>
          </a:r>
          <a:r>
            <a:rPr lang="en-US" sz="1100" b="0" i="1" u="sng" baseline="0">
              <a:solidFill>
                <a:schemeClr val="accent4">
                  <a:lumMod val="50000"/>
                </a:schemeClr>
              </a:solidFill>
            </a:rPr>
            <a:t>X</a:t>
          </a:r>
          <a:r>
            <a:rPr lang="ru-RU" sz="1100" b="0" i="1" u="sng" baseline="0">
              <a:solidFill>
                <a:schemeClr val="accent4">
                  <a:lumMod val="50000"/>
                </a:schemeClr>
              </a:solidFill>
            </a:rPr>
            <a:t>:</a:t>
          </a:r>
          <a:r>
            <a:rPr lang="ru-RU" sz="1100" b="0" i="1" u="none" baseline="0">
              <a:solidFill>
                <a:schemeClr val="accent4">
                  <a:lumMod val="50000"/>
                </a:schemeClr>
              </a:solidFill>
            </a:rPr>
            <a:t> 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данный показатель отражает тенденции в направлениях экономического развития, чем выше значения показателя, тем больший уклон в сторону наукоемкого, ресурсосберегающего производства.</a:t>
          </a:r>
        </a:p>
        <a:p>
          <a:endParaRPr lang="ru-RU" sz="1000" b="0" i="1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100" b="0" i="1" u="sng" baseline="0">
              <a:solidFill>
                <a:schemeClr val="accent4">
                  <a:lumMod val="50000"/>
                </a:schemeClr>
              </a:solidFill>
            </a:rPr>
            <a:t>Показатель </a:t>
          </a:r>
          <a:r>
            <a:rPr lang="en-US" sz="1100" b="0" i="1" u="sng" baseline="0">
              <a:solidFill>
                <a:schemeClr val="accent4">
                  <a:lumMod val="50000"/>
                </a:schemeClr>
              </a:solidFill>
            </a:rPr>
            <a:t>Y</a:t>
          </a:r>
          <a:r>
            <a:rPr lang="ru-RU" sz="1100" b="0" i="1" u="sng" baseline="0">
              <a:solidFill>
                <a:schemeClr val="accent4">
                  <a:lumMod val="50000"/>
                </a:schemeClr>
              </a:solidFill>
            </a:rPr>
            <a:t>:</a:t>
          </a:r>
          <a:r>
            <a:rPr lang="ru-RU" sz="1100" b="0" i="1" u="none" baseline="0">
              <a:solidFill>
                <a:schemeClr val="accent4">
                  <a:lumMod val="50000"/>
                </a:schemeClr>
              </a:solidFill>
            </a:rPr>
            <a:t> 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данный показатель позволяет определить эффективность и рентабельность финансирвоания технологических разработок, а также оценить прогрессивность отрасли.</a:t>
          </a:r>
        </a:p>
        <a:p>
          <a:endParaRPr lang="ru-RU" sz="1000" b="0" i="1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100" b="1" i="1" u="none" baseline="0">
              <a:solidFill>
                <a:schemeClr val="accent4">
                  <a:lumMod val="50000"/>
                </a:schemeClr>
              </a:solidFill>
            </a:rPr>
            <a:t>Определение характера взаимосвязи показателей:</a:t>
          </a:r>
        </a:p>
        <a:p>
          <a:endParaRPr lang="ru-RU" sz="1100" b="1" i="1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Результативным (зависимым) признаком </a:t>
          </a:r>
          <a:r>
            <a:rPr lang="en-US" sz="1000" b="0" i="1" u="none" baseline="0">
              <a:solidFill>
                <a:schemeClr val="accent4">
                  <a:lumMod val="50000"/>
                </a:schemeClr>
              </a:solidFill>
            </a:rPr>
            <a:t>Y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являются разарботанные передовые технологии, а независимой переменной - затраты на технологические инновации организаций.</a:t>
          </a:r>
        </a:p>
        <a:p>
          <a:endParaRPr lang="ru-RU" sz="1000" b="0" i="1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200" b="1" i="0" u="none" baseline="0">
              <a:solidFill>
                <a:schemeClr val="accent6">
                  <a:lumMod val="50000"/>
                </a:schemeClr>
              </a:solidFill>
            </a:rPr>
            <a:t>3. </a:t>
          </a:r>
          <a:r>
            <a:rPr lang="ru-RU" sz="1100" b="1" i="0" u="none" baseline="0">
              <a:solidFill>
                <a:schemeClr val="accent4">
                  <a:lumMod val="50000"/>
                </a:schemeClr>
              </a:solidFill>
            </a:rPr>
            <a:t>Корреляционный анализ:</a:t>
          </a:r>
        </a:p>
        <a:p>
          <a:endParaRPr lang="ru-RU" sz="1100" b="1" i="0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Основываясь на построенном корреляционном облаке (рис. 1) можно сделать вывод о прямой линейной зависимости </a:t>
          </a:r>
          <a:r>
            <a:rPr lang="en-US" sz="1000" b="0" i="1" u="none" baseline="0">
              <a:solidFill>
                <a:schemeClr val="accent4">
                  <a:lumMod val="50000"/>
                </a:schemeClr>
              </a:solidFill>
            </a:rPr>
            <a:t>Y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от </a:t>
          </a:r>
          <a:r>
            <a:rPr lang="en-US" sz="1000" b="0" i="1" u="none" baseline="0">
              <a:solidFill>
                <a:schemeClr val="accent4">
                  <a:lumMod val="50000"/>
                </a:schemeClr>
              </a:solidFill>
            </a:rPr>
            <a:t>X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. Данный вывод также подтверждает значение рассчитанного коэффициента корреляции, которое равно приблизительно 0.95 (более точное значение представлено в табл.2), что указывает на сильную прямую стохастическую связь между затратами на технологические инновации и разработанными передовыми технологиями, т.е. с увеличением Х увеличивается У.</a:t>
          </a:r>
        </a:p>
        <a:p>
          <a:endParaRPr lang="ru-RU" sz="1000" b="0" i="1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200" b="1" i="0" u="none" baseline="0">
              <a:solidFill>
                <a:schemeClr val="accent6">
                  <a:lumMod val="50000"/>
                </a:schemeClr>
              </a:solidFill>
            </a:rPr>
            <a:t>4. </a:t>
          </a:r>
          <a:r>
            <a:rPr lang="ru-RU" sz="1050" b="1" i="0" u="none" baseline="0">
              <a:solidFill>
                <a:schemeClr val="accent4">
                  <a:lumMod val="50000"/>
                </a:schemeClr>
              </a:solidFill>
            </a:rPr>
            <a:t>Регрессионный анализ</a:t>
          </a:r>
          <a:endParaRPr lang="ru-RU" sz="1200" b="1" i="0" u="none" baseline="0">
            <a:solidFill>
              <a:schemeClr val="accent6">
                <a:lumMod val="50000"/>
              </a:schemeClr>
            </a:solidFill>
          </a:endParaRPr>
        </a:p>
        <a:p>
          <a:endParaRPr lang="ru-RU" sz="1000" b="0" i="0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С помощью значений представленных в Табл. 2 можно получить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линейную регрессионную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модель для выбранных показателей: </a:t>
          </a:r>
          <a:r>
            <a:rPr lang="ru-RU" sz="1000" b="1" i="1" u="none" baseline="0">
              <a:solidFill>
                <a:schemeClr val="accent4">
                  <a:lumMod val="50000"/>
                </a:schemeClr>
              </a:solidFill>
            </a:rPr>
            <a:t>У</a:t>
          </a:r>
          <a:r>
            <a:rPr lang="ru-RU" sz="800" b="1" i="1" u="none" baseline="0">
              <a:solidFill>
                <a:schemeClr val="accent4">
                  <a:lumMod val="50000"/>
                </a:schemeClr>
              </a:solidFill>
            </a:rPr>
            <a:t>х</a:t>
          </a:r>
          <a:r>
            <a:rPr lang="ru-RU" sz="1000" b="1" i="1" u="none" baseline="0">
              <a:solidFill>
                <a:schemeClr val="accent4">
                  <a:lumMod val="50000"/>
                </a:schemeClr>
              </a:solidFill>
            </a:rPr>
            <a:t> = 20, 007 + 0, 0005*Х. 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Оценивая качество данной модели можно опираться на показатели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среднего отклонения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, который равен приблизительно 19, и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средней ошибки аппроксимации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, которая равна приблизительно 15%, что не выходит за рамки рекомендованного диапазона 12-15%, а это говорит о том, что модель, в целом, является адекватной. Продолжая анализ, стоит дать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интерпретацию модели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: коэффициент регрессии А</a:t>
          </a:r>
          <a:r>
            <a:rPr lang="ru-RU" sz="800" b="0" i="1" u="none" baseline="0">
              <a:solidFill>
                <a:schemeClr val="accent4">
                  <a:lumMod val="50000"/>
                </a:schemeClr>
              </a:solidFill>
            </a:rPr>
            <a:t>1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показывает, на какую величину в абсолютном выражении изменяются разработанные передовые технологии (в единицах) при изменении затрат на технологические инновации на 1 млн. рублей, а коэффициент А</a:t>
          </a:r>
          <a:r>
            <a:rPr lang="ru-RU" sz="800" b="0" i="1" u="none" baseline="0">
              <a:solidFill>
                <a:schemeClr val="accent4">
                  <a:lumMod val="50000"/>
                </a:schemeClr>
              </a:solidFill>
            </a:rPr>
            <a:t>0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- свободный член уравнения регрессии, т.е. значение У при Х=0.</a:t>
          </a:r>
          <a:r>
            <a:rPr lang="en-US" sz="1000" b="0" i="1" u="none" baseline="0">
              <a:solidFill>
                <a:schemeClr val="accent4">
                  <a:lumMod val="50000"/>
                </a:schemeClr>
              </a:solidFill>
            </a:rPr>
            <a:t>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Коэффициент детерминации 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близок к 1, что говорит о пригодности модели для прогнозирования.</a:t>
          </a:r>
          <a:r>
            <a:rPr lang="en-US" sz="1000" b="0" i="1" u="none" baseline="0">
              <a:solidFill>
                <a:schemeClr val="accent4">
                  <a:lumMod val="50000"/>
                </a:schemeClr>
              </a:solidFill>
            </a:rPr>
            <a:t> 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Графическое представление линейной регрессионой модели можно увидеть на Рис.2.</a:t>
          </a:r>
          <a:endParaRPr lang="en-US" sz="1000" b="0" i="1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С помощью значений представленных в Табл. </a:t>
          </a:r>
          <a:r>
            <a:rPr lang="en-US" sz="1000" b="0" i="1" u="none" baseline="0">
              <a:solidFill>
                <a:schemeClr val="accent4">
                  <a:lumMod val="50000"/>
                </a:schemeClr>
              </a:solidFill>
            </a:rPr>
            <a:t>4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можно получить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нелинейную регрессионную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 (степенную ) модель для выбранных показателей: </a:t>
          </a:r>
          <a:r>
            <a:rPr lang="ru-RU" sz="1000" b="1" i="1" u="none" baseline="0">
              <a:solidFill>
                <a:schemeClr val="accent4">
                  <a:lumMod val="50000"/>
                </a:schemeClr>
              </a:solidFill>
            </a:rPr>
            <a:t>Ух = </a:t>
          </a:r>
          <a:r>
            <a:rPr lang="en-US" sz="1000" b="1" i="1" u="none" baseline="0">
              <a:solidFill>
                <a:schemeClr val="accent4">
                  <a:lumMod val="50000"/>
                </a:schemeClr>
              </a:solidFill>
            </a:rPr>
            <a:t>Y=1,9472*X^0,3029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. Оценивая качество данной модели можно опираться на показатели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среднего отклонения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, который равен приблизительно 44, и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средней ошибки аппроксимации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, которая равна приблизительно 27%, что выходит за рамки рекомендованного диапазона 12-15%, а это говорит о том, что модель, в целом, нельзя считать адекватной. Более того </a:t>
          </a:r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коэффициент детерминации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 равный 0,47 говорит о  меньшей пригодности модели для прогнозирования. Графическое представление нелинейной регрессионой модели можно увидеть на Рис.2.</a:t>
          </a:r>
        </a:p>
        <a:p>
          <a:r>
            <a:rPr lang="ru-RU" sz="1000" b="0" i="1" u="sng" baseline="0">
              <a:solidFill>
                <a:schemeClr val="accent4">
                  <a:lumMod val="50000"/>
                </a:schemeClr>
              </a:solidFill>
            </a:rPr>
            <a:t>Коэффициент эластичности (табл.2) 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показывает, на сколько процентов изменется среднее значение </a:t>
          </a:r>
          <a:r>
            <a:rPr lang="en-US" sz="1000" b="0" i="1" u="none" baseline="0">
              <a:solidFill>
                <a:schemeClr val="accent4">
                  <a:lumMod val="50000"/>
                </a:schemeClr>
              </a:solidFill>
            </a:rPr>
            <a:t>Y </a:t>
          </a:r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при изменении среднего значения Х на 1%. </a:t>
          </a:r>
        </a:p>
        <a:p>
          <a:endParaRPr lang="ru-RU" sz="1000" b="1" i="1" u="none" baseline="0">
            <a:solidFill>
              <a:schemeClr val="accent4">
                <a:lumMod val="50000"/>
              </a:schemeClr>
            </a:solidFill>
          </a:endParaRPr>
        </a:p>
        <a:p>
          <a:r>
            <a:rPr lang="ru-RU" sz="1050" b="1" i="0" u="none" baseline="0">
              <a:solidFill>
                <a:schemeClr val="accent4">
                  <a:lumMod val="50000"/>
                </a:schemeClr>
              </a:solidFill>
            </a:rPr>
            <a:t>Итог:</a:t>
          </a:r>
        </a:p>
        <a:p>
          <a:r>
            <a:rPr lang="ru-RU" sz="1000" b="0" i="1" u="none" baseline="0">
              <a:solidFill>
                <a:schemeClr val="accent4">
                  <a:lumMod val="50000"/>
                </a:schemeClr>
              </a:solidFill>
            </a:rPr>
            <a:t>Проанализировав полученные в результате исследования значения, можно прийти к выводу о сильной прямой зависимости между затратами на технологические инновации организаций и разработанными передовыми производственными технологиями. Поэтому, если предприятие стремится оптимизировать производство и обрести конкурентное преимущество за счет новых технологий, к сожалению, без серьезных дополнительных вложений не обойтись. </a:t>
          </a:r>
        </a:p>
        <a:p>
          <a:endParaRPr lang="ru-RU" sz="1200" b="1" i="0" u="none" baseline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9071</xdr:colOff>
      <xdr:row>0</xdr:row>
      <xdr:rowOff>0</xdr:rowOff>
    </xdr:from>
    <xdr:to>
      <xdr:col>16</xdr:col>
      <xdr:colOff>752928</xdr:colOff>
      <xdr:row>13</xdr:row>
      <xdr:rowOff>154215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734786</xdr:colOff>
      <xdr:row>0</xdr:row>
      <xdr:rowOff>4159</xdr:rowOff>
    </xdr:from>
    <xdr:to>
      <xdr:col>27</xdr:col>
      <xdr:colOff>1286568</xdr:colOff>
      <xdr:row>13</xdr:row>
      <xdr:rowOff>154216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1015999</xdr:colOff>
      <xdr:row>22</xdr:row>
      <xdr:rowOff>181430</xdr:rowOff>
    </xdr:from>
    <xdr:to>
      <xdr:col>18</xdr:col>
      <xdr:colOff>952500</xdr:colOff>
      <xdr:row>25</xdr:row>
      <xdr:rowOff>181430</xdr:rowOff>
    </xdr:to>
    <xdr:sp macro="" textlink="">
      <xdr:nvSpPr>
        <xdr:cNvPr id="4" name="TextBox 3"/>
        <xdr:cNvSpPr txBox="1"/>
      </xdr:nvSpPr>
      <xdr:spPr>
        <a:xfrm>
          <a:off x="18024928" y="6259287"/>
          <a:ext cx="2213429" cy="571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Y=20,007+0,0005*X</a:t>
          </a:r>
          <a:endParaRPr lang="ru-RU" sz="1200"/>
        </a:p>
      </xdr:txBody>
    </xdr:sp>
    <xdr:clientData/>
  </xdr:twoCellAnchor>
  <xdr:twoCellAnchor>
    <xdr:from>
      <xdr:col>26</xdr:col>
      <xdr:colOff>807358</xdr:colOff>
      <xdr:row>23</xdr:row>
      <xdr:rowOff>9072</xdr:rowOff>
    </xdr:from>
    <xdr:to>
      <xdr:col>27</xdr:col>
      <xdr:colOff>743858</xdr:colOff>
      <xdr:row>26</xdr:row>
      <xdr:rowOff>36287</xdr:rowOff>
    </xdr:to>
    <xdr:sp macro="" textlink="">
      <xdr:nvSpPr>
        <xdr:cNvPr id="12" name="TextBox 11"/>
        <xdr:cNvSpPr txBox="1"/>
      </xdr:nvSpPr>
      <xdr:spPr>
        <a:xfrm>
          <a:off x="32312429" y="6277429"/>
          <a:ext cx="2413000" cy="5987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Y=1,9472*X^0,3029</a:t>
          </a:r>
          <a:endParaRPr lang="ru-RU" sz="12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0.20161</cdr:x>
      <cdr:y>0.90598</cdr:y>
    </cdr:from>
    <cdr:to>
      <cdr:x>0.7919</cdr:x>
      <cdr:y>0.96866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33487" y="2982913"/>
          <a:ext cx="3611563" cy="206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/>
            <a:t>Затраты</a:t>
          </a:r>
          <a:r>
            <a:rPr lang="ru-RU" sz="1100" baseline="0"/>
            <a:t> на технологические инновации, млн рублей</a:t>
          </a:r>
          <a:endParaRPr lang="ru-RU" sz="1100"/>
        </a:p>
      </cdr:txBody>
    </cdr:sp>
  </cdr:relSizeAnchor>
  <cdr:relSizeAnchor xmlns:cdr="http://schemas.openxmlformats.org/drawingml/2006/chartDrawing">
    <cdr:from>
      <cdr:x>0.01738</cdr:x>
      <cdr:y>0.0839</cdr:y>
    </cdr:from>
    <cdr:to>
      <cdr:x>0.04852</cdr:x>
      <cdr:y>0.83365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6362" y="276224"/>
          <a:ext cx="190500" cy="2468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0.00519</cdr:x>
      <cdr:y>0.0188</cdr:y>
    </cdr:from>
    <cdr:to>
      <cdr:x>0.08225</cdr:x>
      <cdr:y>0.9566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-1276346" y="1370011"/>
          <a:ext cx="3087688" cy="471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ru-RU" sz="1100"/>
            <a:t>Разработанные передовые производственные технологии,</a:t>
          </a:r>
          <a:r>
            <a:rPr lang="ru-RU" sz="1100" baseline="0"/>
            <a:t> единиц</a:t>
          </a:r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0.20161</cdr:x>
      <cdr:y>0.90598</cdr:y>
    </cdr:from>
    <cdr:to>
      <cdr:x>0.7919</cdr:x>
      <cdr:y>0.96866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33487" y="2982913"/>
          <a:ext cx="3611563" cy="206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/>
            <a:t>Затраты</a:t>
          </a:r>
          <a:r>
            <a:rPr lang="ru-RU" sz="1100" baseline="0"/>
            <a:t> на технологические инновации, млн рублей</a:t>
          </a:r>
          <a:endParaRPr lang="ru-RU" sz="1100"/>
        </a:p>
      </cdr:txBody>
    </cdr:sp>
  </cdr:relSizeAnchor>
  <cdr:relSizeAnchor xmlns:cdr="http://schemas.openxmlformats.org/drawingml/2006/chartDrawing">
    <cdr:from>
      <cdr:x>0.01738</cdr:x>
      <cdr:y>0.0839</cdr:y>
    </cdr:from>
    <cdr:to>
      <cdr:x>0.04852</cdr:x>
      <cdr:y>0.83365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6362" y="276224"/>
          <a:ext cx="190500" cy="2468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0.00519</cdr:x>
      <cdr:y>0.0188</cdr:y>
    </cdr:from>
    <cdr:to>
      <cdr:x>0.08225</cdr:x>
      <cdr:y>0.9566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-1276346" y="1370011"/>
          <a:ext cx="3087688" cy="471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ru-RU" sz="1100"/>
            <a:t>Разработанные передовые производственные технологии,</a:t>
          </a:r>
          <a:r>
            <a:rPr lang="ru-RU" sz="1100" baseline="0"/>
            <a:t> единиц</a:t>
          </a:r>
          <a:endParaRPr lang="ru-RU" sz="1100"/>
        </a:p>
      </cdr:txBody>
    </cdr:sp>
  </cdr:relSizeAnchor>
  <cdr:relSizeAnchor xmlns:cdr="http://schemas.openxmlformats.org/drawingml/2006/chartDrawing">
    <cdr:from>
      <cdr:x>0.90654</cdr:x>
      <cdr:y>0.21914</cdr:y>
    </cdr:from>
    <cdr:to>
      <cdr:x>0.98658</cdr:x>
      <cdr:y>0.60277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7054286" y="730627"/>
          <a:ext cx="1505857" cy="12790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0.91232</cdr:x>
      <cdr:y>0.24906</cdr:y>
    </cdr:from>
    <cdr:to>
      <cdr:x>0.92486</cdr:x>
      <cdr:y>0.26278</cdr:y>
    </cdr:to>
    <cdr:sp macro="" textlink="">
      <cdr:nvSpPr>
        <cdr:cNvPr id="7" name="Прямоугольник 6"/>
        <cdr:cNvSpPr/>
      </cdr:nvSpPr>
      <cdr:spPr>
        <a:xfrm xmlns:a="http://schemas.openxmlformats.org/drawingml/2006/main">
          <a:off x="17163142" y="830413"/>
          <a:ext cx="235857" cy="4571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</a:schemeClr>
        </a:solidFill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0.91232</cdr:x>
      <cdr:y>0.42319</cdr:y>
    </cdr:from>
    <cdr:to>
      <cdr:x>0.92534</cdr:x>
      <cdr:y>0.43691</cdr:y>
    </cdr:to>
    <cdr:sp macro="" textlink="">
      <cdr:nvSpPr>
        <cdr:cNvPr id="8" name="Прямоугольник 7"/>
        <cdr:cNvSpPr/>
      </cdr:nvSpPr>
      <cdr:spPr>
        <a:xfrm xmlns:a="http://schemas.openxmlformats.org/drawingml/2006/main">
          <a:off x="17163143" y="1410985"/>
          <a:ext cx="244928" cy="4571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50000"/>
          </a:schemeClr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0.93499</cdr:x>
      <cdr:y>0.21641</cdr:y>
    </cdr:from>
    <cdr:to>
      <cdr:x>0.99815</cdr:x>
      <cdr:y>0.51026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7589499" y="721555"/>
          <a:ext cx="1188358" cy="979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800"/>
            <a:t>Линейная</a:t>
          </a:r>
          <a:r>
            <a:rPr lang="ru-RU" sz="800" baseline="0"/>
            <a:t> регрессионная модель</a:t>
          </a:r>
        </a:p>
        <a:p xmlns:a="http://schemas.openxmlformats.org/drawingml/2006/main">
          <a:endParaRPr lang="ru-RU" sz="1100" baseline="0"/>
        </a:p>
        <a:p xmlns:a="http://schemas.openxmlformats.org/drawingml/2006/main">
          <a:endParaRPr lang="ru-RU" sz="1100" baseline="0"/>
        </a:p>
        <a:p xmlns:a="http://schemas.openxmlformats.org/drawingml/2006/main">
          <a:r>
            <a:rPr lang="ru-RU" sz="800" baseline="0"/>
            <a:t>Нелинейная регрессионная модель</a:t>
          </a:r>
        </a:p>
        <a:p xmlns:a="http://schemas.openxmlformats.org/drawingml/2006/main">
          <a:endParaRPr lang="ru-RU" sz="800" baseline="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topLeftCell="A11" zoomScale="89" zoomScaleNormal="89" workbookViewId="0">
      <selection activeCell="B46" sqref="B46"/>
    </sheetView>
  </sheetViews>
  <sheetFormatPr defaultRowHeight="14.5" x14ac:dyDescent="0.35"/>
  <cols>
    <col min="1" max="1" width="19.36328125" customWidth="1"/>
    <col min="2" max="2" width="15.90625" customWidth="1"/>
    <col min="3" max="3" width="16.7265625" customWidth="1"/>
    <col min="12" max="12" width="19.90625" customWidth="1"/>
    <col min="13" max="13" width="15.6328125" customWidth="1"/>
    <col min="14" max="14" width="23.6328125" customWidth="1"/>
    <col min="15" max="15" width="25.81640625" customWidth="1"/>
    <col min="16" max="17" width="18.453125" customWidth="1"/>
    <col min="18" max="18" width="32.6328125" customWidth="1"/>
    <col min="19" max="19" width="24.26953125" customWidth="1"/>
    <col min="20" max="20" width="19.54296875" customWidth="1"/>
    <col min="21" max="21" width="15.90625" customWidth="1"/>
    <col min="22" max="22" width="23.26953125" customWidth="1"/>
    <col min="23" max="23" width="20.1796875" customWidth="1"/>
    <col min="24" max="24" width="15.90625" customWidth="1"/>
    <col min="25" max="25" width="33.6328125" customWidth="1"/>
    <col min="26" max="26" width="22.08984375" customWidth="1"/>
    <col min="27" max="27" width="35.453125" customWidth="1"/>
    <col min="28" max="28" width="18.7265625" customWidth="1"/>
  </cols>
  <sheetData>
    <row r="1" spans="1:28" ht="79" customHeight="1" x14ac:dyDescent="0.35">
      <c r="A1" s="5" t="s">
        <v>34</v>
      </c>
      <c r="B1" s="6" t="s">
        <v>37</v>
      </c>
      <c r="C1" s="7" t="s">
        <v>38</v>
      </c>
    </row>
    <row r="2" spans="1:28" s="1" customFormat="1" ht="14.5" customHeight="1" x14ac:dyDescent="0.3">
      <c r="A2" s="8" t="s">
        <v>0</v>
      </c>
      <c r="B2" s="3">
        <v>30798.6</v>
      </c>
      <c r="C2" s="4">
        <v>33</v>
      </c>
    </row>
    <row r="3" spans="1:28" x14ac:dyDescent="0.35">
      <c r="A3" s="8" t="s">
        <v>1</v>
      </c>
      <c r="B3" s="3">
        <v>2525.8000000000002</v>
      </c>
      <c r="C3" s="4">
        <v>21</v>
      </c>
    </row>
    <row r="4" spans="1:28" x14ac:dyDescent="0.35">
      <c r="A4" s="8" t="s">
        <v>2</v>
      </c>
      <c r="B4" s="3">
        <v>7359.9</v>
      </c>
      <c r="C4" s="4">
        <v>23</v>
      </c>
    </row>
    <row r="5" spans="1:28" x14ac:dyDescent="0.35">
      <c r="A5" s="8" t="s">
        <v>3</v>
      </c>
      <c r="B5" s="3">
        <v>19090.7</v>
      </c>
      <c r="C5" s="4">
        <v>29</v>
      </c>
    </row>
    <row r="6" spans="1:28" x14ac:dyDescent="0.35">
      <c r="A6" s="8" t="s">
        <v>4</v>
      </c>
      <c r="B6" s="2">
        <v>544.1</v>
      </c>
      <c r="C6" s="4">
        <v>20</v>
      </c>
    </row>
    <row r="7" spans="1:28" x14ac:dyDescent="0.35">
      <c r="A7" s="8" t="s">
        <v>5</v>
      </c>
      <c r="B7" s="3">
        <v>7733.3</v>
      </c>
      <c r="C7" s="4">
        <v>24</v>
      </c>
    </row>
    <row r="8" spans="1:28" x14ac:dyDescent="0.35">
      <c r="A8" s="8" t="s">
        <v>6</v>
      </c>
      <c r="B8" s="3">
        <v>257162</v>
      </c>
      <c r="C8" s="4">
        <v>91</v>
      </c>
    </row>
    <row r="9" spans="1:28" x14ac:dyDescent="0.35">
      <c r="A9" s="8" t="s">
        <v>7</v>
      </c>
      <c r="B9" s="3">
        <v>4323.7</v>
      </c>
      <c r="C9" s="4">
        <v>22</v>
      </c>
    </row>
    <row r="10" spans="1:28" x14ac:dyDescent="0.35">
      <c r="A10" s="8" t="s">
        <v>8</v>
      </c>
      <c r="B10" s="3">
        <v>3228.8</v>
      </c>
      <c r="C10" s="4">
        <v>23</v>
      </c>
    </row>
    <row r="11" spans="1:28" x14ac:dyDescent="0.35">
      <c r="A11" s="8" t="s">
        <v>9</v>
      </c>
      <c r="B11" s="3">
        <v>4305.7</v>
      </c>
      <c r="C11" s="4">
        <v>21</v>
      </c>
    </row>
    <row r="12" spans="1:28" x14ac:dyDescent="0.35">
      <c r="A12" s="8" t="s">
        <v>10</v>
      </c>
      <c r="B12" s="3">
        <v>22241.599999999999</v>
      </c>
      <c r="C12" s="4">
        <v>32</v>
      </c>
    </row>
    <row r="13" spans="1:28" x14ac:dyDescent="0.35">
      <c r="A13" s="8" t="s">
        <v>11</v>
      </c>
      <c r="B13" s="3">
        <v>12947.3</v>
      </c>
      <c r="C13" s="4">
        <v>19</v>
      </c>
    </row>
    <row r="14" spans="1:28" ht="15" thickBot="1" x14ac:dyDescent="0.4">
      <c r="A14" s="8" t="s">
        <v>12</v>
      </c>
      <c r="B14" s="9">
        <v>645168</v>
      </c>
      <c r="C14" s="10">
        <v>342</v>
      </c>
      <c r="P14" s="11"/>
      <c r="Q14" s="11"/>
    </row>
    <row r="15" spans="1:28" ht="16" thickBot="1" x14ac:dyDescent="0.4">
      <c r="A15" s="8" t="s">
        <v>13</v>
      </c>
      <c r="B15" s="3">
        <v>3908.6</v>
      </c>
      <c r="C15" s="4">
        <v>22</v>
      </c>
      <c r="L15" s="56" t="s">
        <v>61</v>
      </c>
      <c r="M15" s="57"/>
      <c r="N15" s="57"/>
      <c r="O15" s="57"/>
      <c r="P15" s="57"/>
      <c r="Q15" s="58"/>
      <c r="R15" s="46" t="s">
        <v>62</v>
      </c>
      <c r="S15" s="34"/>
      <c r="T15" s="12" t="s">
        <v>63</v>
      </c>
      <c r="U15" s="11"/>
      <c r="V15" s="11"/>
      <c r="W15" s="11"/>
      <c r="X15" s="12"/>
      <c r="Y15" s="11"/>
      <c r="Z15" s="11"/>
      <c r="AA15" s="33" t="s">
        <v>67</v>
      </c>
      <c r="AB15" s="34"/>
    </row>
    <row r="16" spans="1:28" ht="34.5" customHeight="1" thickBot="1" x14ac:dyDescent="0.4">
      <c r="A16" s="8" t="s">
        <v>14</v>
      </c>
      <c r="B16" s="3">
        <v>1434.7</v>
      </c>
      <c r="C16" s="4">
        <v>21</v>
      </c>
      <c r="L16" s="59" t="s">
        <v>39</v>
      </c>
      <c r="M16" s="35" t="s">
        <v>40</v>
      </c>
      <c r="N16" s="45" t="s">
        <v>41</v>
      </c>
      <c r="O16" s="43" t="s">
        <v>49</v>
      </c>
      <c r="P16" s="13" t="s">
        <v>59</v>
      </c>
      <c r="Q16" s="13" t="s">
        <v>60</v>
      </c>
      <c r="R16" s="47" t="s">
        <v>45</v>
      </c>
      <c r="S16" s="65">
        <f>(M54-B39*C39)/(B40*C40)</f>
        <v>0.94883852249614686</v>
      </c>
      <c r="T16" s="70" t="s">
        <v>57</v>
      </c>
      <c r="U16" s="71" t="s">
        <v>58</v>
      </c>
      <c r="V16" s="72" t="s">
        <v>54</v>
      </c>
      <c r="W16" s="73" t="s">
        <v>53</v>
      </c>
      <c r="X16" s="74" t="s">
        <v>66</v>
      </c>
      <c r="Y16" s="75" t="s">
        <v>64</v>
      </c>
      <c r="Z16" s="76" t="s">
        <v>65</v>
      </c>
      <c r="AA16" s="47" t="s">
        <v>45</v>
      </c>
      <c r="AB16" s="31">
        <f>S16</f>
        <v>0.94883852249614686</v>
      </c>
    </row>
    <row r="17" spans="1:28" ht="23" customHeight="1" thickBot="1" x14ac:dyDescent="0.4">
      <c r="A17" s="8" t="s">
        <v>15</v>
      </c>
      <c r="B17" s="2">
        <v>381.1</v>
      </c>
      <c r="C17" s="4">
        <v>19</v>
      </c>
      <c r="L17" s="60">
        <f>B2^2</f>
        <v>948553761.95999992</v>
      </c>
      <c r="M17" s="14">
        <f>B2*C2</f>
        <v>1016353.7999999999</v>
      </c>
      <c r="N17" s="36">
        <f t="shared" ref="N17:N52" si="0">ABS((C2-($S$18+$S$17*B2))/C2)</f>
        <v>6.6674324978959712E-2</v>
      </c>
      <c r="O17" s="36">
        <f t="shared" ref="O17:O52" si="1">$S$17*B2+$S$18</f>
        <v>35.20025272430567</v>
      </c>
      <c r="P17" s="36">
        <f t="shared" ref="P17:P52" si="2">(C2-($S$18+$S$17*B2))^2</f>
        <v>4.8411120508145249</v>
      </c>
      <c r="Q17" s="36">
        <f>(C2-$C$39)^2</f>
        <v>144.72090000000003</v>
      </c>
      <c r="R17" s="48" t="s">
        <v>47</v>
      </c>
      <c r="S17" s="66">
        <f>(M54-B39*C39)/(B40^2)</f>
        <v>4.9330984928878799E-4</v>
      </c>
      <c r="T17" s="77">
        <f>LOG10(C2)</f>
        <v>1.5185139398778875</v>
      </c>
      <c r="U17" s="78">
        <f>W17*T17</f>
        <v>6.8158968557087372</v>
      </c>
      <c r="V17" s="79">
        <f>W17^2</f>
        <v>20.146910317067022</v>
      </c>
      <c r="W17" s="79">
        <f>LOG10(B2)</f>
        <v>4.4885309753935108</v>
      </c>
      <c r="X17" s="79">
        <f>ABS(C2-$AB$18*(B2^($AB$17)))</f>
        <v>11.541963583922424</v>
      </c>
      <c r="Y17" s="79">
        <f>X17/C2</f>
        <v>0.34975647224007345</v>
      </c>
      <c r="Z17" s="80">
        <f>X17^2</f>
        <v>133.21692337259137</v>
      </c>
      <c r="AA17" s="48" t="s">
        <v>55</v>
      </c>
      <c r="AB17" s="32">
        <f>(U54-T54*W54)/(V54-W54^2)</f>
        <v>0.30285029077791825</v>
      </c>
    </row>
    <row r="18" spans="1:28" ht="23" customHeight="1" thickBot="1" x14ac:dyDescent="0.4">
      <c r="A18" s="8" t="s">
        <v>16</v>
      </c>
      <c r="B18" s="3">
        <v>158468</v>
      </c>
      <c r="C18" s="4">
        <v>192</v>
      </c>
      <c r="L18" s="60">
        <f t="shared" ref="L18:L52" si="3">B3^2</f>
        <v>6379665.6400000006</v>
      </c>
      <c r="M18" s="14">
        <f t="shared" ref="M18:M52" si="4">B3*C3</f>
        <v>53041.8</v>
      </c>
      <c r="N18" s="36">
        <f t="shared" si="0"/>
        <v>1.2047715111124816E-2</v>
      </c>
      <c r="O18" s="36">
        <f t="shared" si="1"/>
        <v>21.253002017333621</v>
      </c>
      <c r="P18" s="36">
        <f t="shared" si="2"/>
        <v>6.4010020774881937E-2</v>
      </c>
      <c r="Q18" s="36">
        <f t="shared" ref="Q18:Q52" si="5">(C3-$C$39)^2</f>
        <v>577.44090000000006</v>
      </c>
      <c r="R18" s="48" t="s">
        <v>46</v>
      </c>
      <c r="S18" s="66">
        <f>ROUND(C39-S17*B39, 3)</f>
        <v>20.007000000000001</v>
      </c>
      <c r="T18" s="60">
        <f t="shared" ref="T18:T52" si="6">LOG10(C3)</f>
        <v>1.3222192947339193</v>
      </c>
      <c r="U18" s="14">
        <f t="shared" ref="U18:U52" si="7">W18*T18</f>
        <v>4.4987175518576761</v>
      </c>
      <c r="V18" s="36">
        <f t="shared" ref="V18:V52" si="8">W18^2</f>
        <v>11.57631867561385</v>
      </c>
      <c r="W18" s="36">
        <f t="shared" ref="W18:W52" si="9">LOG10(B3)</f>
        <v>3.4023989589132326</v>
      </c>
      <c r="X18" s="79">
        <f t="shared" ref="X18:X52" si="10">ABS(C3-$AB$18*(B3^($AB$17)))</f>
        <v>0.11502491497795475</v>
      </c>
      <c r="Y18" s="36">
        <f t="shared" ref="Y18:Y52" si="11">X18/C3</f>
        <v>5.4773769037121311E-3</v>
      </c>
      <c r="Z18" s="68">
        <f t="shared" ref="Z18:Z52" si="12">X18^2</f>
        <v>1.323073106568572E-2</v>
      </c>
      <c r="AA18" s="48" t="s">
        <v>56</v>
      </c>
      <c r="AB18" s="32">
        <f>10^(T54-AB17*W54)</f>
        <v>1.947226393164142</v>
      </c>
    </row>
    <row r="19" spans="1:28" s="40" customFormat="1" ht="31.5" customHeight="1" thickBot="1" x14ac:dyDescent="0.4">
      <c r="A19" s="37" t="s">
        <v>17</v>
      </c>
      <c r="B19" s="38">
        <v>32301.9</v>
      </c>
      <c r="C19" s="39">
        <v>57</v>
      </c>
      <c r="L19" s="61">
        <f t="shared" si="3"/>
        <v>54168128.009999998</v>
      </c>
      <c r="M19" s="41">
        <f t="shared" si="4"/>
        <v>169277.69999999998</v>
      </c>
      <c r="N19" s="36">
        <f t="shared" si="0"/>
        <v>2.7726572164371778E-2</v>
      </c>
      <c r="O19" s="36">
        <f t="shared" si="1"/>
        <v>23.637711159780551</v>
      </c>
      <c r="P19" s="36">
        <f t="shared" si="2"/>
        <v>0.40667552330865536</v>
      </c>
      <c r="Q19" s="36">
        <f t="shared" si="5"/>
        <v>485.32090000000005</v>
      </c>
      <c r="R19" s="49" t="s">
        <v>48</v>
      </c>
      <c r="S19" s="67">
        <f>(N53*100)/36</f>
        <v>14.821379788947715</v>
      </c>
      <c r="T19" s="60">
        <f t="shared" si="6"/>
        <v>1.3617278360175928</v>
      </c>
      <c r="U19" s="14">
        <f t="shared" si="7"/>
        <v>5.2656271230054115</v>
      </c>
      <c r="V19" s="36">
        <f t="shared" si="8"/>
        <v>14.952698395857279</v>
      </c>
      <c r="W19" s="36">
        <f t="shared" si="9"/>
        <v>3.8668719135571687</v>
      </c>
      <c r="X19" s="79">
        <f t="shared" si="10"/>
        <v>5.8735198995878122</v>
      </c>
      <c r="Y19" s="36">
        <f t="shared" si="11"/>
        <v>0.25537043041686142</v>
      </c>
      <c r="Z19" s="68">
        <f t="shared" si="12"/>
        <v>34.498236010854022</v>
      </c>
      <c r="AA19" s="69" t="s">
        <v>48</v>
      </c>
      <c r="AB19" s="32">
        <f>(Y53*100)/36</f>
        <v>27.011717393300877</v>
      </c>
    </row>
    <row r="20" spans="1:28" ht="31.5" customHeight="1" thickBot="1" x14ac:dyDescent="0.4">
      <c r="A20" s="8" t="s">
        <v>18</v>
      </c>
      <c r="B20" s="3">
        <v>3324.3</v>
      </c>
      <c r="C20" s="4">
        <v>16</v>
      </c>
      <c r="L20" s="60">
        <f t="shared" si="3"/>
        <v>364454826.49000001</v>
      </c>
      <c r="M20" s="14">
        <f t="shared" si="4"/>
        <v>553630.30000000005</v>
      </c>
      <c r="N20" s="36">
        <f t="shared" si="0"/>
        <v>1.4642425510947204E-2</v>
      </c>
      <c r="O20" s="36">
        <f t="shared" si="1"/>
        <v>29.424630339817469</v>
      </c>
      <c r="P20" s="36">
        <f t="shared" si="2"/>
        <v>0.18031092549349911</v>
      </c>
      <c r="Q20" s="36">
        <f t="shared" si="5"/>
        <v>256.96090000000004</v>
      </c>
      <c r="R20" s="50" t="s">
        <v>50</v>
      </c>
      <c r="S20" s="66">
        <f>(P53^(1/2))/6</f>
        <v>19.198846179998295</v>
      </c>
      <c r="T20" s="60">
        <f t="shared" si="6"/>
        <v>1.4623979978989561</v>
      </c>
      <c r="U20" s="14">
        <f t="shared" si="7"/>
        <v>6.260265307176188</v>
      </c>
      <c r="V20" s="36">
        <f t="shared" si="8"/>
        <v>18.325435737045595</v>
      </c>
      <c r="W20" s="36">
        <f t="shared" si="9"/>
        <v>4.2808218529910347</v>
      </c>
      <c r="X20" s="79">
        <f t="shared" si="10"/>
        <v>9.5358187285925737</v>
      </c>
      <c r="Y20" s="36">
        <f t="shared" si="11"/>
        <v>0.32882133546870945</v>
      </c>
      <c r="Z20" s="68">
        <f t="shared" si="12"/>
        <v>90.931838824576886</v>
      </c>
      <c r="AA20" s="50" t="s">
        <v>50</v>
      </c>
      <c r="AB20" s="32">
        <f>((Z53)^(1/2))/6</f>
        <v>44.360992735561446</v>
      </c>
    </row>
    <row r="21" spans="1:28" ht="28.5" customHeight="1" thickBot="1" x14ac:dyDescent="0.4">
      <c r="A21" s="8" t="s">
        <v>19</v>
      </c>
      <c r="B21" s="3">
        <v>32956.699999999997</v>
      </c>
      <c r="C21" s="4">
        <v>31</v>
      </c>
      <c r="L21" s="60">
        <f t="shared" si="3"/>
        <v>296044.81</v>
      </c>
      <c r="M21" s="14">
        <f t="shared" si="4"/>
        <v>10882</v>
      </c>
      <c r="N21" s="36">
        <f t="shared" si="0"/>
        <v>1.3770494449901527E-2</v>
      </c>
      <c r="O21" s="36">
        <f t="shared" si="1"/>
        <v>20.275409888998031</v>
      </c>
      <c r="P21" s="36">
        <f t="shared" si="2"/>
        <v>7.5850606957907504E-2</v>
      </c>
      <c r="Q21" s="36">
        <f t="shared" si="5"/>
        <v>626.5009</v>
      </c>
      <c r="R21" s="51" t="s">
        <v>51</v>
      </c>
      <c r="S21" s="66">
        <f>1-P53/Q53</f>
        <v>0.90023346670641868</v>
      </c>
      <c r="T21" s="60">
        <f t="shared" si="6"/>
        <v>1.3010299956639813</v>
      </c>
      <c r="U21" s="14">
        <f t="shared" si="7"/>
        <v>3.559200080903405</v>
      </c>
      <c r="V21" s="36">
        <f t="shared" si="8"/>
        <v>7.4839380913741547</v>
      </c>
      <c r="W21" s="36">
        <f t="shared" si="9"/>
        <v>2.7356787259059048</v>
      </c>
      <c r="X21" s="79">
        <f t="shared" si="10"/>
        <v>6.8804921093641891</v>
      </c>
      <c r="Y21" s="36">
        <f t="shared" si="11"/>
        <v>0.34402460546820945</v>
      </c>
      <c r="Z21" s="68">
        <f t="shared" si="12"/>
        <v>47.34117166702287</v>
      </c>
      <c r="AA21" s="52" t="s">
        <v>51</v>
      </c>
      <c r="AB21" s="32">
        <f>1-Z53/Q53</f>
        <v>0.46735588094867886</v>
      </c>
    </row>
    <row r="22" spans="1:28" ht="26" customHeight="1" thickBot="1" x14ac:dyDescent="0.4">
      <c r="A22" s="8" t="s">
        <v>20</v>
      </c>
      <c r="B22" s="3">
        <v>1174.3</v>
      </c>
      <c r="C22" s="4">
        <v>18</v>
      </c>
      <c r="L22" s="60">
        <f t="shared" si="3"/>
        <v>59803928.890000001</v>
      </c>
      <c r="M22" s="14">
        <f t="shared" si="4"/>
        <v>185599.2</v>
      </c>
      <c r="N22" s="36">
        <f t="shared" si="0"/>
        <v>7.4202892706255836E-3</v>
      </c>
      <c r="O22" s="36">
        <f t="shared" si="1"/>
        <v>23.821913057504986</v>
      </c>
      <c r="P22" s="36">
        <f t="shared" si="2"/>
        <v>3.1714959087222425E-2</v>
      </c>
      <c r="Q22" s="36">
        <f t="shared" si="5"/>
        <v>442.26090000000005</v>
      </c>
      <c r="R22" s="52" t="s">
        <v>52</v>
      </c>
      <c r="S22" s="66">
        <f>S17*(B39/C39)</f>
        <v>0.55569677169080911</v>
      </c>
      <c r="T22" s="60">
        <f t="shared" si="6"/>
        <v>1.3802112417116059</v>
      </c>
      <c r="U22" s="14">
        <f t="shared" si="7"/>
        <v>5.3667648891753528</v>
      </c>
      <c r="V22" s="36">
        <f t="shared" si="8"/>
        <v>15.119381270548702</v>
      </c>
      <c r="W22" s="36">
        <f t="shared" si="9"/>
        <v>3.8883648582082291</v>
      </c>
      <c r="X22" s="79">
        <f t="shared" si="10"/>
        <v>5.309531427596621</v>
      </c>
      <c r="Y22" s="36">
        <f t="shared" si="11"/>
        <v>0.22123047614985922</v>
      </c>
      <c r="Z22" s="68">
        <f t="shared" si="12"/>
        <v>28.191123980636213</v>
      </c>
      <c r="AA22" s="52" t="s">
        <v>52</v>
      </c>
      <c r="AB22" s="32">
        <f>S22</f>
        <v>0.55569677169080911</v>
      </c>
    </row>
    <row r="23" spans="1:28" ht="15" thickBot="1" x14ac:dyDescent="0.4">
      <c r="A23" s="8" t="s">
        <v>21</v>
      </c>
      <c r="B23" s="44">
        <v>22.8</v>
      </c>
      <c r="C23" s="4">
        <v>10</v>
      </c>
      <c r="L23" s="60">
        <f t="shared" si="3"/>
        <v>66132294244</v>
      </c>
      <c r="M23" s="14">
        <f t="shared" si="4"/>
        <v>23401742</v>
      </c>
      <c r="N23" s="36">
        <f t="shared" si="0"/>
        <v>0.61392909299783838</v>
      </c>
      <c r="O23" s="36">
        <f t="shared" si="1"/>
        <v>146.86754746280329</v>
      </c>
      <c r="P23" s="36">
        <f t="shared" si="2"/>
        <v>3121.1828595085781</v>
      </c>
      <c r="Q23" s="36">
        <f t="shared" si="5"/>
        <v>2113.2408999999998</v>
      </c>
      <c r="T23" s="60">
        <f t="shared" si="6"/>
        <v>1.9590413923210936</v>
      </c>
      <c r="U23" s="14">
        <f t="shared" si="7"/>
        <v>10.598819051828476</v>
      </c>
      <c r="V23" s="36">
        <f t="shared" si="8"/>
        <v>29.270337561386828</v>
      </c>
      <c r="W23" s="36">
        <f t="shared" si="9"/>
        <v>5.4102067946971149</v>
      </c>
      <c r="X23" s="79">
        <f t="shared" si="10"/>
        <v>6.2969305655211087</v>
      </c>
      <c r="Y23" s="36">
        <f t="shared" si="11"/>
        <v>6.9197039181550651E-2</v>
      </c>
      <c r="Z23" s="68">
        <f t="shared" si="12"/>
        <v>39.651334546993994</v>
      </c>
    </row>
    <row r="24" spans="1:28" ht="15" thickBot="1" x14ac:dyDescent="0.4">
      <c r="A24" s="8" t="s">
        <v>22</v>
      </c>
      <c r="B24" s="3">
        <v>5706.6</v>
      </c>
      <c r="C24" s="4">
        <v>32</v>
      </c>
      <c r="L24" s="60">
        <f t="shared" si="3"/>
        <v>18694381.689999998</v>
      </c>
      <c r="M24" s="14">
        <f t="shared" si="4"/>
        <v>95121.4</v>
      </c>
      <c r="N24" s="36">
        <f t="shared" si="0"/>
        <v>6.360172516815219E-3</v>
      </c>
      <c r="O24" s="36">
        <f t="shared" si="1"/>
        <v>22.139923795369935</v>
      </c>
      <c r="P24" s="36">
        <f t="shared" si="2"/>
        <v>1.9578668510727395E-2</v>
      </c>
      <c r="Q24" s="36">
        <f t="shared" si="5"/>
        <v>530.3809</v>
      </c>
      <c r="T24" s="60">
        <f t="shared" si="6"/>
        <v>1.3424226808222062</v>
      </c>
      <c r="U24" s="14">
        <f t="shared" si="7"/>
        <v>4.8808549582672773</v>
      </c>
      <c r="V24" s="36">
        <f t="shared" si="8"/>
        <v>13.219445600800574</v>
      </c>
      <c r="W24" s="36">
        <f t="shared" si="9"/>
        <v>3.6358555527964218</v>
      </c>
      <c r="X24" s="79">
        <f t="shared" si="10"/>
        <v>2.5774238316601767</v>
      </c>
      <c r="Y24" s="36">
        <f t="shared" si="11"/>
        <v>0.11715562871182622</v>
      </c>
      <c r="Z24" s="68">
        <f t="shared" si="12"/>
        <v>6.643113608009827</v>
      </c>
    </row>
    <row r="25" spans="1:28" ht="15" thickBot="1" x14ac:dyDescent="0.4">
      <c r="A25" s="8" t="s">
        <v>23</v>
      </c>
      <c r="B25" s="3">
        <v>1377.2</v>
      </c>
      <c r="C25" s="4">
        <v>21</v>
      </c>
      <c r="L25" s="60">
        <f t="shared" si="3"/>
        <v>10425149.440000001</v>
      </c>
      <c r="M25" s="14">
        <f t="shared" si="4"/>
        <v>74262.400000000009</v>
      </c>
      <c r="N25" s="36">
        <f t="shared" si="0"/>
        <v>6.0878311244189492E-2</v>
      </c>
      <c r="O25" s="36">
        <f t="shared" si="1"/>
        <v>21.599798841383642</v>
      </c>
      <c r="P25" s="36">
        <f t="shared" si="2"/>
        <v>1.9605632845905923</v>
      </c>
      <c r="Q25" s="36">
        <f t="shared" si="5"/>
        <v>485.32090000000005</v>
      </c>
      <c r="T25" s="60">
        <f t="shared" si="6"/>
        <v>1.3617278360175928</v>
      </c>
      <c r="U25" s="14">
        <f t="shared" si="7"/>
        <v>4.7783590042740514</v>
      </c>
      <c r="V25" s="36">
        <f t="shared" si="8"/>
        <v>12.313369754192614</v>
      </c>
      <c r="W25" s="36">
        <f t="shared" si="9"/>
        <v>3.5090411445568166</v>
      </c>
      <c r="X25" s="79">
        <f t="shared" si="10"/>
        <v>0.50269073834339295</v>
      </c>
      <c r="Y25" s="36">
        <f t="shared" si="11"/>
        <v>2.1856119058408389E-2</v>
      </c>
      <c r="Z25" s="68">
        <f t="shared" si="12"/>
        <v>0.25269797841622554</v>
      </c>
    </row>
    <row r="26" spans="1:28" ht="15" thickBot="1" x14ac:dyDescent="0.4">
      <c r="A26" s="8" t="s">
        <v>24</v>
      </c>
      <c r="B26" s="3">
        <v>5510.7</v>
      </c>
      <c r="C26" s="4">
        <v>18</v>
      </c>
      <c r="L26" s="60">
        <f t="shared" si="3"/>
        <v>18539052.489999998</v>
      </c>
      <c r="M26" s="14">
        <f t="shared" si="4"/>
        <v>90419.7</v>
      </c>
      <c r="N26" s="36">
        <f t="shared" si="0"/>
        <v>5.3859248480130247E-2</v>
      </c>
      <c r="O26" s="36">
        <f t="shared" si="1"/>
        <v>22.131044218082735</v>
      </c>
      <c r="P26" s="36">
        <f t="shared" si="2"/>
        <v>1.2792610232583856</v>
      </c>
      <c r="Q26" s="36">
        <f t="shared" si="5"/>
        <v>577.44090000000006</v>
      </c>
      <c r="T26" s="60">
        <f t="shared" si="6"/>
        <v>1.3222192947339193</v>
      </c>
      <c r="U26" s="14">
        <f t="shared" si="7"/>
        <v>4.8050027866851854</v>
      </c>
      <c r="V26" s="36">
        <f t="shared" si="8"/>
        <v>13.20627410074777</v>
      </c>
      <c r="W26" s="36">
        <f t="shared" si="9"/>
        <v>3.6340437670380044</v>
      </c>
      <c r="X26" s="79">
        <f t="shared" si="10"/>
        <v>3.5463916318423223</v>
      </c>
      <c r="Y26" s="36">
        <f t="shared" si="11"/>
        <v>0.16887579199249153</v>
      </c>
      <c r="Z26" s="68">
        <f t="shared" si="12"/>
        <v>12.576893606401249</v>
      </c>
    </row>
    <row r="27" spans="1:28" ht="15" thickBot="1" x14ac:dyDescent="0.4">
      <c r="A27" s="8" t="s">
        <v>35</v>
      </c>
      <c r="B27" s="3">
        <v>203075</v>
      </c>
      <c r="C27" s="4">
        <v>123</v>
      </c>
      <c r="L27" s="60">
        <f t="shared" si="3"/>
        <v>494688770.55999994</v>
      </c>
      <c r="M27" s="14">
        <f t="shared" si="4"/>
        <v>711731.19999999995</v>
      </c>
      <c r="N27" s="36">
        <f t="shared" si="0"/>
        <v>3.1906239251827895E-2</v>
      </c>
      <c r="O27" s="36">
        <f t="shared" si="1"/>
        <v>30.979000343941507</v>
      </c>
      <c r="P27" s="36">
        <f t="shared" si="2"/>
        <v>1.0424402976715603</v>
      </c>
      <c r="Q27" s="36">
        <f t="shared" si="5"/>
        <v>169.78090000000003</v>
      </c>
      <c r="T27" s="60">
        <f t="shared" si="6"/>
        <v>1.505149978319906</v>
      </c>
      <c r="U27" s="14">
        <f t="shared" si="7"/>
        <v>6.5431368497771683</v>
      </c>
      <c r="V27" s="36">
        <f t="shared" si="8"/>
        <v>18.897852457552229</v>
      </c>
      <c r="W27" s="36">
        <f t="shared" si="9"/>
        <v>4.3471660259935128</v>
      </c>
      <c r="X27" s="79">
        <f t="shared" si="10"/>
        <v>8.3605376099327913</v>
      </c>
      <c r="Y27" s="36">
        <f t="shared" si="11"/>
        <v>0.26126680031039973</v>
      </c>
      <c r="Z27" s="68">
        <f t="shared" si="12"/>
        <v>69.898589127100706</v>
      </c>
    </row>
    <row r="28" spans="1:28" ht="15" thickBot="1" x14ac:dyDescent="0.4">
      <c r="A28" s="8" t="s">
        <v>25</v>
      </c>
      <c r="B28" s="3">
        <v>5093.1000000000004</v>
      </c>
      <c r="C28" s="4">
        <v>23</v>
      </c>
      <c r="L28" s="60">
        <f t="shared" si="3"/>
        <v>167632577.28999999</v>
      </c>
      <c r="M28" s="14">
        <f t="shared" si="4"/>
        <v>245998.69999999998</v>
      </c>
      <c r="N28" s="36">
        <f t="shared" si="0"/>
        <v>0.38915950587877512</v>
      </c>
      <c r="O28" s="36">
        <f t="shared" si="1"/>
        <v>26.394030611696728</v>
      </c>
      <c r="P28" s="36">
        <f t="shared" si="2"/>
        <v>54.671688686708286</v>
      </c>
      <c r="Q28" s="36">
        <f t="shared" si="5"/>
        <v>677.56090000000006</v>
      </c>
      <c r="T28" s="60">
        <f t="shared" si="6"/>
        <v>1.2787536009528289</v>
      </c>
      <c r="U28" s="14">
        <f t="shared" si="7"/>
        <v>5.2584639739477002</v>
      </c>
      <c r="V28" s="36">
        <f t="shared" si="8"/>
        <v>16.910017864140066</v>
      </c>
      <c r="W28" s="36">
        <f t="shared" si="9"/>
        <v>4.1121792110923456</v>
      </c>
      <c r="X28" s="79">
        <f t="shared" si="10"/>
        <v>15.260296507174282</v>
      </c>
      <c r="Y28" s="36">
        <f t="shared" si="11"/>
        <v>0.80317350037759372</v>
      </c>
      <c r="Z28" s="68">
        <f t="shared" si="12"/>
        <v>232.87664948687558</v>
      </c>
    </row>
    <row r="29" spans="1:28" ht="15" thickBot="1" x14ac:dyDescent="0.4">
      <c r="A29" s="8" t="s">
        <v>36</v>
      </c>
      <c r="B29" s="3">
        <v>5088.2</v>
      </c>
      <c r="C29" s="4">
        <v>22</v>
      </c>
      <c r="L29" s="60">
        <f t="shared" si="3"/>
        <v>416241748224</v>
      </c>
      <c r="M29" s="14">
        <f t="shared" si="4"/>
        <v>220647456</v>
      </c>
      <c r="N29" s="36">
        <f t="shared" si="0"/>
        <v>1.0892605713599998E-2</v>
      </c>
      <c r="O29" s="36">
        <f t="shared" si="1"/>
        <v>338.2747288459488</v>
      </c>
      <c r="P29" s="36">
        <f t="shared" si="2"/>
        <v>13.877645171205955</v>
      </c>
      <c r="Q29" s="36">
        <f t="shared" si="5"/>
        <v>88191.180900000021</v>
      </c>
      <c r="T29" s="60">
        <f t="shared" si="6"/>
        <v>2.5340261060561349</v>
      </c>
      <c r="U29" s="14">
        <f t="shared" si="7"/>
        <v>14.721862589644749</v>
      </c>
      <c r="V29" s="36">
        <f t="shared" si="8"/>
        <v>33.752298257655603</v>
      </c>
      <c r="W29" s="36">
        <f t="shared" si="9"/>
        <v>5.809672818468834</v>
      </c>
      <c r="X29" s="79">
        <f t="shared" si="10"/>
        <v>230.08776996598712</v>
      </c>
      <c r="Y29" s="36">
        <f t="shared" si="11"/>
        <v>0.67277125721048869</v>
      </c>
      <c r="Z29" s="68">
        <f t="shared" si="12"/>
        <v>52940.381887921008</v>
      </c>
    </row>
    <row r="30" spans="1:28" ht="15" thickBot="1" x14ac:dyDescent="0.4">
      <c r="A30" s="8" t="s">
        <v>26</v>
      </c>
      <c r="B30" s="3">
        <v>54866.400000000001</v>
      </c>
      <c r="C30" s="4">
        <v>48</v>
      </c>
      <c r="L30" s="60">
        <f t="shared" si="3"/>
        <v>15277153.959999999</v>
      </c>
      <c r="M30" s="14">
        <f t="shared" si="4"/>
        <v>85989.2</v>
      </c>
      <c r="N30" s="36">
        <f t="shared" si="0"/>
        <v>2.9476874122655065E-3</v>
      </c>
      <c r="O30" s="36">
        <f t="shared" si="1"/>
        <v>21.935150876930159</v>
      </c>
      <c r="P30" s="36">
        <f t="shared" si="2"/>
        <v>4.2054087629274026E-3</v>
      </c>
      <c r="Q30" s="36">
        <f t="shared" si="5"/>
        <v>530.3809</v>
      </c>
      <c r="T30" s="60">
        <f t="shared" si="6"/>
        <v>1.3424226808222062</v>
      </c>
      <c r="U30" s="14">
        <f t="shared" si="7"/>
        <v>4.8220107660451896</v>
      </c>
      <c r="V30" s="36">
        <f t="shared" si="8"/>
        <v>12.902616500171868</v>
      </c>
      <c r="W30" s="36">
        <f t="shared" si="9"/>
        <v>3.5920212276894841</v>
      </c>
      <c r="X30" s="79">
        <f t="shared" si="10"/>
        <v>1.837522761325701</v>
      </c>
      <c r="Y30" s="36">
        <f t="shared" si="11"/>
        <v>8.3523761878440961E-2</v>
      </c>
      <c r="Z30" s="68">
        <f t="shared" si="12"/>
        <v>3.3764898983900293</v>
      </c>
    </row>
    <row r="31" spans="1:28" ht="15" thickBot="1" x14ac:dyDescent="0.4">
      <c r="A31" s="8" t="s">
        <v>27</v>
      </c>
      <c r="B31" s="3">
        <v>41175.800000000003</v>
      </c>
      <c r="C31" s="4">
        <v>36</v>
      </c>
      <c r="L31" s="60">
        <f t="shared" si="3"/>
        <v>2058364.09</v>
      </c>
      <c r="M31" s="14">
        <f t="shared" si="4"/>
        <v>30128.7</v>
      </c>
      <c r="N31" s="36">
        <f t="shared" si="0"/>
        <v>1.3583255201208289E-2</v>
      </c>
      <c r="O31" s="36">
        <f t="shared" si="1"/>
        <v>20.714751640774626</v>
      </c>
      <c r="P31" s="36">
        <f t="shared" si="2"/>
        <v>8.1366626440768045E-2</v>
      </c>
      <c r="Q31" s="36">
        <f t="shared" si="5"/>
        <v>577.44090000000006</v>
      </c>
      <c r="T31" s="60">
        <f t="shared" si="6"/>
        <v>1.3222192947339193</v>
      </c>
      <c r="U31" s="14">
        <f t="shared" si="7"/>
        <v>4.1739304330464568</v>
      </c>
      <c r="V31" s="36">
        <f t="shared" si="8"/>
        <v>9.9651406317820435</v>
      </c>
      <c r="W31" s="36">
        <f t="shared" si="9"/>
        <v>3.1567610983066241</v>
      </c>
      <c r="X31" s="79">
        <f t="shared" si="10"/>
        <v>3.4028448148114734</v>
      </c>
      <c r="Y31" s="36">
        <f t="shared" si="11"/>
        <v>0.16204022927673684</v>
      </c>
      <c r="Z31" s="68">
        <f t="shared" si="12"/>
        <v>11.579352833689331</v>
      </c>
    </row>
    <row r="32" spans="1:28" ht="15" thickBot="1" x14ac:dyDescent="0.4">
      <c r="A32" s="8" t="s">
        <v>28</v>
      </c>
      <c r="B32" s="3">
        <v>146562</v>
      </c>
      <c r="C32" s="4">
        <v>71</v>
      </c>
      <c r="L32" s="60">
        <f t="shared" si="3"/>
        <v>145237.21000000002</v>
      </c>
      <c r="M32" s="14">
        <f t="shared" si="4"/>
        <v>7240.9000000000005</v>
      </c>
      <c r="N32" s="36">
        <f t="shared" si="0"/>
        <v>6.2894757029681989E-2</v>
      </c>
      <c r="O32" s="36">
        <f t="shared" si="1"/>
        <v>20.195000383563958</v>
      </c>
      <c r="P32" s="36">
        <f t="shared" si="2"/>
        <v>1.4280259167180063</v>
      </c>
      <c r="Q32" s="36">
        <f t="shared" si="5"/>
        <v>677.56090000000006</v>
      </c>
      <c r="T32" s="60">
        <f t="shared" si="6"/>
        <v>1.2787536009528289</v>
      </c>
      <c r="U32" s="14">
        <f t="shared" si="7"/>
        <v>3.3005128499419132</v>
      </c>
      <c r="V32" s="36">
        <f t="shared" si="8"/>
        <v>6.6617620550789356</v>
      </c>
      <c r="W32" s="36">
        <f t="shared" si="9"/>
        <v>2.5810389487721674</v>
      </c>
      <c r="X32" s="79">
        <f t="shared" si="10"/>
        <v>7.2216394736340384</v>
      </c>
      <c r="Y32" s="36">
        <f t="shared" si="11"/>
        <v>0.38008628808600203</v>
      </c>
      <c r="Z32" s="68">
        <f t="shared" si="12"/>
        <v>52.152076687149311</v>
      </c>
    </row>
    <row r="33" spans="1:26" ht="15" thickBot="1" x14ac:dyDescent="0.4">
      <c r="A33" s="8" t="s">
        <v>29</v>
      </c>
      <c r="B33" s="3">
        <v>16818</v>
      </c>
      <c r="C33" s="4">
        <v>25</v>
      </c>
      <c r="L33" s="60">
        <f t="shared" si="3"/>
        <v>25112107024</v>
      </c>
      <c r="M33" s="14">
        <f t="shared" si="4"/>
        <v>30425856</v>
      </c>
      <c r="N33" s="36">
        <f t="shared" si="0"/>
        <v>0.48864153543179345</v>
      </c>
      <c r="O33" s="36">
        <f t="shared" si="1"/>
        <v>98.180825197095658</v>
      </c>
      <c r="P33" s="36">
        <f t="shared" si="2"/>
        <v>8802.0375606979214</v>
      </c>
      <c r="Q33" s="36">
        <f t="shared" si="5"/>
        <v>21600.180899999999</v>
      </c>
      <c r="T33" s="60">
        <f t="shared" si="6"/>
        <v>2.2833012287035497</v>
      </c>
      <c r="U33" s="14">
        <f t="shared" si="7"/>
        <v>11.873032991486456</v>
      </c>
      <c r="V33" s="36">
        <f t="shared" si="8"/>
        <v>27.03939240209839</v>
      </c>
      <c r="W33" s="36">
        <f t="shared" si="9"/>
        <v>5.1999415767966459</v>
      </c>
      <c r="X33" s="79">
        <f t="shared" si="10"/>
        <v>118.84900024329379</v>
      </c>
      <c r="Y33" s="36">
        <f t="shared" si="11"/>
        <v>0.61900520960048844</v>
      </c>
      <c r="Z33" s="68">
        <f t="shared" si="12"/>
        <v>14125.084858830447</v>
      </c>
    </row>
    <row r="34" spans="1:26" ht="15" thickBot="1" x14ac:dyDescent="0.4">
      <c r="A34" s="8" t="s">
        <v>30</v>
      </c>
      <c r="B34" s="3">
        <v>8110.2</v>
      </c>
      <c r="C34" s="4">
        <v>24</v>
      </c>
      <c r="L34" s="60">
        <f t="shared" si="3"/>
        <v>1043412743.6100001</v>
      </c>
      <c r="M34" s="14">
        <f t="shared" si="4"/>
        <v>1841208.3</v>
      </c>
      <c r="N34" s="36">
        <f t="shared" si="0"/>
        <v>0.36944130840804384</v>
      </c>
      <c r="O34" s="36">
        <f t="shared" si="1"/>
        <v>35.941845420741501</v>
      </c>
      <c r="P34" s="36">
        <f t="shared" si="2"/>
        <v>443.44587428394567</v>
      </c>
      <c r="Q34" s="36">
        <f t="shared" si="5"/>
        <v>143.28089999999997</v>
      </c>
      <c r="T34" s="60">
        <f t="shared" si="6"/>
        <v>1.7558748556724915</v>
      </c>
      <c r="U34" s="14">
        <f t="shared" si="7"/>
        <v>7.9176401836451706</v>
      </c>
      <c r="V34" s="36">
        <f t="shared" si="8"/>
        <v>20.333137772070696</v>
      </c>
      <c r="W34" s="36">
        <f t="shared" si="9"/>
        <v>4.5092280683139876</v>
      </c>
      <c r="X34" s="79">
        <f t="shared" si="10"/>
        <v>11.810505927966091</v>
      </c>
      <c r="Y34" s="36">
        <f t="shared" si="11"/>
        <v>0.20720185838537</v>
      </c>
      <c r="Z34" s="68">
        <f t="shared" si="12"/>
        <v>139.48805027452218</v>
      </c>
    </row>
    <row r="35" spans="1:26" ht="15" thickBot="1" x14ac:dyDescent="0.4">
      <c r="A35" s="8" t="s">
        <v>31</v>
      </c>
      <c r="B35" s="3">
        <v>69821.7</v>
      </c>
      <c r="C35" s="4">
        <v>47</v>
      </c>
      <c r="L35" s="60">
        <f t="shared" si="3"/>
        <v>11050970.490000002</v>
      </c>
      <c r="M35" s="14">
        <f t="shared" si="4"/>
        <v>53188.800000000003</v>
      </c>
      <c r="N35" s="36">
        <f t="shared" si="0"/>
        <v>0.35293187074942001</v>
      </c>
      <c r="O35" s="36">
        <f t="shared" si="1"/>
        <v>21.64690993199072</v>
      </c>
      <c r="P35" s="36">
        <f t="shared" si="2"/>
        <v>31.887591780015438</v>
      </c>
      <c r="Q35" s="36">
        <f t="shared" si="5"/>
        <v>842.74090000000001</v>
      </c>
      <c r="T35" s="60">
        <f t="shared" si="6"/>
        <v>1.2041199826559248</v>
      </c>
      <c r="U35" s="14">
        <f t="shared" si="7"/>
        <v>4.2405495952984333</v>
      </c>
      <c r="V35" s="36">
        <f t="shared" si="8"/>
        <v>12.402372366270448</v>
      </c>
      <c r="W35" s="36">
        <f t="shared" si="9"/>
        <v>3.5217002095962751</v>
      </c>
      <c r="X35" s="79">
        <f t="shared" si="10"/>
        <v>6.6967868937207378</v>
      </c>
      <c r="Y35" s="36">
        <f t="shared" si="11"/>
        <v>0.41854918085754611</v>
      </c>
      <c r="Z35" s="68">
        <f t="shared" si="12"/>
        <v>44.846954699909851</v>
      </c>
    </row>
    <row r="36" spans="1:26" ht="15" thickBot="1" x14ac:dyDescent="0.4">
      <c r="A36" s="15" t="s">
        <v>32</v>
      </c>
      <c r="B36" s="3">
        <v>3375.2</v>
      </c>
      <c r="C36" s="4">
        <v>22</v>
      </c>
      <c r="L36" s="60">
        <f t="shared" si="3"/>
        <v>1086144074.8899999</v>
      </c>
      <c r="M36" s="14">
        <f t="shared" si="4"/>
        <v>1021657.7</v>
      </c>
      <c r="N36" s="36">
        <f t="shared" si="0"/>
        <v>0.16983434548567108</v>
      </c>
      <c r="O36" s="36">
        <f t="shared" si="1"/>
        <v>36.264864710055804</v>
      </c>
      <c r="P36" s="36">
        <f t="shared" si="2"/>
        <v>27.718800415190984</v>
      </c>
      <c r="Q36" s="36">
        <f t="shared" si="5"/>
        <v>196.84090000000003</v>
      </c>
      <c r="T36" s="60">
        <f t="shared" si="6"/>
        <v>1.4913616938342726</v>
      </c>
      <c r="U36" s="14">
        <f t="shared" si="7"/>
        <v>6.7378881969599265</v>
      </c>
      <c r="V36" s="36">
        <f t="shared" si="8"/>
        <v>20.411815445289779</v>
      </c>
      <c r="W36" s="36">
        <f t="shared" si="9"/>
        <v>4.5179437186943554</v>
      </c>
      <c r="X36" s="79">
        <f t="shared" si="10"/>
        <v>14.464981256513745</v>
      </c>
      <c r="Y36" s="36">
        <f t="shared" si="11"/>
        <v>0.46661229859721759</v>
      </c>
      <c r="Z36" s="68">
        <f t="shared" si="12"/>
        <v>209.23568275129398</v>
      </c>
    </row>
    <row r="37" spans="1:26" ht="15" thickBot="1" x14ac:dyDescent="0.4">
      <c r="A37" s="16" t="s">
        <v>33</v>
      </c>
      <c r="B37" s="18">
        <v>8109.5</v>
      </c>
      <c r="C37" s="24">
        <v>23</v>
      </c>
      <c r="L37" s="60">
        <f t="shared" si="3"/>
        <v>1378980.49</v>
      </c>
      <c r="M37" s="14">
        <f t="shared" si="4"/>
        <v>21137.399999999998</v>
      </c>
      <c r="N37" s="36">
        <f t="shared" si="0"/>
        <v>0.14368298644554578</v>
      </c>
      <c r="O37" s="36">
        <f t="shared" si="1"/>
        <v>20.586293756019824</v>
      </c>
      <c r="P37" s="36">
        <f t="shared" si="2"/>
        <v>6.6889153924271287</v>
      </c>
      <c r="Q37" s="36">
        <f t="shared" si="5"/>
        <v>730.62090000000001</v>
      </c>
      <c r="T37" s="60">
        <f t="shared" si="6"/>
        <v>1.255272505103306</v>
      </c>
      <c r="U37" s="14">
        <f t="shared" si="7"/>
        <v>3.8534092518664123</v>
      </c>
      <c r="V37" s="36">
        <f t="shared" si="8"/>
        <v>9.4235434826265898</v>
      </c>
      <c r="W37" s="36">
        <f t="shared" si="9"/>
        <v>3.0697790608815141</v>
      </c>
      <c r="X37" s="79">
        <f t="shared" si="10"/>
        <v>1.4384900953219173</v>
      </c>
      <c r="Y37" s="36">
        <f t="shared" si="11"/>
        <v>7.991611640677318E-2</v>
      </c>
      <c r="Z37" s="68">
        <f t="shared" si="12"/>
        <v>2.0692537543392588</v>
      </c>
    </row>
    <row r="38" spans="1:26" ht="15" thickBot="1" x14ac:dyDescent="0.4">
      <c r="A38" s="19" t="s">
        <v>42</v>
      </c>
      <c r="B38" s="25">
        <f>SUM(B2:B37)</f>
        <v>1826091.4999999998</v>
      </c>
      <c r="C38" s="26">
        <f>SUM(C2:C37)</f>
        <v>1621</v>
      </c>
      <c r="L38" s="60">
        <f t="shared" si="3"/>
        <v>519.84</v>
      </c>
      <c r="M38" s="14">
        <f t="shared" si="4"/>
        <v>228</v>
      </c>
      <c r="N38" s="36">
        <f t="shared" si="0"/>
        <v>1.0018247464563785</v>
      </c>
      <c r="O38" s="36">
        <f t="shared" si="1"/>
        <v>20.018247464563785</v>
      </c>
      <c r="P38" s="36">
        <f t="shared" si="2"/>
        <v>100.36528226123872</v>
      </c>
      <c r="Q38" s="36">
        <f t="shared" si="5"/>
        <v>1227.1009000000001</v>
      </c>
      <c r="T38" s="60">
        <f t="shared" si="6"/>
        <v>1</v>
      </c>
      <c r="U38" s="14">
        <f t="shared" si="7"/>
        <v>1.3579348470004537</v>
      </c>
      <c r="V38" s="36">
        <f t="shared" si="8"/>
        <v>1.8439870486981458</v>
      </c>
      <c r="W38" s="36">
        <f t="shared" si="9"/>
        <v>1.3579348470004537</v>
      </c>
      <c r="X38" s="79">
        <f t="shared" si="10"/>
        <v>4.9804196475167313</v>
      </c>
      <c r="Y38" s="36">
        <f t="shared" si="11"/>
        <v>0.49804196475167312</v>
      </c>
      <c r="Z38" s="68">
        <f t="shared" si="12"/>
        <v>24.80457986537068</v>
      </c>
    </row>
    <row r="39" spans="1:26" ht="15" thickBot="1" x14ac:dyDescent="0.4">
      <c r="A39" s="20" t="s">
        <v>43</v>
      </c>
      <c r="B39" s="17">
        <f>AVERAGE(B2:B37)</f>
        <v>50724.763888888883</v>
      </c>
      <c r="C39" s="27">
        <f>ROUND(AVERAGE(C2:C37),2)</f>
        <v>45.03</v>
      </c>
      <c r="L39" s="60">
        <f t="shared" si="3"/>
        <v>32565283.560000002</v>
      </c>
      <c r="M39" s="14">
        <f t="shared" si="4"/>
        <v>182611.20000000001</v>
      </c>
      <c r="N39" s="36">
        <f t="shared" si="0"/>
        <v>0.28680868793901881</v>
      </c>
      <c r="O39" s="36">
        <f t="shared" si="1"/>
        <v>22.822121985951398</v>
      </c>
      <c r="P39" s="36">
        <f t="shared" si="2"/>
        <v>84.233444840756718</v>
      </c>
      <c r="Q39" s="36">
        <f t="shared" si="5"/>
        <v>169.78090000000003</v>
      </c>
      <c r="T39" s="60">
        <f t="shared" si="6"/>
        <v>1.505149978319906</v>
      </c>
      <c r="U39" s="14">
        <f t="shared" si="7"/>
        <v>5.6539114104237385</v>
      </c>
      <c r="V39" s="36">
        <f t="shared" si="8"/>
        <v>14.11037141207593</v>
      </c>
      <c r="W39" s="36">
        <f t="shared" si="9"/>
        <v>3.7563774320581698</v>
      </c>
      <c r="X39" s="79">
        <f t="shared" si="10"/>
        <v>5.2676926917928348</v>
      </c>
      <c r="Y39" s="36">
        <f t="shared" si="11"/>
        <v>0.16461539661852609</v>
      </c>
      <c r="Z39" s="68">
        <f t="shared" si="12"/>
        <v>27.748586295167641</v>
      </c>
    </row>
    <row r="40" spans="1:26" ht="15" thickBot="1" x14ac:dyDescent="0.4">
      <c r="A40" s="21" t="s">
        <v>44</v>
      </c>
      <c r="B40" s="23">
        <f>_xlfn.STDEV.P(B2:B37)</f>
        <v>116905.03540616528</v>
      </c>
      <c r="C40" s="22">
        <f>ROUND(_xlfn.STDEV.P(C2:C37),2)</f>
        <v>60.78</v>
      </c>
      <c r="L40" s="60">
        <f t="shared" si="3"/>
        <v>1896679.84</v>
      </c>
      <c r="M40" s="14">
        <f t="shared" si="4"/>
        <v>28921.200000000001</v>
      </c>
      <c r="N40" s="36">
        <f t="shared" si="0"/>
        <v>1.4933984550451453E-2</v>
      </c>
      <c r="O40" s="36">
        <f t="shared" si="1"/>
        <v>20.68638632444052</v>
      </c>
      <c r="P40" s="36">
        <f t="shared" si="2"/>
        <v>9.8353537497927093E-2</v>
      </c>
      <c r="Q40" s="36">
        <f t="shared" si="5"/>
        <v>577.44090000000006</v>
      </c>
      <c r="T40" s="60">
        <f t="shared" si="6"/>
        <v>1.3222192947339193</v>
      </c>
      <c r="U40" s="14">
        <f t="shared" si="7"/>
        <v>4.1504424180661106</v>
      </c>
      <c r="V40" s="36">
        <f t="shared" si="8"/>
        <v>9.8533022541058024</v>
      </c>
      <c r="W40" s="36">
        <f t="shared" si="9"/>
        <v>3.1389970140326358</v>
      </c>
      <c r="X40" s="79">
        <f t="shared" si="10"/>
        <v>3.6194863977412695</v>
      </c>
      <c r="Y40" s="36">
        <f t="shared" si="11"/>
        <v>0.17235649513053664</v>
      </c>
      <c r="Z40" s="68">
        <f t="shared" si="12"/>
        <v>13.100681783434071</v>
      </c>
    </row>
    <row r="41" spans="1:26" ht="15" thickBot="1" x14ac:dyDescent="0.4">
      <c r="L41" s="60">
        <f t="shared" si="3"/>
        <v>30367814.489999998</v>
      </c>
      <c r="M41" s="14">
        <f t="shared" si="4"/>
        <v>99192.599999999991</v>
      </c>
      <c r="N41" s="36">
        <f t="shared" si="0"/>
        <v>0.26252681035976244</v>
      </c>
      <c r="O41" s="36">
        <f t="shared" si="1"/>
        <v>22.725482586475724</v>
      </c>
      <c r="P41" s="36">
        <f t="shared" si="2"/>
        <v>22.330185675085303</v>
      </c>
      <c r="Q41" s="36">
        <f t="shared" si="5"/>
        <v>730.62090000000001</v>
      </c>
      <c r="T41" s="60">
        <f t="shared" si="6"/>
        <v>1.255272505103306</v>
      </c>
      <c r="U41" s="14">
        <f t="shared" si="7"/>
        <v>4.6962339928752392</v>
      </c>
      <c r="V41" s="36">
        <f t="shared" si="8"/>
        <v>13.99662808747655</v>
      </c>
      <c r="W41" s="36">
        <f t="shared" si="9"/>
        <v>3.7412067688750579</v>
      </c>
      <c r="X41" s="79">
        <f t="shared" si="10"/>
        <v>8.4509945037225158</v>
      </c>
      <c r="Y41" s="36">
        <f t="shared" si="11"/>
        <v>0.46949969465125085</v>
      </c>
      <c r="Z41" s="68">
        <f t="shared" si="12"/>
        <v>71.419308101948175</v>
      </c>
    </row>
    <row r="42" spans="1:26" ht="15" thickBot="1" x14ac:dyDescent="0.4">
      <c r="L42" s="60">
        <f t="shared" si="3"/>
        <v>41239455625</v>
      </c>
      <c r="M42" s="14">
        <f t="shared" si="4"/>
        <v>24978225</v>
      </c>
      <c r="N42" s="36">
        <f t="shared" si="0"/>
        <v>2.2878880940482658E-2</v>
      </c>
      <c r="O42" s="36">
        <f t="shared" si="1"/>
        <v>120.18589764432063</v>
      </c>
      <c r="P42" s="36">
        <f t="shared" si="2"/>
        <v>7.9191720682401625</v>
      </c>
      <c r="Q42" s="36">
        <f t="shared" si="5"/>
        <v>6079.3208999999997</v>
      </c>
      <c r="T42" s="60">
        <f t="shared" si="6"/>
        <v>2.0899051114393981</v>
      </c>
      <c r="U42" s="14">
        <f t="shared" si="7"/>
        <v>11.092498369502499</v>
      </c>
      <c r="V42" s="36">
        <f t="shared" si="8"/>
        <v>28.171217117616575</v>
      </c>
      <c r="W42" s="36">
        <f t="shared" si="9"/>
        <v>5.3076564619063822</v>
      </c>
      <c r="X42" s="79">
        <f t="shared" si="10"/>
        <v>44.142727756189842</v>
      </c>
      <c r="Y42" s="36">
        <f t="shared" si="11"/>
        <v>0.35888396549747842</v>
      </c>
      <c r="Z42" s="68">
        <f t="shared" si="12"/>
        <v>1948.5804137570931</v>
      </c>
    </row>
    <row r="43" spans="1:26" ht="15" thickBot="1" x14ac:dyDescent="0.4">
      <c r="L43" s="60">
        <f t="shared" si="3"/>
        <v>25939667.610000003</v>
      </c>
      <c r="M43" s="14">
        <f t="shared" si="4"/>
        <v>117141.3</v>
      </c>
      <c r="N43" s="36">
        <f t="shared" si="0"/>
        <v>2.0892330721185768E-2</v>
      </c>
      <c r="O43" s="36">
        <f t="shared" si="1"/>
        <v>22.519476393412727</v>
      </c>
      <c r="P43" s="36">
        <f t="shared" si="2"/>
        <v>0.23090293648763999</v>
      </c>
      <c r="Q43" s="36">
        <f t="shared" si="5"/>
        <v>485.32090000000005</v>
      </c>
      <c r="T43" s="60">
        <f t="shared" si="6"/>
        <v>1.3617278360175928</v>
      </c>
      <c r="U43" s="14">
        <f t="shared" si="7"/>
        <v>5.0479008539570946</v>
      </c>
      <c r="V43" s="36">
        <f t="shared" si="8"/>
        <v>13.741717056136398</v>
      </c>
      <c r="W43" s="36">
        <f t="shared" si="9"/>
        <v>3.7069822033746531</v>
      </c>
      <c r="X43" s="79">
        <f t="shared" si="10"/>
        <v>2.8271857289757989</v>
      </c>
      <c r="Y43" s="36">
        <f t="shared" si="11"/>
        <v>0.12292111865112169</v>
      </c>
      <c r="Z43" s="68">
        <f t="shared" si="12"/>
        <v>7.9929791461244193</v>
      </c>
    </row>
    <row r="44" spans="1:26" ht="15" thickBot="1" x14ac:dyDescent="0.4">
      <c r="L44" s="60">
        <f t="shared" si="3"/>
        <v>25889779.239999998</v>
      </c>
      <c r="M44" s="14">
        <f t="shared" si="4"/>
        <v>111940.4</v>
      </c>
      <c r="N44" s="36">
        <f t="shared" si="0"/>
        <v>2.3502689779600482E-2</v>
      </c>
      <c r="O44" s="36">
        <f t="shared" si="1"/>
        <v>22.517059175151211</v>
      </c>
      <c r="P44" s="36">
        <f t="shared" si="2"/>
        <v>0.26735019060805026</v>
      </c>
      <c r="Q44" s="36">
        <f t="shared" si="5"/>
        <v>530.3809</v>
      </c>
      <c r="T44" s="60">
        <f t="shared" si="6"/>
        <v>1.3424226808222062</v>
      </c>
      <c r="U44" s="14">
        <f t="shared" si="7"/>
        <v>4.9757758146023443</v>
      </c>
      <c r="V44" s="36">
        <f t="shared" si="8"/>
        <v>13.73861797322869</v>
      </c>
      <c r="W44" s="36">
        <f t="shared" si="9"/>
        <v>3.7065641736288191</v>
      </c>
      <c r="X44" s="79">
        <f t="shared" si="10"/>
        <v>3.8196579881766333</v>
      </c>
      <c r="Y44" s="36">
        <f t="shared" si="11"/>
        <v>0.17362081764439241</v>
      </c>
      <c r="Z44" s="68">
        <f t="shared" si="12"/>
        <v>14.589787146641566</v>
      </c>
    </row>
    <row r="45" spans="1:26" ht="15" thickBot="1" x14ac:dyDescent="0.4">
      <c r="L45" s="60">
        <f t="shared" si="3"/>
        <v>3010321848.96</v>
      </c>
      <c r="M45" s="14">
        <f t="shared" si="4"/>
        <v>2633587.2000000002</v>
      </c>
      <c r="N45" s="36">
        <f t="shared" si="0"/>
        <v>1.9309676770450739E-2</v>
      </c>
      <c r="O45" s="36">
        <f t="shared" si="1"/>
        <v>47.073135515018365</v>
      </c>
      <c r="P45" s="36">
        <f t="shared" si="2"/>
        <v>0.85907777352027226</v>
      </c>
      <c r="Q45" s="36">
        <f t="shared" si="5"/>
        <v>8.8208999999999929</v>
      </c>
      <c r="T45" s="60">
        <f t="shared" si="6"/>
        <v>1.6812412373755872</v>
      </c>
      <c r="U45" s="14">
        <f t="shared" si="7"/>
        <v>7.9679174661310004</v>
      </c>
      <c r="V45" s="36">
        <f t="shared" si="8"/>
        <v>22.461025772642753</v>
      </c>
      <c r="W45" s="36">
        <f t="shared" si="9"/>
        <v>4.7393064653641837</v>
      </c>
      <c r="X45" s="79">
        <f t="shared" si="10"/>
        <v>5.0538357572696455</v>
      </c>
      <c r="Y45" s="36">
        <f t="shared" si="11"/>
        <v>0.10528824494311761</v>
      </c>
      <c r="Z45" s="68">
        <f t="shared" si="12"/>
        <v>25.541255861457252</v>
      </c>
    </row>
    <row r="46" spans="1:26" ht="15" thickBot="1" x14ac:dyDescent="0.4">
      <c r="L46" s="60">
        <f t="shared" si="3"/>
        <v>1695446505.6400003</v>
      </c>
      <c r="M46" s="14">
        <f t="shared" si="4"/>
        <v>1482328.8</v>
      </c>
      <c r="N46" s="36">
        <f t="shared" si="0"/>
        <v>0.11998410256514663</v>
      </c>
      <c r="O46" s="36">
        <f t="shared" si="1"/>
        <v>40.319427692345279</v>
      </c>
      <c r="P46" s="36">
        <f t="shared" si="2"/>
        <v>18.657455589399262</v>
      </c>
      <c r="Q46" s="36">
        <f t="shared" si="5"/>
        <v>81.540900000000022</v>
      </c>
      <c r="T46" s="60">
        <f t="shared" si="6"/>
        <v>1.5563025007672873</v>
      </c>
      <c r="U46" s="14">
        <f t="shared" si="7"/>
        <v>7.1817789559972391</v>
      </c>
      <c r="V46" s="36">
        <f t="shared" si="8"/>
        <v>21.294921210704079</v>
      </c>
      <c r="W46" s="36">
        <f t="shared" si="9"/>
        <v>4.6146420457825412</v>
      </c>
      <c r="X46" s="79">
        <f t="shared" si="10"/>
        <v>12.636479656768351</v>
      </c>
      <c r="Y46" s="36">
        <f t="shared" si="11"/>
        <v>0.35101332379912087</v>
      </c>
      <c r="Z46" s="68">
        <f t="shared" si="12"/>
        <v>159.6806181159204</v>
      </c>
    </row>
    <row r="47" spans="1:26" ht="15" thickBot="1" x14ac:dyDescent="0.4">
      <c r="L47" s="60">
        <f t="shared" si="3"/>
        <v>21480419844</v>
      </c>
      <c r="M47" s="14">
        <f t="shared" si="4"/>
        <v>10405902</v>
      </c>
      <c r="N47" s="36">
        <f t="shared" si="0"/>
        <v>0.3001053257952585</v>
      </c>
      <c r="O47" s="36">
        <f t="shared" si="1"/>
        <v>92.307478131463355</v>
      </c>
      <c r="P47" s="36">
        <f t="shared" si="2"/>
        <v>454.0086243227891</v>
      </c>
      <c r="Q47" s="36">
        <f t="shared" si="5"/>
        <v>674.44089999999994</v>
      </c>
      <c r="T47" s="60">
        <f t="shared" si="6"/>
        <v>1.8512583487190752</v>
      </c>
      <c r="U47" s="14">
        <f t="shared" si="7"/>
        <v>9.5636402145531108</v>
      </c>
      <c r="V47" s="36">
        <f t="shared" si="8"/>
        <v>26.687776927453896</v>
      </c>
      <c r="W47" s="36">
        <f t="shared" si="9"/>
        <v>5.1660213827910058</v>
      </c>
      <c r="X47" s="79">
        <f t="shared" si="10"/>
        <v>0.44100006753123466</v>
      </c>
      <c r="Y47" s="36">
        <f t="shared" si="11"/>
        <v>6.2112685567779534E-3</v>
      </c>
      <c r="Z47" s="68">
        <f t="shared" si="12"/>
        <v>0.19448105956255354</v>
      </c>
    </row>
    <row r="48" spans="1:26" ht="15" thickBot="1" x14ac:dyDescent="0.4">
      <c r="L48" s="60">
        <f t="shared" si="3"/>
        <v>282845124</v>
      </c>
      <c r="M48" s="14">
        <f t="shared" si="4"/>
        <v>420450</v>
      </c>
      <c r="N48" s="36">
        <f t="shared" si="0"/>
        <v>0.13213940181355355</v>
      </c>
      <c r="O48" s="36">
        <f t="shared" si="1"/>
        <v>28.303485045338839</v>
      </c>
      <c r="P48" s="36">
        <f t="shared" si="2"/>
        <v>10.913013444777349</v>
      </c>
      <c r="Q48" s="36">
        <f t="shared" si="5"/>
        <v>401.20090000000005</v>
      </c>
      <c r="T48" s="60">
        <f t="shared" si="6"/>
        <v>1.3979400086720377</v>
      </c>
      <c r="U48" s="14">
        <f t="shared" si="7"/>
        <v>5.9073790288904</v>
      </c>
      <c r="V48" s="36">
        <f t="shared" si="8"/>
        <v>17.857168841431257</v>
      </c>
      <c r="W48" s="36">
        <f t="shared" si="9"/>
        <v>4.22577434814393</v>
      </c>
      <c r="X48" s="79">
        <f t="shared" si="10"/>
        <v>12.084586213226217</v>
      </c>
      <c r="Y48" s="36">
        <f t="shared" si="11"/>
        <v>0.48338344852904869</v>
      </c>
      <c r="Z48" s="68">
        <f t="shared" si="12"/>
        <v>146.03722394489716</v>
      </c>
    </row>
    <row r="49" spans="11:26" ht="15" thickBot="1" x14ac:dyDescent="0.4">
      <c r="L49" s="60">
        <f t="shared" si="3"/>
        <v>65775344.039999999</v>
      </c>
      <c r="M49" s="14">
        <f t="shared" si="4"/>
        <v>194644.8</v>
      </c>
      <c r="N49" s="36">
        <f t="shared" si="0"/>
        <v>3.2673082091368616E-4</v>
      </c>
      <c r="O49" s="36">
        <f t="shared" si="1"/>
        <v>24.007841539701928</v>
      </c>
      <c r="P49" s="36">
        <f t="shared" si="2"/>
        <v>6.1489744896920412E-5</v>
      </c>
      <c r="Q49" s="36">
        <f t="shared" si="5"/>
        <v>442.26090000000005</v>
      </c>
      <c r="T49" s="60">
        <f t="shared" si="6"/>
        <v>1.3802112417116059</v>
      </c>
      <c r="U49" s="14">
        <f t="shared" si="7"/>
        <v>5.3952893090830054</v>
      </c>
      <c r="V49" s="36">
        <f t="shared" si="8"/>
        <v>15.280527769734391</v>
      </c>
      <c r="W49" s="36">
        <f t="shared" si="9"/>
        <v>3.9090315641772952</v>
      </c>
      <c r="X49" s="79">
        <f t="shared" si="10"/>
        <v>5.7349897635285529</v>
      </c>
      <c r="Y49" s="36">
        <f t="shared" si="11"/>
        <v>0.2389579068136897</v>
      </c>
      <c r="Z49" s="68">
        <f t="shared" si="12"/>
        <v>32.890107587777287</v>
      </c>
    </row>
    <row r="50" spans="11:26" ht="15" thickBot="1" x14ac:dyDescent="0.4">
      <c r="L50" s="60">
        <f t="shared" si="3"/>
        <v>4875069790.8899994</v>
      </c>
      <c r="M50" s="14">
        <f t="shared" si="4"/>
        <v>3281619.9</v>
      </c>
      <c r="N50" s="36">
        <f t="shared" si="0"/>
        <v>0.15852621923589297</v>
      </c>
      <c r="O50" s="36">
        <f t="shared" si="1"/>
        <v>54.450732304086969</v>
      </c>
      <c r="P50" s="36">
        <f t="shared" si="2"/>
        <v>55.513411867165118</v>
      </c>
      <c r="Q50" s="36">
        <f t="shared" si="5"/>
        <v>3.8808999999999956</v>
      </c>
      <c r="T50" s="60">
        <f t="shared" si="6"/>
        <v>1.6720978579357175</v>
      </c>
      <c r="U50" s="14">
        <f t="shared" si="7"/>
        <v>8.0996260029565335</v>
      </c>
      <c r="V50" s="36">
        <f t="shared" si="8"/>
        <v>23.464243176382798</v>
      </c>
      <c r="W50" s="36">
        <f t="shared" si="9"/>
        <v>4.8439904186922993</v>
      </c>
      <c r="X50" s="79">
        <f t="shared" si="10"/>
        <v>10.071640229746002</v>
      </c>
      <c r="Y50" s="36">
        <f t="shared" si="11"/>
        <v>0.21429021765417025</v>
      </c>
      <c r="Z50" s="68">
        <f t="shared" si="12"/>
        <v>101.43793691743811</v>
      </c>
    </row>
    <row r="51" spans="11:26" ht="15" thickBot="1" x14ac:dyDescent="0.4">
      <c r="L51" s="60">
        <f t="shared" si="3"/>
        <v>11391975.039999999</v>
      </c>
      <c r="M51" s="14">
        <f t="shared" si="4"/>
        <v>74254.399999999994</v>
      </c>
      <c r="N51" s="36">
        <f t="shared" si="0"/>
        <v>1.4908208940021954E-2</v>
      </c>
      <c r="O51" s="36">
        <f t="shared" si="1"/>
        <v>21.672019403319517</v>
      </c>
      <c r="P51" s="36">
        <f t="shared" si="2"/>
        <v>0.10757127179888563</v>
      </c>
      <c r="Q51" s="36">
        <f t="shared" si="5"/>
        <v>530.3809</v>
      </c>
      <c r="T51" s="60">
        <f t="shared" si="6"/>
        <v>1.3424226808222062</v>
      </c>
      <c r="U51" s="14">
        <f t="shared" si="7"/>
        <v>4.7364692901445524</v>
      </c>
      <c r="V51" s="36">
        <f t="shared" si="8"/>
        <v>12.44889744901737</v>
      </c>
      <c r="W51" s="36">
        <f t="shared" si="9"/>
        <v>3.5282995123738248</v>
      </c>
      <c r="X51" s="79">
        <f t="shared" si="10"/>
        <v>0.80147703878984089</v>
      </c>
      <c r="Y51" s="36">
        <f t="shared" si="11"/>
        <v>3.6430774490447314E-2</v>
      </c>
      <c r="Z51" s="68">
        <f t="shared" si="12"/>
        <v>0.64236544370733217</v>
      </c>
    </row>
    <row r="52" spans="11:26" ht="15" thickBot="1" x14ac:dyDescent="0.4">
      <c r="L52" s="62">
        <f t="shared" si="3"/>
        <v>65763990.25</v>
      </c>
      <c r="M52" s="63">
        <f t="shared" si="4"/>
        <v>186518.5</v>
      </c>
      <c r="N52" s="64">
        <f t="shared" si="0"/>
        <v>4.380418360032285E-2</v>
      </c>
      <c r="O52" s="64">
        <f t="shared" si="1"/>
        <v>24.007496222807426</v>
      </c>
      <c r="P52" s="36">
        <f t="shared" si="2"/>
        <v>1.0150486389712297</v>
      </c>
      <c r="Q52" s="36">
        <f t="shared" si="5"/>
        <v>485.32090000000005</v>
      </c>
      <c r="T52" s="81">
        <f t="shared" si="6"/>
        <v>1.3617278360175928</v>
      </c>
      <c r="U52" s="82">
        <f t="shared" si="7"/>
        <v>5.3229860470315096</v>
      </c>
      <c r="V52" s="83">
        <f t="shared" si="8"/>
        <v>15.280234702935552</v>
      </c>
      <c r="W52" s="83">
        <f t="shared" si="9"/>
        <v>3.908994078140251</v>
      </c>
      <c r="X52" s="79">
        <f t="shared" si="10"/>
        <v>6.7342124873987252</v>
      </c>
      <c r="Y52" s="83">
        <f t="shared" si="11"/>
        <v>0.29279184727820545</v>
      </c>
      <c r="Z52" s="84">
        <f t="shared" si="12"/>
        <v>45.349617825436923</v>
      </c>
    </row>
    <row r="53" spans="11:26" x14ac:dyDescent="0.35">
      <c r="K53" s="28" t="s">
        <v>42</v>
      </c>
      <c r="L53" s="53">
        <f t="shared" ref="L53:Q53" si="13">SUM(L17:L52)</f>
        <v>584632403096.41016</v>
      </c>
      <c r="M53" s="54">
        <f t="shared" si="13"/>
        <v>324939488.49999994</v>
      </c>
      <c r="N53" s="54">
        <f t="shared" si="13"/>
        <v>5.3356967240211768</v>
      </c>
      <c r="O53" s="55">
        <f t="shared" si="13"/>
        <v>1621.0809226525371</v>
      </c>
      <c r="P53" s="42">
        <f t="shared" si="13"/>
        <v>13269.445007156464</v>
      </c>
      <c r="Q53" s="42">
        <f t="shared" si="13"/>
        <v>133004.9724</v>
      </c>
      <c r="S53" s="85" t="s">
        <v>42</v>
      </c>
      <c r="T53" s="30">
        <f>SUM(T17:T52)</f>
        <v>53.702666156063565</v>
      </c>
      <c r="U53" s="29">
        <f>SUM(U17:U52)</f>
        <v>221.42172931175622</v>
      </c>
      <c r="V53" s="29">
        <f>SUM(V17:V52)</f>
        <v>594.54469553901129</v>
      </c>
      <c r="W53" s="42">
        <f>SUM(W17:W52)</f>
        <v>142.92102522500466</v>
      </c>
      <c r="X53" s="29">
        <f>SUM(X17:X52)</f>
        <v>598.27654890946462</v>
      </c>
      <c r="Y53" s="42">
        <f>SUM(Y17:Y52)</f>
        <v>9.7242182615883159</v>
      </c>
      <c r="Z53" s="29">
        <f>SUM(Z17:Z52)</f>
        <v>70844.316353443282</v>
      </c>
    </row>
    <row r="54" spans="11:26" x14ac:dyDescent="0.35">
      <c r="K54" s="28" t="s">
        <v>43</v>
      </c>
      <c r="L54" s="30">
        <f>AVERAGE(L17:L52)</f>
        <v>16239788974.900282</v>
      </c>
      <c r="M54" s="29">
        <f>AVERAGE(M17:M52)</f>
        <v>9026096.9027777761</v>
      </c>
      <c r="N54" s="29">
        <f>AVERAGE(N17:N52)</f>
        <v>0.14821379788947714</v>
      </c>
      <c r="S54" s="85" t="s">
        <v>43</v>
      </c>
      <c r="T54" s="30">
        <f>AVERAGE(T17:T52)</f>
        <v>1.4917407265573213</v>
      </c>
      <c r="U54" s="29">
        <f>AVERAGE(U17:U52)</f>
        <v>6.150603591993228</v>
      </c>
      <c r="V54" s="29">
        <f>AVERAGE(V17:V52)</f>
        <v>16.515130431639204</v>
      </c>
      <c r="W54" s="29">
        <f>W53/36</f>
        <v>3.9700284784723516</v>
      </c>
      <c r="X54" s="29"/>
      <c r="Y54" s="29">
        <f>Y53/36</f>
        <v>0.27011717393300877</v>
      </c>
      <c r="Z54" s="29"/>
    </row>
  </sheetData>
  <conditionalFormatting sqref="B2:B37">
    <cfRule type="colorScale" priority="7">
      <colorScale>
        <cfvo type="min"/>
        <cfvo type="max"/>
        <color theme="6" tint="0.79998168889431442"/>
        <color theme="6" tint="-0.499984740745262"/>
      </colorScale>
    </cfRule>
    <cfRule type="colorScale" priority="8">
      <colorScale>
        <cfvo type="min"/>
        <cfvo type="max"/>
        <color theme="6" tint="0.79998168889431442"/>
        <color theme="6" tint="-0.249977111117893"/>
      </colorScale>
    </cfRule>
    <cfRule type="colorScale" priority="9">
      <colorScale>
        <cfvo type="min"/>
        <cfvo type="max"/>
        <color theme="6" tint="0.39997558519241921"/>
        <color theme="6" tint="0.79998168889431442"/>
      </colorScale>
    </cfRule>
    <cfRule type="colorScale" priority="10">
      <colorScale>
        <cfvo type="min"/>
        <cfvo type="max"/>
        <color theme="6" tint="-0.249977111117893"/>
        <color theme="6" tint="0.79998168889431442"/>
      </colorScale>
    </cfRule>
  </conditionalFormatting>
  <conditionalFormatting sqref="C2:C37">
    <cfRule type="colorScale" priority="11">
      <colorScale>
        <cfvo type="min"/>
        <cfvo type="max"/>
        <color theme="6" tint="0.79998168889431442"/>
        <color theme="6" tint="-0.499984740745262"/>
      </colorScale>
    </cfRule>
    <cfRule type="colorScale" priority="12">
      <colorScale>
        <cfvo type="min"/>
        <cfvo type="max"/>
        <color theme="6" tint="0.79998168889431442"/>
        <color theme="6" tint="-0.249977111117893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2022-12-09T10:47:25Z</dcterms:modified>
</cp:coreProperties>
</file>