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38a555ac088206/Desktop/630-optimization/"/>
    </mc:Choice>
  </mc:AlternateContent>
  <xr:revisionPtr revIDLastSave="0" documentId="8_{F03DDB80-365E-4AB0-8926-DAB9562F17AF}" xr6:coauthVersionLast="47" xr6:coauthVersionMax="47" xr10:uidLastSave="{00000000-0000-0000-0000-000000000000}"/>
  <bookViews>
    <workbookView xWindow="2790" yWindow="2790" windowWidth="14400" windowHeight="8182" xr2:uid="{7AF906BE-0685-4FB5-B2AB-87A1C6370EE6}"/>
  </bookViews>
  <sheets>
    <sheet name="Main Model" sheetId="1" r:id="rId1"/>
    <sheet name="Time Constraint" sheetId="2" r:id="rId2"/>
    <sheet name="Time Constraint_STS" sheetId="5" state="veryHidden" r:id="rId3"/>
    <sheet name="Sheet2_STS" sheetId="4" state="veryHidden" r:id="rId4"/>
    <sheet name="Sheet1_STS" sheetId="8" state="veryHidden" r:id="rId5"/>
    <sheet name="variation of Conf.Table price" sheetId="16" r:id="rId6"/>
    <sheet name="Workpods price variations" sheetId="18" r:id="rId7"/>
    <sheet name="Melamine Quantity" sheetId="9" r:id="rId8"/>
    <sheet name="Wood Instead" sheetId="14" r:id="rId9"/>
    <sheet name="min chairs and conf.Tables" sheetId="15" r:id="rId10"/>
    <sheet name="Chair price variation" sheetId="17" r:id="rId11"/>
    <sheet name="Limits Report 2" sheetId="13" r:id="rId12"/>
    <sheet name="Sensitivity Report 2" sheetId="12" r:id="rId13"/>
    <sheet name="Answer Report 2" sheetId="11" r:id="rId14"/>
  </sheets>
  <definedNames>
    <definedName name="ChartData" localSheetId="10">'Chair price variation'!$K$5:$K$16</definedName>
    <definedName name="ChartData" localSheetId="5">'variation of Conf.Table price'!$K$5:$K$15</definedName>
    <definedName name="ChartData" localSheetId="6">'Workpods price variations'!$K$5:$K$15</definedName>
    <definedName name="ChartData1" localSheetId="7">'Melamine Quantity'!$K$5:$K$12</definedName>
    <definedName name="ChartData2" localSheetId="7">'Melamine Quantity'!$O$5:$O$11</definedName>
    <definedName name="InputValues" localSheetId="10">'Chair price variation'!$A$5:$A$16</definedName>
    <definedName name="InputValues" localSheetId="5">'variation of Conf.Table price'!$A$5:$A$15</definedName>
    <definedName name="InputValues" localSheetId="6">'Workpods price variations'!$A$5:$A$15</definedName>
    <definedName name="InputValues1" localSheetId="7">'Melamine Quantity'!$A$5:$A$11</definedName>
    <definedName name="InputValues2" localSheetId="7">'Melamine Quantity'!$B$4:$I$4</definedName>
    <definedName name="OutputAddresses" localSheetId="10">'Chair price variation'!$B$4:$E$4</definedName>
    <definedName name="OutputAddresses" localSheetId="7">'Melamine Quantity'!$AZ$2:$AZ$5</definedName>
    <definedName name="OutputAddresses" localSheetId="5">'variation of Conf.Table price'!$B$4:$E$4</definedName>
    <definedName name="OutputAddresses" localSheetId="6">'Workpods price variations'!$B$4:$E$4</definedName>
    <definedName name="OutputValues" localSheetId="10">'Chair price variation'!$B$5:$E$16</definedName>
    <definedName name="OutputValues" localSheetId="5">'variation of Conf.Table price'!$B$5:$E$15</definedName>
    <definedName name="OutputValues" localSheetId="6">'Workpods price variations'!$B$5:$E$15</definedName>
    <definedName name="OutputValues_1" localSheetId="7">'Melamine Quantity'!$B$5:$I$11</definedName>
    <definedName name="OutputValues_2" localSheetId="7">'Melamine Quantity'!$B$14:$I$20</definedName>
    <definedName name="OutputValues_3" localSheetId="7">'Melamine Quantity'!$B$23:$I$29</definedName>
    <definedName name="OutputValues_4" localSheetId="7">'Melamine Quantity'!$B$32:$I$38</definedName>
    <definedName name="solver_adj" localSheetId="0" hidden="1">'Main Model'!$C$34:$E$34</definedName>
    <definedName name="solver_adj" localSheetId="9" hidden="1">'min chairs and conf.Tables'!$C$34:$E$34</definedName>
    <definedName name="solver_adj" localSheetId="1" hidden="1">'Time Constraint'!$C$34:$E$34</definedName>
    <definedName name="solver_adj" localSheetId="8" hidden="1">'Wood Instead'!$C$34:$E$34</definedName>
    <definedName name="solver_cvg" localSheetId="0" hidden="1">0.0001</definedName>
    <definedName name="solver_cvg" localSheetId="9" hidden="1">0.0001</definedName>
    <definedName name="solver_cvg" localSheetId="1" hidden="1">0.0001</definedName>
    <definedName name="solver_cvg" localSheetId="8" hidden="1">0.0001</definedName>
    <definedName name="solver_drv" localSheetId="0" hidden="1">1</definedName>
    <definedName name="solver_drv" localSheetId="9" hidden="1">1</definedName>
    <definedName name="solver_drv" localSheetId="1" hidden="1">1</definedName>
    <definedName name="solver_drv" localSheetId="8" hidden="1">1</definedName>
    <definedName name="solver_eng" localSheetId="0" hidden="1">2</definedName>
    <definedName name="solver_eng" localSheetId="9" hidden="1">2</definedName>
    <definedName name="solver_eng" localSheetId="1" hidden="1">2</definedName>
    <definedName name="solver_eng" localSheetId="8" hidden="1">2</definedName>
    <definedName name="solver_itr" localSheetId="0" hidden="1">2147483647</definedName>
    <definedName name="solver_itr" localSheetId="9" hidden="1">2147483647</definedName>
    <definedName name="solver_itr" localSheetId="1" hidden="1">2147483647</definedName>
    <definedName name="solver_itr" localSheetId="8" hidden="1">2147483647</definedName>
    <definedName name="solver_lhs1" localSheetId="0" hidden="1">'Main Model'!$C$34:$E$34</definedName>
    <definedName name="solver_lhs1" localSheetId="9" hidden="1">'min chairs and conf.Tables'!$C$34</definedName>
    <definedName name="solver_lhs1" localSheetId="1" hidden="1">'Time Constraint'!$D$34</definedName>
    <definedName name="solver_lhs1" localSheetId="8" hidden="1">'Wood Instead'!$C$34</definedName>
    <definedName name="solver_lhs2" localSheetId="0" hidden="1">'Main Model'!$F$22:$F$24</definedName>
    <definedName name="solver_lhs2" localSheetId="9" hidden="1">'min chairs and conf.Tables'!$E$34</definedName>
    <definedName name="solver_lhs2" localSheetId="1" hidden="1">'Time Constraint'!$F$22:$F$24</definedName>
    <definedName name="solver_lhs2" localSheetId="8" hidden="1">'Wood Instead'!$F$22:$F$24</definedName>
    <definedName name="solver_lhs3" localSheetId="0" hidden="1">'Main Model'!$F$28:$F$30</definedName>
    <definedName name="solver_lhs3" localSheetId="9" hidden="1">'min chairs and conf.Tables'!$F$22:$F$24</definedName>
    <definedName name="solver_lhs3" localSheetId="1" hidden="1">'Time Constraint'!$F$28:$F$30</definedName>
    <definedName name="solver_lhs3" localSheetId="8" hidden="1">'Wood Instead'!$F$29:$F$31</definedName>
    <definedName name="solver_lhs4" localSheetId="9" hidden="1">'min chairs and conf.Tables'!$F$29:$F$31</definedName>
    <definedName name="solver_lin" localSheetId="0" hidden="1">1</definedName>
    <definedName name="solver_lin" localSheetId="9" hidden="1">1</definedName>
    <definedName name="solver_lin" localSheetId="1" hidden="1">1</definedName>
    <definedName name="solver_lin" localSheetId="8" hidden="1">1</definedName>
    <definedName name="solver_mip" localSheetId="0" hidden="1">2147483647</definedName>
    <definedName name="solver_mip" localSheetId="9" hidden="1">2147483647</definedName>
    <definedName name="solver_mip" localSheetId="1" hidden="1">2147483647</definedName>
    <definedName name="solver_mip" localSheetId="8" hidden="1">2147483647</definedName>
    <definedName name="solver_mni" localSheetId="0" hidden="1">30</definedName>
    <definedName name="solver_mni" localSheetId="9" hidden="1">30</definedName>
    <definedName name="solver_mni" localSheetId="1" hidden="1">30</definedName>
    <definedName name="solver_mni" localSheetId="8" hidden="1">30</definedName>
    <definedName name="solver_mrt" localSheetId="0" hidden="1">0.075</definedName>
    <definedName name="solver_mrt" localSheetId="9" hidden="1">0.075</definedName>
    <definedName name="solver_mrt" localSheetId="1" hidden="1">0.075</definedName>
    <definedName name="solver_mrt" localSheetId="8" hidden="1">0.075</definedName>
    <definedName name="solver_msl" localSheetId="0" hidden="1">2</definedName>
    <definedName name="solver_msl" localSheetId="9" hidden="1">2</definedName>
    <definedName name="solver_msl" localSheetId="1" hidden="1">2</definedName>
    <definedName name="solver_msl" localSheetId="8" hidden="1">2</definedName>
    <definedName name="solver_neg" localSheetId="0" hidden="1">1</definedName>
    <definedName name="solver_neg" localSheetId="9" hidden="1">1</definedName>
    <definedName name="solver_neg" localSheetId="1" hidden="1">1</definedName>
    <definedName name="solver_neg" localSheetId="8" hidden="1">1</definedName>
    <definedName name="solver_nod" localSheetId="0" hidden="1">2147483647</definedName>
    <definedName name="solver_nod" localSheetId="9" hidden="1">2147483647</definedName>
    <definedName name="solver_nod" localSheetId="1" hidden="1">2147483647</definedName>
    <definedName name="solver_nod" localSheetId="8" hidden="1">2147483647</definedName>
    <definedName name="solver_num" localSheetId="0" hidden="1">3</definedName>
    <definedName name="solver_num" localSheetId="9" hidden="1">4</definedName>
    <definedName name="solver_num" localSheetId="1" hidden="1">3</definedName>
    <definedName name="solver_num" localSheetId="8" hidden="1">3</definedName>
    <definedName name="solver_opt" localSheetId="0" hidden="1">'Main Model'!$G$42</definedName>
    <definedName name="solver_opt" localSheetId="9" hidden="1">'min chairs and conf.Tables'!$G$42</definedName>
    <definedName name="solver_opt" localSheetId="1" hidden="1">'Time Constraint'!$G$42</definedName>
    <definedName name="solver_opt" localSheetId="8" hidden="1">'Wood Instead'!$G$42</definedName>
    <definedName name="solver_pre" localSheetId="0" hidden="1">0.000001</definedName>
    <definedName name="solver_pre" localSheetId="9" hidden="1">0.000001</definedName>
    <definedName name="solver_pre" localSheetId="1" hidden="1">0.000001</definedName>
    <definedName name="solver_pre" localSheetId="8" hidden="1">0.000001</definedName>
    <definedName name="solver_rbv" localSheetId="0" hidden="1">1</definedName>
    <definedName name="solver_rbv" localSheetId="9" hidden="1">1</definedName>
    <definedName name="solver_rbv" localSheetId="1" hidden="1">1</definedName>
    <definedName name="solver_rbv" localSheetId="8" hidden="1">1</definedName>
    <definedName name="solver_rel1" localSheetId="0" hidden="1">4</definedName>
    <definedName name="solver_rel1" localSheetId="9" hidden="1">3</definedName>
    <definedName name="solver_rel1" localSheetId="1" hidden="1">3</definedName>
    <definedName name="solver_rel1" localSheetId="8" hidden="1">3</definedName>
    <definedName name="solver_rel2" localSheetId="0" hidden="1">1</definedName>
    <definedName name="solver_rel2" localSheetId="9" hidden="1">3</definedName>
    <definedName name="solver_rel2" localSheetId="1" hidden="1">1</definedName>
    <definedName name="solver_rel2" localSheetId="8" hidden="1">1</definedName>
    <definedName name="solver_rel3" localSheetId="0" hidden="1">1</definedName>
    <definedName name="solver_rel3" localSheetId="9" hidden="1">1</definedName>
    <definedName name="solver_rel3" localSheetId="1" hidden="1">1</definedName>
    <definedName name="solver_rel3" localSheetId="8" hidden="1">1</definedName>
    <definedName name="solver_rel4" localSheetId="9" hidden="1">1</definedName>
    <definedName name="solver_rhs1" localSheetId="0" hidden="1">"integer"</definedName>
    <definedName name="solver_rhs1" localSheetId="9" hidden="1">500</definedName>
    <definedName name="solver_rhs1" localSheetId="1" hidden="1">50</definedName>
    <definedName name="solver_rhs1" localSheetId="8" hidden="1">500</definedName>
    <definedName name="solver_rhs2" localSheetId="0" hidden="1">'Main Model'!$H$22:$H$24</definedName>
    <definedName name="solver_rhs2" localSheetId="9" hidden="1">200</definedName>
    <definedName name="solver_rhs2" localSheetId="1" hidden="1">'Time Constraint'!$H$22:$H$24</definedName>
    <definedName name="solver_rhs2" localSheetId="8" hidden="1">'Wood Instead'!$H$22:$H$24</definedName>
    <definedName name="solver_rhs3" localSheetId="0" hidden="1">'Main Model'!$H$28:$H$30</definedName>
    <definedName name="solver_rhs3" localSheetId="9" hidden="1">'min chairs and conf.Tables'!$H$22:$H$24</definedName>
    <definedName name="solver_rhs3" localSheetId="1" hidden="1">'Time Constraint'!$H$28:$H$30</definedName>
    <definedName name="solver_rhs3" localSheetId="8" hidden="1">'Wood Instead'!$H$29:$H$31</definedName>
    <definedName name="solver_rhs4" localSheetId="9" hidden="1">'min chairs and conf.Tables'!$H$29:$H$31</definedName>
    <definedName name="solver_rlx" localSheetId="0" hidden="1">1</definedName>
    <definedName name="solver_rlx" localSheetId="9" hidden="1">2</definedName>
    <definedName name="solver_rlx" localSheetId="1" hidden="1">1</definedName>
    <definedName name="solver_rlx" localSheetId="8" hidden="1">1</definedName>
    <definedName name="solver_rsd" localSheetId="0" hidden="1">0</definedName>
    <definedName name="solver_rsd" localSheetId="9" hidden="1">0</definedName>
    <definedName name="solver_rsd" localSheetId="1" hidden="1">0</definedName>
    <definedName name="solver_rsd" localSheetId="8" hidden="1">0</definedName>
    <definedName name="solver_scl" localSheetId="0" hidden="1">2</definedName>
    <definedName name="solver_scl" localSheetId="9" hidden="1">1</definedName>
    <definedName name="solver_scl" localSheetId="1" hidden="1">2</definedName>
    <definedName name="solver_scl" localSheetId="8" hidden="1">2</definedName>
    <definedName name="solver_sho" localSheetId="0" hidden="1">2</definedName>
    <definedName name="solver_sho" localSheetId="9" hidden="1">2</definedName>
    <definedName name="solver_sho" localSheetId="1" hidden="1">2</definedName>
    <definedName name="solver_sho" localSheetId="8" hidden="1">2</definedName>
    <definedName name="solver_ssz" localSheetId="0" hidden="1">100</definedName>
    <definedName name="solver_ssz" localSheetId="9" hidden="1">100</definedName>
    <definedName name="solver_ssz" localSheetId="1" hidden="1">100</definedName>
    <definedName name="solver_ssz" localSheetId="8" hidden="1">100</definedName>
    <definedName name="solver_tim" localSheetId="0" hidden="1">2147483647</definedName>
    <definedName name="solver_tim" localSheetId="9" hidden="1">2147483647</definedName>
    <definedName name="solver_tim" localSheetId="1" hidden="1">2147483647</definedName>
    <definedName name="solver_tim" localSheetId="8" hidden="1">2147483647</definedName>
    <definedName name="solver_tol" localSheetId="0" hidden="1">0</definedName>
    <definedName name="solver_tol" localSheetId="9" hidden="1">0.01</definedName>
    <definedName name="solver_tol" localSheetId="1" hidden="1">0.01</definedName>
    <definedName name="solver_tol" localSheetId="8" hidden="1">0.01</definedName>
    <definedName name="solver_typ" localSheetId="0" hidden="1">1</definedName>
    <definedName name="solver_typ" localSheetId="9" hidden="1">1</definedName>
    <definedName name="solver_typ" localSheetId="1" hidden="1">1</definedName>
    <definedName name="solver_typ" localSheetId="8" hidden="1">1</definedName>
    <definedName name="solver_val" localSheetId="0" hidden="1">0</definedName>
    <definedName name="solver_val" localSheetId="9" hidden="1">0</definedName>
    <definedName name="solver_val" localSheetId="1" hidden="1">0</definedName>
    <definedName name="solver_val" localSheetId="8" hidden="1">0</definedName>
    <definedName name="solver_ver" localSheetId="0" hidden="1">2</definedName>
    <definedName name="solver_ver" localSheetId="9" hidden="1">2</definedName>
    <definedName name="solver_ver" localSheetId="1" hidden="1">2</definedName>
    <definedName name="solver_ver" localSheetId="8" hidden="1">2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8" l="1"/>
  <c r="J4" i="18"/>
  <c r="K5" i="18" s="1"/>
  <c r="K1" i="17"/>
  <c r="J4" i="17"/>
  <c r="K5" i="17" s="1"/>
  <c r="K1" i="16"/>
  <c r="J4" i="16"/>
  <c r="K5" i="16" s="1"/>
  <c r="F22" i="15"/>
  <c r="F23" i="15"/>
  <c r="F24" i="15"/>
  <c r="F29" i="15"/>
  <c r="F30" i="15"/>
  <c r="F31" i="15"/>
  <c r="C39" i="15"/>
  <c r="C42" i="15" s="1"/>
  <c r="D39" i="15"/>
  <c r="D42" i="15" s="1"/>
  <c r="E39" i="15"/>
  <c r="E42" i="15" s="1"/>
  <c r="F22" i="14"/>
  <c r="F23" i="14"/>
  <c r="F24" i="14"/>
  <c r="F29" i="14"/>
  <c r="F30" i="14"/>
  <c r="F31" i="14"/>
  <c r="C39" i="14"/>
  <c r="D39" i="14"/>
  <c r="E39" i="14"/>
  <c r="C42" i="14"/>
  <c r="D42" i="14"/>
  <c r="E42" i="14"/>
  <c r="G42" i="14"/>
  <c r="F63" i="14"/>
  <c r="K14" i="18" l="1"/>
  <c r="K10" i="18"/>
  <c r="K9" i="18"/>
  <c r="K15" i="18"/>
  <c r="K12" i="18"/>
  <c r="K7" i="18"/>
  <c r="K13" i="18"/>
  <c r="K8" i="18"/>
  <c r="K6" i="18"/>
  <c r="K11" i="18"/>
  <c r="K16" i="17"/>
  <c r="K11" i="17"/>
  <c r="K15" i="17"/>
  <c r="K12" i="17"/>
  <c r="K10" i="17"/>
  <c r="K13" i="17"/>
  <c r="K9" i="17"/>
  <c r="K8" i="17"/>
  <c r="K7" i="17"/>
  <c r="K14" i="17"/>
  <c r="K6" i="17"/>
  <c r="K11" i="16"/>
  <c r="K10" i="16"/>
  <c r="K9" i="16"/>
  <c r="K14" i="16"/>
  <c r="K8" i="16"/>
  <c r="K13" i="16"/>
  <c r="K7" i="16"/>
  <c r="K15" i="16"/>
  <c r="K12" i="16"/>
  <c r="K6" i="16"/>
  <c r="G42" i="15"/>
  <c r="G42" i="1" l="1"/>
  <c r="O1" i="9" l="1"/>
  <c r="K1" i="9"/>
  <c r="Q4" i="9"/>
  <c r="N4" i="9"/>
  <c r="N5" i="9" s="1"/>
  <c r="M4" i="9"/>
  <c r="J4" i="9"/>
  <c r="J5" i="9" s="1"/>
  <c r="F23" i="1"/>
  <c r="F22" i="1"/>
  <c r="C42" i="1"/>
  <c r="C39" i="1"/>
  <c r="F29" i="2"/>
  <c r="E39" i="2"/>
  <c r="E42" i="2" s="1"/>
  <c r="D39" i="2"/>
  <c r="D42" i="2" s="1"/>
  <c r="C39" i="2"/>
  <c r="C42" i="2" s="1"/>
  <c r="F30" i="2"/>
  <c r="F28" i="2"/>
  <c r="F24" i="2"/>
  <c r="F23" i="2"/>
  <c r="F22" i="2"/>
  <c r="F30" i="1"/>
  <c r="F29" i="1"/>
  <c r="E42" i="1"/>
  <c r="F28" i="1"/>
  <c r="E39" i="1"/>
  <c r="D39" i="1"/>
  <c r="D42" i="1" s="1"/>
  <c r="F24" i="1"/>
  <c r="K5" i="9"/>
  <c r="O8" i="9"/>
  <c r="O7" i="9"/>
  <c r="O6" i="9"/>
  <c r="O5" i="9"/>
  <c r="K12" i="9"/>
  <c r="K11" i="9"/>
  <c r="K10" i="9"/>
  <c r="K7" i="9"/>
  <c r="K9" i="9"/>
  <c r="K8" i="9"/>
  <c r="O11" i="9"/>
  <c r="O10" i="9"/>
  <c r="K6" i="9"/>
  <c r="O9" i="9"/>
  <c r="G4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Sahaj Chakka</author>
  </authors>
  <commentList>
    <comment ref="B5" authorId="0" shapeId="0" xr:uid="{D94E1D47-4B86-E845-9978-ED9A96DEF67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9ADE3ECB-E243-F34C-B1A2-207F58E0706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6C23F2D3-AA68-1746-9002-9F89E5494D8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E95B451-9728-2A4B-87C8-B5B63B7F2E2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4B77C527-E84E-0F4D-B8E8-316140E45258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6F91615A-D087-9D47-A1A7-352E5A62BF1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118A9DB-A5C8-7449-B083-D17E8C7685E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DC791565-DC9A-3A47-A147-67B5A0E8AC2E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9A6182C8-F034-0C4F-B563-EFA96010465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69C87BC3-2CF4-1C4A-875E-680C8D7A7E0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1B06F356-14EC-1D47-9D66-117D0B6339C8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Sahaj Chakka</author>
  </authors>
  <commentList>
    <comment ref="B5" authorId="0" shapeId="0" xr:uid="{37E82C4E-6737-DD4C-8C16-4421E1552FB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275170D0-50BD-FF4F-8AE6-AAAA816EE75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F1ED2D46-F495-1642-A255-1AC8BE289A6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A2B90F31-5AE0-7446-A2A3-9DD334BF8AB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63C18E1-680A-0F4F-93B6-D4089473EDA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00A75B6-9FB6-EB4C-B386-2077F9B6F5FA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B685142D-E0F8-1F40-90DA-96DAB1349BB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A0055FF-4544-EE46-80A8-70B1E07199F1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8A787173-0A34-364C-B8F4-605EB8F7B3B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8DD53185-0CC2-0646-A26D-B9B5A4557C9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55D4F104-4BAA-8749-87EA-74F27C80B69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Pentapalli Manoj</author>
  </authors>
  <commentList>
    <comment ref="B5" authorId="0" shapeId="0" xr:uid="{8A55DE36-A9E6-4D87-A863-87F51341C4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7A52B116-EDDE-40C9-86CF-AD3A855955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9F0E0615-2CE5-4F97-92E6-BB084425B6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AA1ABB12-C6BB-41B4-AB91-E40811A131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 xr:uid="{D870F79A-2BDC-4F02-8141-6D7528B2F8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 shapeId="0" xr:uid="{669DF90D-351A-47A7-9B12-69322F3F51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" authorId="0" shapeId="0" xr:uid="{B162A5F7-5F46-42C1-A418-C66F6BA2E9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" authorId="0" shapeId="0" xr:uid="{3F534AED-57CF-4F26-9790-6166A4A4F2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620BD3C-E695-4C5B-887B-50CA2AA09F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899BAAC3-FFB4-419E-95EF-9A143C3613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3D98DD98-848F-4F0C-B8CF-D29A1C946F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5E74F4FB-274A-4ED6-96F4-2836426018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942674C4-AD6A-4879-B489-71962D9197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 shapeId="0" xr:uid="{CCA8F814-5212-4BE3-A551-4028819785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" authorId="0" shapeId="0" xr:uid="{E34C7A60-E752-4E92-A17D-467162C2DF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11FE92B6-7F9D-4CE7-B720-E6DCF386C4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BA05274-B3DD-40AE-9CF2-E35124BEBA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42B00600-ED44-4B46-860F-0862CC4B7A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0BDA017D-3785-42FD-8B9F-675435DE9A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2980A626-6E19-4D93-B648-CAE075CCD1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A6CE159B-A061-4C55-9FDF-E633D4D81F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BA942AF4-78A1-4C9B-9D0E-FF5470347C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 shapeId="0" xr:uid="{FB446EA4-DFE2-4219-A652-D68AE25257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" authorId="0" shapeId="0" xr:uid="{B829B4C3-954E-4CF7-84AA-8C96E2FBA2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B4C8AED-1FCB-48E5-86E5-F4D322D602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FDCB3987-456B-4EB9-B389-7AAD765DA4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C3BFE2DD-D541-4E43-B2C4-DC94D6C19C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F21148E9-0901-4E28-946A-BD5A5465F3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DFFBDF89-DC9B-475F-8C3D-4C26E09117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B9B528C4-D6B3-45B3-858C-B9AD582454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 shapeId="0" xr:uid="{EAB03F2A-93BE-436A-BE7E-A3E6A32A50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" authorId="0" shapeId="0" xr:uid="{EF93D2C5-FC65-4861-8AD5-211BF9DD83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90C71C11-A8DE-40F4-AA21-E47064E2C2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5D32B83B-4516-4B4B-A1A9-3E807FB020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1B196C8F-A815-4653-BBBC-8363857051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9381DADC-44C2-4EE7-93FB-D67EF6A33D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87992A52-BA42-440C-9AAA-991001C6F1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94647CCA-F113-4751-888D-107BF50B60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 shapeId="0" xr:uid="{334574AC-AA13-4CA2-9DFB-B903010745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0ED6E109-5354-47E1-A9ED-0CF2B13FA1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2F02A039-C466-4308-817D-73C5E46D5F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0799ADF8-303D-4B65-9029-26D2A53875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5E570856-AF0A-4728-8AF2-BBAC168641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F6AC4F78-6099-47AC-BEC8-5ED2AA3582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A65789DA-1B7B-4C33-A0E1-C4D7AB4DA6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7B8C399E-3906-46C6-93EC-372A34E881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 shapeId="0" xr:uid="{A3C28241-748F-4A71-A34C-1AF4A05320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9AF931E0-477D-4117-B9FE-BF6804977A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5FB5FD1C-987E-443B-96EC-F40255C20E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5F1EE758-0D86-4B19-88FA-DF0BCCC613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DA955E20-9A5C-4B5E-8DF3-41479A8EC1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31DFF3C1-7417-4C0B-9FDF-550241184F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5046299D-2795-4639-8275-36AB1958AA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 shapeId="0" xr:uid="{67DDE68B-13B9-408F-8AA6-AB789E1F00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 shapeId="0" xr:uid="{340D938B-B93F-4431-A154-14CA5ECD21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71C8DD33-12BF-4A1E-BB69-B59C5731E0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455AEBFF-7983-4FBC-A2E1-0F403527A8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E8C32B79-BE0F-45B9-B260-1728BC57AB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9B8699F5-8478-4C02-B0CD-E1353481FB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BADC439F-EBBF-4381-BEC3-B6377453A5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67145749-E36E-49CE-9729-885E3FF73B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02A3312D-355F-4903-BDB9-D161F33560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 shapeId="0" xr:uid="{35FC97D4-3CAB-4A85-AF2A-178D76DD4D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" authorId="0" shapeId="0" xr:uid="{CFCF4BD1-F4F6-4BA7-807E-35B46B04EE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EB77CE79-A248-4AE7-8086-5A54C6ADA8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9F9CB868-7DF5-4641-885C-4E925A3D83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16570377-5C73-4A63-9F16-A3EDF67605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C2E82577-6329-4C77-A29E-9BD13821F9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35C92AB7-EA87-4FDE-B737-CF38F3D4A4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67C203E7-EDE0-4DF4-9428-D1E1FBDE30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 shapeId="0" xr:uid="{5CF45034-B190-4F4C-B973-92BE5A3BC2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5" authorId="0" shapeId="0" xr:uid="{C34B1642-654D-4164-B37B-3CF552857E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BE8A167F-2086-4FE2-8627-E963AECD4F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 shapeId="0" xr:uid="{FE5A06EC-DBEE-4693-9C7B-889A388C21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 xr:uid="{3F484011-6201-473F-99E6-672318921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" authorId="0" shapeId="0" xr:uid="{BA0F08CE-3B8C-4159-AF5F-13101A0F6F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" authorId="0" shapeId="0" xr:uid="{D951346B-8B91-494B-8636-F4EC54E247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" authorId="0" shapeId="0" xr:uid="{5490965A-0FE0-4420-8A9D-4861794ECD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6" authorId="0" shapeId="0" xr:uid="{AEF1901A-613F-458A-A47E-F679CFAF51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6" authorId="0" shapeId="0" xr:uid="{1F702F88-5538-4848-91B4-88E4B32732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7B0BA132-B073-49CE-AADA-FA278F2607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 xr:uid="{71C6E0F8-B3E3-4E18-B394-8E2429515D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85297337-99C7-42F8-AC17-37C68FD970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 shapeId="0" xr:uid="{A1485EA5-2038-4598-B807-E1F546A252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 shapeId="0" xr:uid="{E8604479-6205-4EB0-A2D0-5A2D2AB7D4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 shapeId="0" xr:uid="{FE30CF07-C1D5-42FE-98B8-00E0E1270E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7" authorId="0" shapeId="0" xr:uid="{E1276EA9-627C-4310-A2D4-1633D953DB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7" authorId="0" shapeId="0" xr:uid="{E80555A5-06EB-4FD7-A0D1-8B745A3D72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99ECDAF5-BE02-453D-BF9E-16DEC5E06B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D78E31B6-5947-4D68-A15E-CC96903B21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39E55FCE-20CC-4193-87B4-0DABADFD5C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3C7FDE20-D68E-4572-9AB3-FD939D7550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 xr:uid="{09AEC317-5EF8-4355-9FF4-0E5FD25AE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FA899465-6453-422F-8D25-EEDAEC17A4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8" authorId="0" shapeId="0" xr:uid="{D72CE2BE-5B6F-4C1D-AFEF-CF7F2278C2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8" authorId="0" shapeId="0" xr:uid="{6FD66C5F-5BA6-4E15-8544-B8A253F579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64F8C1A5-53BC-44ED-AF23-45099CA628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 shapeId="0" xr:uid="{A5813C4A-6843-47DE-B7B2-ACFD6854BF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F6794C2B-B215-49D4-B06D-A94DA52B37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 shapeId="0" xr:uid="{6B3EC929-9092-45DA-B854-FC42C6FA5F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 shapeId="0" xr:uid="{8DC47EEF-963C-4B9B-9DA5-2DE3D2E1F7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" authorId="0" shapeId="0" xr:uid="{1A3DDD6A-4B19-4E68-8659-50DD2DA7F1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9" authorId="0" shapeId="0" xr:uid="{CA7BBACB-69D5-4F01-AACE-D650ABBA71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9" authorId="0" shapeId="0" xr:uid="{E04DCCA3-C37D-4D4D-B361-87A1B95984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DE01A3A0-60CA-4647-8B73-E0CEFF884A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 shapeId="0" xr:uid="{20421268-7EAA-4677-A244-53636AD71F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5E0A9729-D85E-403B-B0FB-0D20CE3ECC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 shapeId="0" xr:uid="{F2755AD9-AA39-4B1E-BBD7-197BC1A6A7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" authorId="0" shapeId="0" xr:uid="{665FE270-E8F6-43FC-B9D8-62828046EB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" authorId="0" shapeId="0" xr:uid="{34E904C8-5732-48E5-AC77-6D62F01D7E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0" authorId="0" shapeId="0" xr:uid="{0ED0ABBB-67FB-459D-8BE8-3D25E6C9CD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0" authorId="0" shapeId="0" xr:uid="{171D265F-E1C3-40A7-B78E-686737A29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090F31FC-91E8-4098-93A8-287F1C6560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 xr:uid="{11917AB9-B188-4FC1-A6A4-08011A472E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F3519D39-DA68-4362-9494-3A5D1581A8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 xr:uid="{BB45F217-A035-458B-90D2-A977AACF1D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 shapeId="0" xr:uid="{BDDB3558-6195-44A5-ACC6-0B16A3A17C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 shapeId="0" xr:uid="{3A81BD94-A5F0-4937-B2C0-9167372200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3" authorId="0" shapeId="0" xr:uid="{54EBBE62-A212-4FAA-B319-4786A39DFE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3" authorId="0" shapeId="0" xr:uid="{7F33EE3B-4456-4D86-BF0A-F3F230840F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70FEC1B5-1B49-4673-8399-3871FDC686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16609711-9A42-4E1C-BD05-585F464D42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1458F643-0C91-4485-A9DE-2B659657D0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 xr:uid="{B186398C-A953-412A-8053-F1ECCEF836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 shapeId="0" xr:uid="{D3587D26-CC6D-4C87-8394-38AFA9E3F4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 shapeId="0" xr:uid="{2433BA69-61FE-4308-85DA-6AC425CF8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4" authorId="0" shapeId="0" xr:uid="{1FA7B68F-C834-49EE-A80E-EE4F798315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4" authorId="0" shapeId="0" xr:uid="{EB11415D-9D61-44B2-B8A5-2B587CB92C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3D4E2828-37A3-416D-A451-BE364BCB6C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 xr:uid="{E2B3AF97-D71B-48ED-BA19-CAE4BA90E2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E745F241-EE7B-4393-AE22-586772DE3E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 shapeId="0" xr:uid="{A64541C0-43E5-4E3D-A495-DD15D00971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 shapeId="0" xr:uid="{0EC72EC2-D67A-4530-B089-6829DB7D5F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 shapeId="0" xr:uid="{AB3F1C71-3405-4BBA-909F-494ED2598A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5" authorId="0" shapeId="0" xr:uid="{B51BEBE7-D666-40C7-878E-09F572938E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5" authorId="0" shapeId="0" xr:uid="{D2B6EEAC-7533-4288-AD3F-4C116B22CE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F9AA70E4-9849-49AD-B672-44E44EAD26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 shapeId="0" xr:uid="{41FEC474-CDF4-462A-AE84-1893224B23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 xr:uid="{39C9C13D-F0F6-415B-ABEB-B344AD6214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 shapeId="0" xr:uid="{801FB69C-3B3B-40D9-A188-C775D80BE5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" authorId="0" shapeId="0" xr:uid="{50974B53-1C0F-4BBE-821F-7887566EA9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" authorId="0" shapeId="0" xr:uid="{7B9B14C9-EB43-4C66-A79A-4FB4EE12EA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6" authorId="0" shapeId="0" xr:uid="{20B51B16-A8C2-4167-93E0-75D7F239B0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6" authorId="0" shapeId="0" xr:uid="{3566A6F7-62BB-4EA9-B3CF-4025F74AC0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B49FB526-7C94-4A93-8F2E-2726BF4293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" authorId="0" shapeId="0" xr:uid="{DEDB94CB-A6D9-48E1-B43C-D71D258D7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" authorId="0" shapeId="0" xr:uid="{A74CB9B8-852A-4643-8802-A275A38C1B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" authorId="0" shapeId="0" xr:uid="{1EDB028D-CDF0-4AFF-B210-0580CCC768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" authorId="0" shapeId="0" xr:uid="{98343F38-48EF-4433-90C9-DB0B987FFB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" authorId="0" shapeId="0" xr:uid="{08716195-FE04-480D-8DB8-7E59DE2C55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7" authorId="0" shapeId="0" xr:uid="{F67CD07D-124B-4D0F-9B60-E2D4AD871A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7" authorId="0" shapeId="0" xr:uid="{44E737E7-CAE7-42FA-A84A-0D4E600180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A1CC724A-3520-491C-84F0-A481292DA0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" authorId="0" shapeId="0" xr:uid="{C0BB0C4B-6478-4643-9F1D-B8F5611D13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" authorId="0" shapeId="0" xr:uid="{302BEB0A-DF64-4CED-8D91-FCA6FE7A2F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" authorId="0" shapeId="0" xr:uid="{C96EE40C-F6B4-4E4F-8AE0-535C6428C9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" authorId="0" shapeId="0" xr:uid="{7F2C506F-61BA-4348-8C3F-538FA86621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" authorId="0" shapeId="0" xr:uid="{64900BC2-85EE-4F0D-8AAA-A6D200C4A6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8" authorId="0" shapeId="0" xr:uid="{DC593FF1-94BA-4D77-A401-E619E971F2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8" authorId="0" shapeId="0" xr:uid="{EB5C50ED-7AA4-4B6B-A24E-F633B69677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A3C43AEF-1AF7-4245-BE5E-44D09DF795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" authorId="0" shapeId="0" xr:uid="{2E21365B-D10E-46DB-8EE7-71BBAA75CE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 shapeId="0" xr:uid="{6744F353-03B5-4DD2-8215-C107733F51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" authorId="0" shapeId="0" xr:uid="{D06F5807-40FE-4E93-9FEB-50D058B635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" authorId="0" shapeId="0" xr:uid="{E1132576-9095-49F7-8EFC-89A465FC65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" authorId="0" shapeId="0" xr:uid="{0C9D6E59-BBED-4A14-9375-920FFC88D7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9" authorId="0" shapeId="0" xr:uid="{B5B505D3-2740-4737-84DF-B5C61A5C68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9" authorId="0" shapeId="0" xr:uid="{6948BBFE-6019-418D-8AD6-CA3BC11701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30D1AF83-A8BA-4F53-A614-0486E7BBC0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47D1488F-FD02-409F-859C-98A7AD9246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0F6203FB-44CE-4648-9FE4-ABC4719509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 xr:uid="{15704C92-C3F5-4799-9C8D-6A8537047E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 shapeId="0" xr:uid="{2CCDE543-57B9-4C54-8862-A705D16672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 shapeId="0" xr:uid="{F3A66D87-2525-4A32-BEE8-9C433B3C94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2" authorId="0" shapeId="0" xr:uid="{C3A21B32-AB5C-462F-BA39-8C58A2C9C1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2" authorId="0" shapeId="0" xr:uid="{A20A5DC0-4802-46C9-B336-4A2783BA39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CB41FC5C-EF5B-4357-86A9-052B7ADEF1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 shapeId="0" xr:uid="{854B7D6E-32F0-4276-8E8C-F3A0A4950F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 shapeId="0" xr:uid="{3DD89CF4-6814-48F9-930D-7093108218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 shapeId="0" xr:uid="{E22F618F-DE3F-4B6E-A43E-521B72A563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 shapeId="0" xr:uid="{4D3AF1AD-7A8A-4BD9-8270-358BAD7901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 shapeId="0" xr:uid="{7A67DA1E-6F8D-4299-9DF4-A37CDA27B5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3" authorId="0" shapeId="0" xr:uid="{3BA22B76-B919-442E-B6EE-41C0D75D78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3" authorId="0" shapeId="0" xr:uid="{4F4E4F35-74E7-47B0-8D33-6FEF7EBC0F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428EFED6-2EF4-4A0D-880F-BC21ACDA56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 xr:uid="{0C255B7A-7830-4222-B873-7708B4D6FA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 xr:uid="{EAE199B2-FFDA-4B34-9C07-5246FA3158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 xr:uid="{30EE5A3D-319F-4DF2-9FDF-1131DF3B58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 shapeId="0" xr:uid="{B2E9EA62-D767-4D43-B35E-6BD28D1039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 shapeId="0" xr:uid="{F687465F-FD5E-47CA-9A5B-3684CD1EAE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4" authorId="0" shapeId="0" xr:uid="{D86618D3-A326-41D4-9DFA-4BD77E8FFE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4" authorId="0" shapeId="0" xr:uid="{B842DEDC-81E9-4D5F-8C7C-92D23358EF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A2F993FA-2D14-4633-B431-8C2E3F6999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" authorId="0" shapeId="0" xr:uid="{1AEEBB5C-64DF-4C7C-A020-87AEBA0902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 shapeId="0" xr:uid="{9933F63D-ABA1-48D1-BF9C-57594AF866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" authorId="0" shapeId="0" xr:uid="{5463740A-F9C3-4349-AE96-94371CB207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" authorId="0" shapeId="0" xr:uid="{88E5A4B3-CEA0-4001-A440-62410644C7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" authorId="0" shapeId="0" xr:uid="{B975B42A-F542-4DFC-996F-E922885503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5" authorId="0" shapeId="0" xr:uid="{2E443BEC-C47E-45E1-8CE9-7F37F8127A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5" authorId="0" shapeId="0" xr:uid="{235A9C1C-CAB9-4E13-B0D1-3DE29AAA44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2FABF424-FC48-45C7-9D00-FE3D755C05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 shapeId="0" xr:uid="{AC18B2E9-C66B-4B1B-B2A6-78BCEC460D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 shapeId="0" xr:uid="{EBB45211-F1B7-419D-80E7-6B8D36D84C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 shapeId="0" xr:uid="{057971A0-9D10-4C09-AEA4-CD342FA7BA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" authorId="0" shapeId="0" xr:uid="{6D05BD96-4FF9-4939-9A77-2E1E8A8271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" authorId="0" shapeId="0" xr:uid="{65DD3A47-CE53-46D1-9216-EADA3C3398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6" authorId="0" shapeId="0" xr:uid="{BE616F3E-968F-47C0-A518-48C4A05D21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6" authorId="0" shapeId="0" xr:uid="{54274829-90A3-4656-87D4-3142BCC50E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20BE9410-ABAA-4090-8D50-0878AB8069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 xr:uid="{CD083708-7FBB-4E22-BD9D-ECE833CFFA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B6814D6D-22A5-4DB8-BA1E-E08BB7CE64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 shapeId="0" xr:uid="{6F94B000-71E3-4EAA-A48D-7323CBE0F1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 shapeId="0" xr:uid="{05AE95B5-B76B-429E-8144-6BDD55D981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" authorId="0" shapeId="0" xr:uid="{870CC3AD-79C8-44B5-B15A-8FA81323ED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7" authorId="0" shapeId="0" xr:uid="{7532BD30-3407-4730-AF4D-04A317392F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7" authorId="0" shapeId="0" xr:uid="{FBFD33FF-C2CA-407D-8088-2C926BFB17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C52EA235-B37D-4159-B729-119177B3BF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42979482-4CAC-4EA6-8AB5-7ECD842E87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828F35D9-24BE-47E9-BC19-259360171F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A7345E19-BFD0-4D63-B141-3B91E3FB1B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 xr:uid="{FE08D25F-1A72-436F-B36E-D6DB14F7B3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 shapeId="0" xr:uid="{15BCF195-D79F-479B-867D-005E4B915C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8" authorId="0" shapeId="0" xr:uid="{0CC134D7-F8D7-416C-B4CA-9EB6C4EC59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8" authorId="0" shapeId="0" xr:uid="{EA0510AA-1761-4093-B846-8D5BC5E5FB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Sahaj Chakka</author>
  </authors>
  <commentList>
    <comment ref="B5" authorId="0" shapeId="0" xr:uid="{779749F9-19A2-DA40-97AE-27A131D9125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F8FB44AA-FBDE-8945-9CDE-40B84C71744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4BE8DDB2-79B3-D74C-ACA0-CE52C87419FA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CA27BF41-D9EA-BA4C-8288-315D1E33727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94B3FC74-9F24-B24F-970A-E0730D0B7A2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85492598-0F8C-F543-ABA1-7F07CE52450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A07ABA32-7C51-A74D-B509-815D877778E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692FAF81-0801-DC48-B07A-709C3FF3102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62DE6074-9409-7D48-B84A-7583E6C8B23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767ACC88-DD65-4F46-BCC9-3D383163B6E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916EB213-6471-5649-A90A-7D2036B0727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003EC09B-627D-B840-9469-5BFA910F35E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<sst xmlns="http://schemas.openxmlformats.org/spreadsheetml/2006/main" count="312" uniqueCount="117">
  <si>
    <t>Activities</t>
  </si>
  <si>
    <t>Fabrication Hours</t>
  </si>
  <si>
    <t>Melamine</t>
  </si>
  <si>
    <t>Production Hours</t>
  </si>
  <si>
    <t>Assembly Hours</t>
  </si>
  <si>
    <t>Ocean Recycled Fabric</t>
  </si>
  <si>
    <t>Raw Materials</t>
  </si>
  <si>
    <t>Chair-Portone</t>
  </si>
  <si>
    <t>Work Pods-Drape</t>
  </si>
  <si>
    <t>Available Resources</t>
  </si>
  <si>
    <t>Total used</t>
  </si>
  <si>
    <t>&lt;=</t>
  </si>
  <si>
    <t>Profit Per Unit</t>
  </si>
  <si>
    <t>Manufacturing Quantity</t>
  </si>
  <si>
    <t>Conference Table-NT</t>
  </si>
  <si>
    <t>Total Profit</t>
  </si>
  <si>
    <t>Objective Function</t>
  </si>
  <si>
    <t>Selling Price</t>
  </si>
  <si>
    <t>Cost Price</t>
  </si>
  <si>
    <t>Price per Square Feet</t>
  </si>
  <si>
    <t>Die-Cast Aluminium</t>
  </si>
  <si>
    <t>_</t>
  </si>
  <si>
    <t>$C$18</t>
  </si>
  <si>
    <t>Price Variation of WorkPods</t>
  </si>
  <si>
    <t>$C$24</t>
  </si>
  <si>
    <t>$D$36</t>
  </si>
  <si>
    <t>Data for chart</t>
  </si>
  <si>
    <t>$D$34</t>
  </si>
  <si>
    <t>Input</t>
  </si>
  <si>
    <t>$D$28</t>
  </si>
  <si>
    <t/>
  </si>
  <si>
    <t>$G$42,$C$34:$E$34</t>
  </si>
  <si>
    <t>Melamine Quantity variations</t>
  </si>
  <si>
    <t>Input2</t>
  </si>
  <si>
    <t>$G$42</t>
  </si>
  <si>
    <t>$C$34</t>
  </si>
  <si>
    <t>$E$34</t>
  </si>
  <si>
    <t>Two-way analysis for Solver model in Sheet1 worksheet</t>
  </si>
  <si>
    <t>Melamine Quantity variations (cell $D$28) values along side, Input2 (cell $D$36) values along top, output cell in corner</t>
  </si>
  <si>
    <t>Output and Melamine Quantity variations value for chart</t>
  </si>
  <si>
    <t>Output</t>
  </si>
  <si>
    <t>Melamine Quantity variations value</t>
  </si>
  <si>
    <t>Output and Input2 value for chart</t>
  </si>
  <si>
    <t>Input2 value</t>
  </si>
  <si>
    <t>Binding</t>
  </si>
  <si>
    <t>$F$30&lt;=$H$30</t>
  </si>
  <si>
    <t>Die-Cast Aluminium Total used</t>
  </si>
  <si>
    <t>$F$30</t>
  </si>
  <si>
    <t>Not Binding</t>
  </si>
  <si>
    <t>$F$29&lt;=$H$29</t>
  </si>
  <si>
    <t>_ Total used</t>
  </si>
  <si>
    <t>$F$29</t>
  </si>
  <si>
    <t>$F$28&lt;=$H$28</t>
  </si>
  <si>
    <t>$F$28</t>
  </si>
  <si>
    <t>$F$24&lt;=$H$24</t>
  </si>
  <si>
    <t>Production Hours Total used</t>
  </si>
  <si>
    <t>$F$24</t>
  </si>
  <si>
    <t>$F$23&lt;=$H$23</t>
  </si>
  <si>
    <t>Assembly Hours Total used</t>
  </si>
  <si>
    <t>$F$23</t>
  </si>
  <si>
    <t>$F$22&lt;=$H$22</t>
  </si>
  <si>
    <t>Fabrication Hours Total used</t>
  </si>
  <si>
    <t>$F$22</t>
  </si>
  <si>
    <t>Slack</t>
  </si>
  <si>
    <t>Status</t>
  </si>
  <si>
    <t>Formula</t>
  </si>
  <si>
    <t>Cell Value</t>
  </si>
  <si>
    <t>Name</t>
  </si>
  <si>
    <t>Cell</t>
  </si>
  <si>
    <t>Constraints</t>
  </si>
  <si>
    <t>Contin</t>
  </si>
  <si>
    <t>Manufacturing Quantity _</t>
  </si>
  <si>
    <t>Manufacturing Quantity Work Pods-Drape</t>
  </si>
  <si>
    <t>Integer</t>
  </si>
  <si>
    <t>Final Value</t>
  </si>
  <si>
    <t>Original Value</t>
  </si>
  <si>
    <t>Variable Cells</t>
  </si>
  <si>
    <t>Total Profit &lt;=</t>
  </si>
  <si>
    <t>Objective Cell (Max)</t>
  </si>
  <si>
    <t>Max Subproblems Unlimited, Max Integer Sols Unlimited, Integer Tolerance 0%, Solve Without Integer Constraints, Assume NonNegative</t>
  </si>
  <si>
    <t>Max Time Unlimited, Iterations Unlimited, Precision 0.000001</t>
  </si>
  <si>
    <t>Solver Options</t>
  </si>
  <si>
    <t>Iterations: 4 Subproblems: 0</t>
  </si>
  <si>
    <t>Solution Time: 457.585 Seconds.</t>
  </si>
  <si>
    <t>Engine: Simplex LP</t>
  </si>
  <si>
    <t>Solver Engine</t>
  </si>
  <si>
    <t>Result: Solver found a solution.  All constraints and optimality conditions are satisfied.</t>
  </si>
  <si>
    <t>Report Created: 5/12/23 9:11:41 PM</t>
  </si>
  <si>
    <t>Worksheet: [Final Project_nB1.xlsx]Sheet1</t>
  </si>
  <si>
    <t>Microsoft Excel 16.72 Answer Report</t>
  </si>
  <si>
    <t>Decrease</t>
  </si>
  <si>
    <t>Increase</t>
  </si>
  <si>
    <t>R.H. Side</t>
  </si>
  <si>
    <t>Price</t>
  </si>
  <si>
    <t>Value</t>
  </si>
  <si>
    <t>Allowable</t>
  </si>
  <si>
    <t>Constraint</t>
  </si>
  <si>
    <t>Shadow</t>
  </si>
  <si>
    <t>Final</t>
  </si>
  <si>
    <t>Coefficient</t>
  </si>
  <si>
    <t>Cost</t>
  </si>
  <si>
    <t>Objective</t>
  </si>
  <si>
    <t>Reduced</t>
  </si>
  <si>
    <t>Report Created: 5/12/23 9:11:42 PM</t>
  </si>
  <si>
    <t>Microsoft Excel 16.72 Sensitivity Report</t>
  </si>
  <si>
    <t>Result</t>
  </si>
  <si>
    <t>Limit</t>
  </si>
  <si>
    <t>Upper</t>
  </si>
  <si>
    <t>Lower</t>
  </si>
  <si>
    <t>Variable</t>
  </si>
  <si>
    <t>Microsoft Excel 16.72 Limits Report</t>
  </si>
  <si>
    <t xml:space="preserve">Wood </t>
  </si>
  <si>
    <t>Input (cell $E$36) values along side, output cell(s) along top</t>
  </si>
  <si>
    <t>Oneway analysis for Solver model in Sheet1 worksheet</t>
  </si>
  <si>
    <t>S.P ofCchair (cell $C$36) values along side, output cell(s) along top</t>
  </si>
  <si>
    <t>Oneway analysis for Solver model in Okamura Profit worksheet</t>
  </si>
  <si>
    <t>S.P of WorkPods (cell $D$36)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</si>
</sst>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indexed="18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5" fillId="0" borderId="0" xfId="0" applyFont="1"/>
    <xf numFmtId="0" fontId="0" fillId="0" borderId="0" xfId="0" applyAlignment="1">
      <alignment horizontal="right" textRotation="90"/>
    </xf>
    <xf numFmtId="0" fontId="0" fillId="3" borderId="0" xfId="0" applyFill="1" applyAlignment="1">
      <alignment horizontal="right" textRotation="90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9" fillId="6" borderId="0" xfId="0" applyFont="1" applyFill="1"/>
    <xf numFmtId="0" fontId="10" fillId="5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'variation of Conf.Table price'!$K$1</c:f>
          <c:strCache>
            <c:ptCount val="1"/>
            <c:pt idx="0">
              <c:v>Sensitivity of $G$42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'variation of Conf.Table price'!$A$5:$A$15</c:f>
              <c:numCache>
                <c:formatCode>General</c:formatCode>
                <c:ptCount val="11"/>
                <c:pt idx="0">
                  <c:v>1300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</c:numCache>
            </c:numRef>
          </c:cat>
          <c:val>
            <c:numRef>
              <c:f>'variation of Conf.Table price'!$K$5:$K$15</c:f>
              <c:numCache>
                <c:formatCode>General</c:formatCode>
                <c:ptCount val="11"/>
                <c:pt idx="0">
                  <c:v>5705625</c:v>
                </c:pt>
                <c:pt idx="1">
                  <c:v>5705625</c:v>
                </c:pt>
                <c:pt idx="2">
                  <c:v>5705625</c:v>
                </c:pt>
                <c:pt idx="3">
                  <c:v>5755828.125</c:v>
                </c:pt>
                <c:pt idx="4">
                  <c:v>5843328.125</c:v>
                </c:pt>
                <c:pt idx="5">
                  <c:v>5947096</c:v>
                </c:pt>
                <c:pt idx="6">
                  <c:v>6141096</c:v>
                </c:pt>
                <c:pt idx="7">
                  <c:v>6335096</c:v>
                </c:pt>
                <c:pt idx="8">
                  <c:v>6529096</c:v>
                </c:pt>
                <c:pt idx="9">
                  <c:v>6723096</c:v>
                </c:pt>
                <c:pt idx="10">
                  <c:v>6917096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F31-9A24-58C593BE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354976"/>
        <c:axId val="2001274384"/>
      </c:lineChart>
      <c:catAx>
        <c:axId val="20013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($E$36)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274384"/>
        <c:crosses val="autoZero"/>
        <c:auto val="1"/>
        <c:lblAlgn val="ctr"/>
        <c:lblOffset val="100"/>
        <c:noMultiLvlLbl val="0"/>
      </c:catAx>
      <c:valAx>
        <c:axId val="200127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3549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'Workpods price variations'!$K$1</c:f>
          <c:strCache>
            <c:ptCount val="1"/>
            <c:pt idx="0">
              <c:v>Sensitivity of $G$42 to S.P of WorkPods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'Workpods price variations'!$A$5:$A$15</c:f>
              <c:numCache>
                <c:formatCode>General</c:formatCode>
                <c:ptCount val="11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</c:numCache>
            </c:numRef>
          </c:cat>
          <c:val>
            <c:numRef>
              <c:f>'Workpods price variations'!$K$5:$K$15</c:f>
              <c:numCache>
                <c:formatCode>General</c:formatCode>
                <c:ptCount val="11"/>
                <c:pt idx="0">
                  <c:v>5497016</c:v>
                </c:pt>
                <c:pt idx="1">
                  <c:v>5497016</c:v>
                </c:pt>
                <c:pt idx="2">
                  <c:v>5497016</c:v>
                </c:pt>
                <c:pt idx="3">
                  <c:v>5561421.875</c:v>
                </c:pt>
                <c:pt idx="4">
                  <c:v>5727828.125</c:v>
                </c:pt>
                <c:pt idx="5">
                  <c:v>5981581.25</c:v>
                </c:pt>
                <c:pt idx="6">
                  <c:v>6256268.75</c:v>
                </c:pt>
                <c:pt idx="7">
                  <c:v>6542643.75</c:v>
                </c:pt>
                <c:pt idx="8">
                  <c:v>6837956.25</c:v>
                </c:pt>
                <c:pt idx="9">
                  <c:v>7133268.75</c:v>
                </c:pt>
                <c:pt idx="10">
                  <c:v>7428581.25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8-4807-81A0-58ED40F1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722640"/>
        <c:axId val="871509839"/>
      </c:lineChart>
      <c:catAx>
        <c:axId val="200072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S.P of WorkPods ($D$36)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1509839"/>
        <c:crosses val="autoZero"/>
        <c:auto val="1"/>
        <c:lblAlgn val="ctr"/>
        <c:lblOffset val="100"/>
        <c:noMultiLvlLbl val="0"/>
      </c:catAx>
      <c:valAx>
        <c:axId val="871509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722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'Melamine Quantity'!$K$1</c:f>
          <c:strCache>
            <c:ptCount val="1"/>
            <c:pt idx="0">
              <c:v>Sensitivity of $G$42 to Input2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'Melamine Quantity'!$B$4:$I$4</c:f>
              <c:numCache>
                <c:formatCode>General</c:formatCode>
                <c:ptCount val="8"/>
                <c:pt idx="0">
                  <c:v>2000</c:v>
                </c:pt>
                <c:pt idx="1">
                  <c:v>2135</c:v>
                </c:pt>
                <c:pt idx="2">
                  <c:v>2270</c:v>
                </c:pt>
                <c:pt idx="3">
                  <c:v>2405</c:v>
                </c:pt>
                <c:pt idx="4">
                  <c:v>2540</c:v>
                </c:pt>
                <c:pt idx="5">
                  <c:v>2675</c:v>
                </c:pt>
                <c:pt idx="6">
                  <c:v>2810</c:v>
                </c:pt>
                <c:pt idx="7">
                  <c:v>2945</c:v>
                </c:pt>
              </c:numCache>
            </c:numRef>
          </c:cat>
          <c:val>
            <c:numRef>
              <c:f>'Melamine Quantity'!$K$5:$K$12</c:f>
              <c:numCache>
                <c:formatCode>General</c:formatCode>
                <c:ptCount val="8"/>
                <c:pt idx="0">
                  <c:v>5567504.3103448283</c:v>
                </c:pt>
                <c:pt idx="1">
                  <c:v>5629476.2931034481</c:v>
                </c:pt>
                <c:pt idx="2">
                  <c:v>5691448.2758620689</c:v>
                </c:pt>
                <c:pt idx="3">
                  <c:v>5753420.2586206887</c:v>
                </c:pt>
                <c:pt idx="4">
                  <c:v>6099375</c:v>
                </c:pt>
                <c:pt idx="5">
                  <c:v>6496875</c:v>
                </c:pt>
                <c:pt idx="6">
                  <c:v>6952500</c:v>
                </c:pt>
                <c:pt idx="7">
                  <c:v>7408125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3-4D4E-8152-9DC856C3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451104"/>
        <c:axId val="1570453504"/>
      </c:lineChart>
      <c:catAx>
        <c:axId val="15704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Input2 ($D$36)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0453504"/>
        <c:crosses val="autoZero"/>
        <c:auto val="1"/>
        <c:lblAlgn val="ctr"/>
        <c:lblOffset val="100"/>
        <c:noMultiLvlLbl val="0"/>
      </c:catAx>
      <c:valAx>
        <c:axId val="15704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4511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'Melamine Quantity'!$O$1</c:f>
          <c:strCache>
            <c:ptCount val="1"/>
            <c:pt idx="0">
              <c:v>Sensitivity of $G$42 to Melamine Quantity variations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'Melamine Quantity'!$A$5:$A$11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</c:numCache>
            </c:numRef>
          </c:cat>
          <c:val>
            <c:numRef>
              <c:f>'Melamine Quantity'!$O$5:$O$11</c:f>
              <c:numCache>
                <c:formatCode>General</c:formatCode>
                <c:ptCount val="7"/>
                <c:pt idx="0">
                  <c:v>5567504.3103448283</c:v>
                </c:pt>
                <c:pt idx="1">
                  <c:v>5524952.6315789474</c:v>
                </c:pt>
                <c:pt idx="2">
                  <c:v>5497016</c:v>
                </c:pt>
                <c:pt idx="3">
                  <c:v>5497016</c:v>
                </c:pt>
                <c:pt idx="4">
                  <c:v>5497016</c:v>
                </c:pt>
                <c:pt idx="5">
                  <c:v>5497016</c:v>
                </c:pt>
                <c:pt idx="6">
                  <c:v>5497016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C-4BA4-9BF7-21F8CEAF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26032"/>
        <c:axId val="1196997968"/>
      </c:lineChart>
      <c:catAx>
        <c:axId val="158102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Melamine Quantity variations ($D$28)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997968"/>
        <c:crosses val="autoZero"/>
        <c:auto val="1"/>
        <c:lblAlgn val="ctr"/>
        <c:lblOffset val="100"/>
        <c:noMultiLvlLbl val="0"/>
      </c:catAx>
      <c:valAx>
        <c:axId val="119699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026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'Chair price variation'!$K$1</c:f>
          <c:strCache>
            <c:ptCount val="1"/>
            <c:pt idx="0">
              <c:v>Sensitivity of $G$42 to S.P ofCchair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'Chair price variation'!$A$5:$A$16</c:f>
              <c:numCache>
                <c:formatCode>General</c:formatCode>
                <c:ptCount val="12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  <c:pt idx="11">
                  <c:v>1000</c:v>
                </c:pt>
              </c:numCache>
            </c:numRef>
          </c:cat>
          <c:val>
            <c:numRef>
              <c:f>'Chair price variation'!$K$5:$K$16</c:f>
              <c:numCache>
                <c:formatCode>General</c:formatCode>
                <c:ptCount val="12"/>
                <c:pt idx="0">
                  <c:v>5357556.25</c:v>
                </c:pt>
                <c:pt idx="1">
                  <c:v>5437972.916666667</c:v>
                </c:pt>
                <c:pt idx="2">
                  <c:v>5518389.583333333</c:v>
                </c:pt>
                <c:pt idx="3">
                  <c:v>5622078.125</c:v>
                </c:pt>
                <c:pt idx="4">
                  <c:v>5768953.125</c:v>
                </c:pt>
                <c:pt idx="5">
                  <c:v>5915828.125</c:v>
                </c:pt>
                <c:pt idx="6">
                  <c:v>6062703.125</c:v>
                </c:pt>
                <c:pt idx="7">
                  <c:v>6209578.125</c:v>
                </c:pt>
                <c:pt idx="8">
                  <c:v>6356453.125</c:v>
                </c:pt>
                <c:pt idx="9">
                  <c:v>6525560</c:v>
                </c:pt>
                <c:pt idx="10">
                  <c:v>6720360</c:v>
                </c:pt>
                <c:pt idx="11">
                  <c:v>6915160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2-4CDC-B74C-93038078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012944"/>
        <c:axId val="1403429359"/>
      </c:lineChart>
      <c:catAx>
        <c:axId val="201301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S.P ofCchair ($C$36)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429359"/>
        <c:crosses val="autoZero"/>
        <c:auto val="1"/>
        <c:lblAlgn val="ctr"/>
        <c:lblOffset val="100"/>
        <c:noMultiLvlLbl val="0"/>
      </c:catAx>
      <c:valAx>
        <c:axId val="14034293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012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864860" y="3169920"/>
    <xdr:ext cx="4678680" cy="2743200"/>
    <xdr:graphicFrame macro="">
      <xdr:nvGraphicFramePr>
        <xdr:cNvPr id="2" name="STS_5_Chart">
          <a:extLst>
            <a:ext uri="{FF2B5EF4-FFF2-40B4-BE49-F238E27FC236}">
              <a16:creationId xmlns:a16="http://schemas.microsoft.com/office/drawing/2014/main" id="{27F5955C-2DC9-419C-9EA0-005B1D0E7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110980" y="548640"/>
    <xdr:ext cx="2339340" cy="6985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74A64A-6968-4170-A9BE-CC5450660122}"/>
            </a:ext>
          </a:extLst>
        </xdr:cNvPr>
        <xdr:cNvSpPr txBox="1"/>
      </xdr:nvSpPr>
      <xdr:spPr>
        <a:xfrm>
          <a:off x="9110980" y="548640"/>
          <a:ext cx="2339340" cy="698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864860" y="3169920"/>
    <xdr:ext cx="4678680" cy="2743200"/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FA03DA50-0DA0-4F5B-A346-B685035F5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110980" y="548640"/>
    <xdr:ext cx="2339340" cy="6985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BCB170-11C8-4E74-8B8F-899979440169}"/>
            </a:ext>
          </a:extLst>
        </xdr:cNvPr>
        <xdr:cNvSpPr txBox="1"/>
      </xdr:nvSpPr>
      <xdr:spPr>
        <a:xfrm>
          <a:off x="9110980" y="548640"/>
          <a:ext cx="2339340" cy="698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13</xdr:row>
      <xdr:rowOff>91440</xdr:rowOff>
    </xdr:from>
    <xdr:to>
      <xdr:col>19</xdr:col>
      <xdr:colOff>0</xdr:colOff>
      <xdr:row>29</xdr:row>
      <xdr:rowOff>22860</xdr:rowOff>
    </xdr:to>
    <xdr:graphicFrame macro="">
      <xdr:nvGraphicFramePr>
        <xdr:cNvPr id="2" name="STS_3_Chart1">
          <a:extLst>
            <a:ext uri="{FF2B5EF4-FFF2-40B4-BE49-F238E27FC236}">
              <a16:creationId xmlns:a16="http://schemas.microsoft.com/office/drawing/2014/main" id="{E1B8019D-C7D0-2357-D6F0-CAB8327F0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0</xdr:colOff>
      <xdr:row>13</xdr:row>
      <xdr:rowOff>91440</xdr:rowOff>
    </xdr:from>
    <xdr:to>
      <xdr:col>28</xdr:col>
      <xdr:colOff>0</xdr:colOff>
      <xdr:row>29</xdr:row>
      <xdr:rowOff>22860</xdr:rowOff>
    </xdr:to>
    <xdr:graphicFrame macro="">
      <xdr:nvGraphicFramePr>
        <xdr:cNvPr id="3" name="STS_3_Chart2">
          <a:extLst>
            <a:ext uri="{FF2B5EF4-FFF2-40B4-BE49-F238E27FC236}">
              <a16:creationId xmlns:a16="http://schemas.microsoft.com/office/drawing/2014/main" id="{BA9899D4-C0B6-3F8B-24C8-D98DB9421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0</xdr:colOff>
      <xdr:row>3</xdr:row>
      <xdr:rowOff>22860</xdr:rowOff>
    </xdr:from>
    <xdr:to>
      <xdr:col>24</xdr:col>
      <xdr:colOff>0</xdr:colOff>
      <xdr:row>9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FB5BBA7-9008-C0EE-42A7-724B14D0684B}"/>
            </a:ext>
          </a:extLst>
        </xdr:cNvPr>
        <xdr:cNvSpPr txBox="1"/>
      </xdr:nvSpPr>
      <xdr:spPr>
        <a:xfrm>
          <a:off x="1078992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864860" y="3352800"/>
    <xdr:ext cx="4678680" cy="2743200"/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107DC6CA-6D34-4358-96F5-5FE515B3C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110980" y="548640"/>
    <xdr:ext cx="2339340" cy="6985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E030AB-B1FC-4D14-B13F-000E9B934DB6}"/>
            </a:ext>
          </a:extLst>
        </xdr:cNvPr>
        <xdr:cNvSpPr txBox="1"/>
      </xdr:nvSpPr>
      <xdr:spPr>
        <a:xfrm>
          <a:off x="9110980" y="548640"/>
          <a:ext cx="2339340" cy="698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927B-073B-4326-B3EA-CB7081A344BC}">
  <dimension ref="B12:I42"/>
  <sheetViews>
    <sheetView tabSelected="1" topLeftCell="A16" zoomScale="89" zoomScaleNormal="89" workbookViewId="0">
      <selection activeCell="C45" sqref="C45"/>
    </sheetView>
  </sheetViews>
  <sheetFormatPr defaultColWidth="8.796875" defaultRowHeight="14.25" x14ac:dyDescent="0.45"/>
  <cols>
    <col min="1" max="1" width="19.1328125" customWidth="1"/>
    <col min="2" max="2" width="24.19921875" customWidth="1"/>
    <col min="3" max="3" width="12.33203125" style="20" customWidth="1"/>
    <col min="4" max="4" width="20.53125" style="20" customWidth="1"/>
    <col min="5" max="5" width="21.86328125" style="20" customWidth="1"/>
    <col min="6" max="6" width="19.46484375" style="20" customWidth="1"/>
    <col min="7" max="7" width="16.796875" style="20" customWidth="1"/>
    <col min="8" max="8" width="16.33203125" style="20" customWidth="1"/>
    <col min="9" max="9" width="22.33203125" style="20" customWidth="1"/>
  </cols>
  <sheetData>
    <row r="12" spans="6:6" x14ac:dyDescent="0.45">
      <c r="F12" s="22"/>
    </row>
    <row r="20" spans="2:9" ht="15.4" x14ac:dyDescent="0.45">
      <c r="B20" s="25"/>
      <c r="C20" s="26" t="s">
        <v>7</v>
      </c>
      <c r="D20" s="26" t="s">
        <v>8</v>
      </c>
      <c r="E20" s="26" t="s">
        <v>14</v>
      </c>
      <c r="F20" s="26" t="s">
        <v>10</v>
      </c>
      <c r="G20" s="26" t="s">
        <v>11</v>
      </c>
      <c r="H20" s="26" t="s">
        <v>9</v>
      </c>
      <c r="I20" s="27"/>
    </row>
    <row r="21" spans="2:9" ht="15.4" x14ac:dyDescent="0.45">
      <c r="B21" s="23" t="s">
        <v>0</v>
      </c>
      <c r="C21" s="27"/>
      <c r="D21" s="27"/>
      <c r="E21" s="27"/>
      <c r="F21" s="27"/>
      <c r="G21" s="27"/>
      <c r="H21" s="27"/>
      <c r="I21" s="27"/>
    </row>
    <row r="22" spans="2:9" ht="27" customHeight="1" x14ac:dyDescent="0.45">
      <c r="B22" s="24" t="s">
        <v>1</v>
      </c>
      <c r="C22" s="27">
        <v>4</v>
      </c>
      <c r="D22" s="27">
        <v>10</v>
      </c>
      <c r="E22" s="27">
        <v>7</v>
      </c>
      <c r="F22" s="28">
        <f>SUMPRODUCT(C22:E22,$C$34:$E$34)</f>
        <v>40640.625</v>
      </c>
      <c r="G22" s="27" t="s">
        <v>11</v>
      </c>
      <c r="H22" s="27">
        <v>50000</v>
      </c>
      <c r="I22" s="27"/>
    </row>
    <row r="23" spans="2:9" ht="20" customHeight="1" x14ac:dyDescent="0.45">
      <c r="B23" s="24" t="s">
        <v>4</v>
      </c>
      <c r="C23" s="27">
        <v>6</v>
      </c>
      <c r="D23" s="27">
        <v>9</v>
      </c>
      <c r="E23" s="27">
        <v>5</v>
      </c>
      <c r="F23" s="28">
        <f>SUMPRODUCT(C23:E23,$C$34:$E$34)</f>
        <v>41351.5625</v>
      </c>
      <c r="G23" s="27" t="s">
        <v>11</v>
      </c>
      <c r="H23" s="27">
        <v>50000</v>
      </c>
      <c r="I23" s="27"/>
    </row>
    <row r="24" spans="2:9" ht="21" customHeight="1" x14ac:dyDescent="0.45">
      <c r="B24" s="24" t="s">
        <v>3</v>
      </c>
      <c r="C24" s="27">
        <v>5</v>
      </c>
      <c r="D24" s="27">
        <v>8</v>
      </c>
      <c r="E24" s="27">
        <v>4</v>
      </c>
      <c r="F24" s="28">
        <f>SUMPRODUCT(C24:E24,$C$34:$E$34)</f>
        <v>35000</v>
      </c>
      <c r="G24" s="27" t="s">
        <v>11</v>
      </c>
      <c r="H24" s="27">
        <v>35000</v>
      </c>
      <c r="I24" s="27"/>
    </row>
    <row r="25" spans="2:9" ht="15.4" x14ac:dyDescent="0.45">
      <c r="B25" s="25"/>
      <c r="C25" s="27"/>
      <c r="D25" s="27"/>
      <c r="E25" s="27"/>
      <c r="F25" s="27"/>
      <c r="G25" s="27"/>
      <c r="H25" s="27"/>
      <c r="I25" s="27"/>
    </row>
    <row r="26" spans="2:9" ht="15.4" x14ac:dyDescent="0.45">
      <c r="B26" s="25"/>
      <c r="C26" s="27"/>
      <c r="D26" s="27"/>
      <c r="E26" s="27"/>
      <c r="F26" s="27"/>
      <c r="G26" s="27"/>
      <c r="H26" s="27"/>
      <c r="I26" s="27"/>
    </row>
    <row r="27" spans="2:9" ht="15.4" x14ac:dyDescent="0.45">
      <c r="B27" s="24" t="s">
        <v>6</v>
      </c>
      <c r="C27" s="27"/>
      <c r="D27" s="27"/>
      <c r="E27" s="27"/>
      <c r="F27" s="27"/>
      <c r="G27" s="27"/>
      <c r="H27" s="27"/>
      <c r="I27" s="33" t="s">
        <v>19</v>
      </c>
    </row>
    <row r="28" spans="2:9" ht="15.4" x14ac:dyDescent="0.45">
      <c r="B28" s="24" t="s">
        <v>2</v>
      </c>
      <c r="C28" s="27" t="s">
        <v>21</v>
      </c>
      <c r="D28" s="27">
        <v>32</v>
      </c>
      <c r="E28" s="27">
        <v>25</v>
      </c>
      <c r="F28" s="28">
        <f>SUMPRODUCT(D28:E28,$D$34:$E$34)</f>
        <v>97000</v>
      </c>
      <c r="G28" s="27" t="s">
        <v>11</v>
      </c>
      <c r="H28" s="27">
        <v>97000</v>
      </c>
      <c r="I28" s="34">
        <v>8.5</v>
      </c>
    </row>
    <row r="29" spans="2:9" ht="15.4" x14ac:dyDescent="0.45">
      <c r="B29" s="24" t="s">
        <v>5</v>
      </c>
      <c r="C29" s="27">
        <v>20</v>
      </c>
      <c r="D29" s="27">
        <v>120</v>
      </c>
      <c r="E29" s="27" t="s">
        <v>21</v>
      </c>
      <c r="F29" s="28">
        <f>SUMPRODUCT(C29:D29,C34:D34)</f>
        <v>258437.5</v>
      </c>
      <c r="G29" s="27" t="s">
        <v>11</v>
      </c>
      <c r="H29" s="27">
        <v>480000</v>
      </c>
      <c r="I29" s="34">
        <v>1.2</v>
      </c>
    </row>
    <row r="30" spans="2:9" ht="26" customHeight="1" x14ac:dyDescent="0.45">
      <c r="B30" s="24" t="s">
        <v>20</v>
      </c>
      <c r="C30" s="27">
        <v>18</v>
      </c>
      <c r="D30" s="27">
        <v>80</v>
      </c>
      <c r="E30" s="27">
        <v>48</v>
      </c>
      <c r="F30" s="28">
        <f>SUMPRODUCT(C30:E30,$C$34:$E$34)</f>
        <v>270000</v>
      </c>
      <c r="G30" s="27" t="s">
        <v>11</v>
      </c>
      <c r="H30" s="27">
        <v>270000</v>
      </c>
      <c r="I30" s="34">
        <v>3.5</v>
      </c>
    </row>
    <row r="31" spans="2:9" ht="15.4" x14ac:dyDescent="0.45">
      <c r="B31" s="25"/>
      <c r="C31" s="27"/>
      <c r="D31" s="27"/>
      <c r="E31" s="27"/>
      <c r="F31" s="27"/>
      <c r="G31" s="27"/>
      <c r="H31" s="27"/>
      <c r="I31" s="27"/>
    </row>
    <row r="32" spans="2:9" ht="15.4" x14ac:dyDescent="0.45">
      <c r="B32" s="25"/>
      <c r="C32" s="27"/>
      <c r="D32" s="27"/>
      <c r="E32" s="27"/>
      <c r="F32" s="27"/>
      <c r="G32" s="27"/>
      <c r="H32" s="27"/>
      <c r="I32" s="27"/>
    </row>
    <row r="33" spans="2:9" ht="15.4" x14ac:dyDescent="0.45">
      <c r="B33" s="25"/>
      <c r="C33" s="27"/>
      <c r="D33" s="27"/>
      <c r="E33" s="27"/>
      <c r="F33" s="27"/>
      <c r="G33" s="27"/>
      <c r="H33" s="27"/>
      <c r="I33" s="27"/>
    </row>
    <row r="34" spans="2:9" ht="15.4" x14ac:dyDescent="0.45">
      <c r="B34" s="29" t="s">
        <v>13</v>
      </c>
      <c r="C34" s="28">
        <v>2937.5</v>
      </c>
      <c r="D34" s="28">
        <v>1664.0625</v>
      </c>
      <c r="E34" s="28">
        <v>1750</v>
      </c>
      <c r="F34" s="27"/>
      <c r="G34" s="27"/>
      <c r="H34" s="27"/>
      <c r="I34" s="27"/>
    </row>
    <row r="35" spans="2:9" ht="15.4" x14ac:dyDescent="0.45">
      <c r="B35" s="25"/>
      <c r="C35" s="27"/>
      <c r="D35" s="27"/>
      <c r="E35" s="27"/>
      <c r="F35" s="27"/>
      <c r="G35" s="27"/>
      <c r="H35" s="27"/>
      <c r="I35" s="27"/>
    </row>
    <row r="36" spans="2:9" ht="15.4" x14ac:dyDescent="0.45">
      <c r="B36" s="24" t="s">
        <v>17</v>
      </c>
      <c r="C36" s="27">
        <v>636</v>
      </c>
      <c r="D36" s="27">
        <v>2400</v>
      </c>
      <c r="E36" s="27">
        <v>1434</v>
      </c>
      <c r="F36" s="27"/>
      <c r="G36" s="27"/>
      <c r="H36" s="27"/>
      <c r="I36" s="27"/>
    </row>
    <row r="37" spans="2:9" ht="15.4" x14ac:dyDescent="0.45">
      <c r="B37" s="24" t="s">
        <v>18</v>
      </c>
      <c r="C37" s="27">
        <v>210</v>
      </c>
      <c r="D37" s="27">
        <v>750</v>
      </c>
      <c r="E37" s="27">
        <v>445</v>
      </c>
      <c r="F37" s="27"/>
      <c r="G37" s="27"/>
      <c r="H37" s="27"/>
      <c r="I37" s="27"/>
    </row>
    <row r="38" spans="2:9" ht="15.4" x14ac:dyDescent="0.45">
      <c r="B38" s="25"/>
      <c r="C38" s="27"/>
      <c r="D38" s="27"/>
      <c r="E38" s="27"/>
      <c r="F38" s="27"/>
      <c r="G38" s="27"/>
      <c r="H38" s="27"/>
      <c r="I38" s="27"/>
    </row>
    <row r="39" spans="2:9" ht="15.4" x14ac:dyDescent="0.45">
      <c r="B39" s="24" t="s">
        <v>12</v>
      </c>
      <c r="C39" s="27">
        <f>C36-C37</f>
        <v>426</v>
      </c>
      <c r="D39" s="27">
        <f t="shared" ref="D39" si="0">D36-D37</f>
        <v>1650</v>
      </c>
      <c r="E39" s="27">
        <f>E36-E37</f>
        <v>989</v>
      </c>
      <c r="F39" s="27"/>
      <c r="G39" s="27"/>
      <c r="H39" s="27"/>
      <c r="I39" s="27"/>
    </row>
    <row r="40" spans="2:9" ht="15.4" x14ac:dyDescent="0.45">
      <c r="B40" s="25"/>
      <c r="C40" s="27"/>
      <c r="D40" s="27"/>
      <c r="E40" s="27"/>
      <c r="F40" s="27"/>
      <c r="G40" s="27"/>
      <c r="H40" s="27"/>
      <c r="I40" s="27"/>
    </row>
    <row r="41" spans="2:9" ht="15.4" x14ac:dyDescent="0.45">
      <c r="B41" s="25"/>
      <c r="C41" s="27"/>
      <c r="D41" s="27"/>
      <c r="E41" s="27"/>
      <c r="F41" s="27"/>
      <c r="G41" s="30" t="s">
        <v>16</v>
      </c>
      <c r="H41" s="27"/>
      <c r="I41" s="27"/>
    </row>
    <row r="42" spans="2:9" ht="15.4" x14ac:dyDescent="0.45">
      <c r="B42" s="31" t="s">
        <v>15</v>
      </c>
      <c r="C42" s="32">
        <f>C39*$C$34</f>
        <v>1251375</v>
      </c>
      <c r="D42" s="32">
        <f>D39*$D$34</f>
        <v>2745703.125</v>
      </c>
      <c r="E42" s="32">
        <f>E39*$E$34</f>
        <v>1730750</v>
      </c>
      <c r="F42" s="27"/>
      <c r="G42" s="30">
        <f>SUM(C42:E42)</f>
        <v>5727828.125</v>
      </c>
      <c r="H42" s="27"/>
      <c r="I42" s="27"/>
    </row>
  </sheetData>
  <pageMargins left="0.7" right="0.7" top="0.75" bottom="0.75" header="0.3" footer="0.3"/>
  <ignoredErrors>
    <ignoredError sqref="F2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8205-93ED-4567-95DA-87DDB8872579}">
  <dimension ref="B19:I42"/>
  <sheetViews>
    <sheetView topLeftCell="A17" workbookViewId="0">
      <selection activeCell="H34" sqref="H34"/>
    </sheetView>
  </sheetViews>
  <sheetFormatPr defaultColWidth="11.53125" defaultRowHeight="14.25" x14ac:dyDescent="0.45"/>
  <sheetData>
    <row r="19" spans="2:9" x14ac:dyDescent="0.45">
      <c r="F19" t="s">
        <v>10</v>
      </c>
      <c r="G19" t="s">
        <v>11</v>
      </c>
      <c r="H19" t="s">
        <v>9</v>
      </c>
    </row>
    <row r="20" spans="2:9" x14ac:dyDescent="0.45">
      <c r="C20" t="s">
        <v>7</v>
      </c>
      <c r="D20" t="s">
        <v>8</v>
      </c>
      <c r="E20" t="s">
        <v>14</v>
      </c>
    </row>
    <row r="21" spans="2:9" ht="15.75" x14ac:dyDescent="0.5">
      <c r="B21" s="3" t="s">
        <v>0</v>
      </c>
    </row>
    <row r="22" spans="2:9" x14ac:dyDescent="0.45">
      <c r="B22" t="s">
        <v>1</v>
      </c>
      <c r="C22">
        <v>4</v>
      </c>
      <c r="D22">
        <v>10</v>
      </c>
      <c r="E22">
        <v>7</v>
      </c>
      <c r="F22">
        <f>SUMPRODUCT(C22:E22,$C$34:$E$34)</f>
        <v>38575</v>
      </c>
      <c r="G22" t="s">
        <v>11</v>
      </c>
      <c r="H22">
        <v>50000</v>
      </c>
    </row>
    <row r="23" spans="2:9" x14ac:dyDescent="0.45">
      <c r="B23" t="s">
        <v>4</v>
      </c>
      <c r="C23">
        <v>6</v>
      </c>
      <c r="D23">
        <v>9</v>
      </c>
      <c r="E23">
        <v>5</v>
      </c>
      <c r="F23">
        <f>SUMPRODUCT(C23:E23,$C$34:$E$34)</f>
        <v>35657.5</v>
      </c>
      <c r="G23" t="s">
        <v>11</v>
      </c>
      <c r="H23">
        <v>50000</v>
      </c>
    </row>
    <row r="24" spans="2:9" x14ac:dyDescent="0.45">
      <c r="B24" t="s">
        <v>3</v>
      </c>
      <c r="C24">
        <v>5</v>
      </c>
      <c r="D24">
        <v>8</v>
      </c>
      <c r="E24">
        <v>4</v>
      </c>
      <c r="F24">
        <f>SUMPRODUCT(C24:E24,$C$34:$E$34)</f>
        <v>31440</v>
      </c>
      <c r="G24" t="s">
        <v>11</v>
      </c>
      <c r="H24">
        <v>35000</v>
      </c>
    </row>
    <row r="27" spans="2:9" ht="15.75" x14ac:dyDescent="0.5">
      <c r="B27" s="2" t="s">
        <v>6</v>
      </c>
      <c r="I27" t="s">
        <v>19</v>
      </c>
    </row>
    <row r="29" spans="2:9" x14ac:dyDescent="0.45">
      <c r="B29" t="s">
        <v>5</v>
      </c>
      <c r="C29">
        <v>20</v>
      </c>
      <c r="D29">
        <v>120</v>
      </c>
      <c r="E29" t="s">
        <v>21</v>
      </c>
      <c r="F29">
        <f>SUMPRODUCT(C29:D29,C34:D34)</f>
        <v>432100</v>
      </c>
      <c r="G29" t="s">
        <v>11</v>
      </c>
      <c r="H29">
        <v>480000</v>
      </c>
      <c r="I29">
        <v>1.2</v>
      </c>
    </row>
    <row r="30" spans="2:9" x14ac:dyDescent="0.45">
      <c r="B30" t="s">
        <v>20</v>
      </c>
      <c r="C30">
        <v>18</v>
      </c>
      <c r="D30">
        <v>80</v>
      </c>
      <c r="E30">
        <v>48</v>
      </c>
      <c r="F30">
        <f>SUMPRODUCT(C30:E30,$C$34:$E$34)</f>
        <v>300000</v>
      </c>
      <c r="G30" t="s">
        <v>11</v>
      </c>
      <c r="H30">
        <v>300000</v>
      </c>
      <c r="I30">
        <v>3.5</v>
      </c>
    </row>
    <row r="31" spans="2:9" x14ac:dyDescent="0.45">
      <c r="B31" t="s">
        <v>111</v>
      </c>
      <c r="C31" t="s">
        <v>21</v>
      </c>
      <c r="D31">
        <v>40</v>
      </c>
      <c r="E31">
        <v>32</v>
      </c>
      <c r="F31">
        <f>SUMPRODUCT(D31:E31,D34:E34)</f>
        <v>147100</v>
      </c>
      <c r="G31" t="s">
        <v>11</v>
      </c>
      <c r="H31">
        <v>150000</v>
      </c>
      <c r="I31">
        <v>4.5</v>
      </c>
    </row>
    <row r="34" spans="2:7" x14ac:dyDescent="0.45">
      <c r="B34" t="s">
        <v>13</v>
      </c>
      <c r="C34">
        <v>500</v>
      </c>
      <c r="D34">
        <v>3517.5</v>
      </c>
      <c r="E34">
        <v>200</v>
      </c>
    </row>
    <row r="36" spans="2:7" x14ac:dyDescent="0.45">
      <c r="B36" t="s">
        <v>17</v>
      </c>
      <c r="C36">
        <v>636</v>
      </c>
      <c r="D36">
        <v>2400</v>
      </c>
      <c r="E36">
        <v>1434</v>
      </c>
    </row>
    <row r="37" spans="2:7" x14ac:dyDescent="0.45">
      <c r="B37" t="s">
        <v>18</v>
      </c>
      <c r="C37">
        <v>210</v>
      </c>
      <c r="D37">
        <v>500</v>
      </c>
      <c r="E37">
        <v>350</v>
      </c>
    </row>
    <row r="39" spans="2:7" x14ac:dyDescent="0.45">
      <c r="B39" t="s">
        <v>12</v>
      </c>
      <c r="C39">
        <f>C36-C37</f>
        <v>426</v>
      </c>
      <c r="D39">
        <f>D36-D37</f>
        <v>1900</v>
      </c>
      <c r="E39">
        <f>E36-E37</f>
        <v>1084</v>
      </c>
    </row>
    <row r="41" spans="2:7" x14ac:dyDescent="0.45">
      <c r="F41" t="s">
        <v>16</v>
      </c>
    </row>
    <row r="42" spans="2:7" x14ac:dyDescent="0.45">
      <c r="B42" t="s">
        <v>15</v>
      </c>
      <c r="C42">
        <f>C39*$C$34</f>
        <v>213000</v>
      </c>
      <c r="D42">
        <f>D39*$D$34</f>
        <v>6683250</v>
      </c>
      <c r="E42">
        <f>E39*$E$34</f>
        <v>216800</v>
      </c>
      <c r="G42">
        <f>SUM(C42:E42)</f>
        <v>7113050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8D98-2BDA-4223-AE7E-0D7AA50A6485}">
  <dimension ref="A1:K16"/>
  <sheetViews>
    <sheetView workbookViewId="0"/>
  </sheetViews>
  <sheetFormatPr defaultColWidth="11.53125" defaultRowHeight="14.25" x14ac:dyDescent="0.45"/>
  <sheetData>
    <row r="1" spans="1:11" x14ac:dyDescent="0.45">
      <c r="A1" s="6" t="s">
        <v>115</v>
      </c>
      <c r="K1" s="9" t="str">
        <f>CONCATENATE("Sensitivity of ",$K$4," to ","S.P ofCchair")</f>
        <v>Sensitivity of $G$42 to S.P ofCchair</v>
      </c>
    </row>
    <row r="3" spans="1:11" x14ac:dyDescent="0.45">
      <c r="A3" t="s">
        <v>114</v>
      </c>
      <c r="K3" t="s">
        <v>26</v>
      </c>
    </row>
    <row r="4" spans="1:11" ht="33.4" x14ac:dyDescent="0.45">
      <c r="B4" s="7" t="s">
        <v>34</v>
      </c>
      <c r="C4" s="7" t="s">
        <v>35</v>
      </c>
      <c r="D4" s="7" t="s">
        <v>27</v>
      </c>
      <c r="E4" s="7" t="s">
        <v>36</v>
      </c>
      <c r="J4" s="9">
        <f>MATCH($K$4,OutputAddresses,0)</f>
        <v>1</v>
      </c>
      <c r="K4" s="8" t="s">
        <v>34</v>
      </c>
    </row>
    <row r="5" spans="1:11" x14ac:dyDescent="0.45">
      <c r="A5">
        <v>450</v>
      </c>
      <c r="B5" s="11">
        <v>5357556.25</v>
      </c>
      <c r="C5" s="12">
        <v>1608.3333333333333</v>
      </c>
      <c r="D5" s="12">
        <v>2953.125</v>
      </c>
      <c r="E5" s="13">
        <v>100</v>
      </c>
      <c r="K5">
        <f>INDEX(OutputValues,1,$J$4)</f>
        <v>5357556.25</v>
      </c>
    </row>
    <row r="6" spans="1:11" x14ac:dyDescent="0.45">
      <c r="A6">
        <v>500</v>
      </c>
      <c r="B6" s="14">
        <v>5437972.916666667</v>
      </c>
      <c r="C6">
        <v>1608.3333333333333</v>
      </c>
      <c r="D6">
        <v>2953.125</v>
      </c>
      <c r="E6" s="15">
        <v>100</v>
      </c>
      <c r="K6">
        <f>INDEX(OutputValues,2,$J$4)</f>
        <v>5437972.916666667</v>
      </c>
    </row>
    <row r="7" spans="1:11" x14ac:dyDescent="0.45">
      <c r="A7">
        <v>550</v>
      </c>
      <c r="B7" s="14">
        <v>5518389.583333333</v>
      </c>
      <c r="C7">
        <v>1608.3333333333333</v>
      </c>
      <c r="D7">
        <v>2953.125</v>
      </c>
      <c r="E7" s="15">
        <v>100</v>
      </c>
      <c r="K7">
        <f>INDEX(OutputValues,3,$J$4)</f>
        <v>5518389.583333333</v>
      </c>
    </row>
    <row r="8" spans="1:11" x14ac:dyDescent="0.45">
      <c r="A8">
        <v>600</v>
      </c>
      <c r="B8" s="14">
        <v>5622078.125</v>
      </c>
      <c r="C8">
        <v>2937.5</v>
      </c>
      <c r="D8">
        <v>1664.0624999999998</v>
      </c>
      <c r="E8" s="15">
        <v>1750.0000000000005</v>
      </c>
      <c r="K8">
        <f>INDEX(OutputValues,4,$J$4)</f>
        <v>5622078.125</v>
      </c>
    </row>
    <row r="9" spans="1:11" x14ac:dyDescent="0.45">
      <c r="A9">
        <v>650</v>
      </c>
      <c r="B9" s="14">
        <v>5768953.125</v>
      </c>
      <c r="C9">
        <v>2937.5</v>
      </c>
      <c r="D9">
        <v>1664.0624999999998</v>
      </c>
      <c r="E9" s="15">
        <v>1750.0000000000005</v>
      </c>
      <c r="K9">
        <f>INDEX(OutputValues,5,$J$4)</f>
        <v>5768953.125</v>
      </c>
    </row>
    <row r="10" spans="1:11" x14ac:dyDescent="0.45">
      <c r="A10">
        <v>700</v>
      </c>
      <c r="B10" s="14">
        <v>5915828.125</v>
      </c>
      <c r="C10">
        <v>2937.5</v>
      </c>
      <c r="D10">
        <v>1664.0624999999998</v>
      </c>
      <c r="E10" s="15">
        <v>1750.0000000000005</v>
      </c>
      <c r="K10">
        <f>INDEX(OutputValues,6,$J$4)</f>
        <v>5915828.125</v>
      </c>
    </row>
    <row r="11" spans="1:11" x14ac:dyDescent="0.45">
      <c r="A11">
        <v>750</v>
      </c>
      <c r="B11" s="14">
        <v>6062703.125</v>
      </c>
      <c r="C11">
        <v>2937.5</v>
      </c>
      <c r="D11">
        <v>1664.0624999999998</v>
      </c>
      <c r="E11" s="15">
        <v>1750.0000000000005</v>
      </c>
      <c r="K11">
        <f>INDEX(OutputValues,7,$J$4)</f>
        <v>6062703.125</v>
      </c>
    </row>
    <row r="12" spans="1:11" x14ac:dyDescent="0.45">
      <c r="A12">
        <v>800</v>
      </c>
      <c r="B12" s="14">
        <v>6209578.125</v>
      </c>
      <c r="C12">
        <v>2937.5</v>
      </c>
      <c r="D12">
        <v>1664.0624999999998</v>
      </c>
      <c r="E12" s="15">
        <v>1750.0000000000005</v>
      </c>
      <c r="K12">
        <f>INDEX(OutputValues,8,$J$4)</f>
        <v>6209578.125</v>
      </c>
    </row>
    <row r="13" spans="1:11" x14ac:dyDescent="0.45">
      <c r="A13">
        <v>850</v>
      </c>
      <c r="B13" s="14">
        <v>6356453.125</v>
      </c>
      <c r="C13">
        <v>2937.5</v>
      </c>
      <c r="D13">
        <v>1664.0624999999998</v>
      </c>
      <c r="E13" s="15">
        <v>1750.0000000000005</v>
      </c>
      <c r="K13">
        <f>INDEX(OutputValues,9,$J$4)</f>
        <v>6356453.125</v>
      </c>
    </row>
    <row r="14" spans="1:11" x14ac:dyDescent="0.45">
      <c r="A14">
        <v>900</v>
      </c>
      <c r="B14" s="14">
        <v>6525560</v>
      </c>
      <c r="C14">
        <v>3895.9999999999995</v>
      </c>
      <c r="D14">
        <v>0</v>
      </c>
      <c r="E14" s="15">
        <v>3880</v>
      </c>
      <c r="K14">
        <f>INDEX(OutputValues,10,$J$4)</f>
        <v>6525560</v>
      </c>
    </row>
    <row r="15" spans="1:11" x14ac:dyDescent="0.45">
      <c r="A15">
        <v>950</v>
      </c>
      <c r="B15" s="14">
        <v>6720360</v>
      </c>
      <c r="C15">
        <v>3895.9999999999995</v>
      </c>
      <c r="D15">
        <v>0</v>
      </c>
      <c r="E15" s="15">
        <v>3880</v>
      </c>
      <c r="K15">
        <f>INDEX(OutputValues,11,$J$4)</f>
        <v>6720360</v>
      </c>
    </row>
    <row r="16" spans="1:11" x14ac:dyDescent="0.45">
      <c r="A16">
        <v>1000</v>
      </c>
      <c r="B16" s="16">
        <v>6915160</v>
      </c>
      <c r="C16" s="17">
        <v>3895.9999999999995</v>
      </c>
      <c r="D16" s="17">
        <v>0</v>
      </c>
      <c r="E16" s="18">
        <v>3880</v>
      </c>
      <c r="K16">
        <f>INDEX(OutputValues,12,$J$4)</f>
        <v>6915160</v>
      </c>
    </row>
  </sheetData>
  <dataValidations count="1">
    <dataValidation type="list" allowBlank="1" showInputMessage="1" showErrorMessage="1" sqref="K4" xr:uid="{9E285B62-6C32-4A4E-8B86-5220C707279F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C150-3F7C-4A67-A7CB-E7CA06BDCCF2}">
  <dimension ref="A1:J15"/>
  <sheetViews>
    <sheetView showGridLines="0" workbookViewId="0">
      <selection sqref="A1:A3"/>
    </sheetView>
  </sheetViews>
  <sheetFormatPr defaultColWidth="11.53125" defaultRowHeight="14.25" x14ac:dyDescent="0.45"/>
  <cols>
    <col min="1" max="1" width="2.33203125" customWidth="1"/>
    <col min="2" max="2" width="6.33203125" bestFit="1" customWidth="1"/>
    <col min="3" max="3" width="33.46484375" bestFit="1" customWidth="1"/>
    <col min="4" max="4" width="12.1328125" bestFit="1" customWidth="1"/>
    <col min="5" max="5" width="2.33203125" customWidth="1"/>
    <col min="6" max="6" width="6" bestFit="1" customWidth="1"/>
    <col min="7" max="7" width="8.6640625" bestFit="1" customWidth="1"/>
    <col min="8" max="8" width="2.33203125" customWidth="1"/>
    <col min="9" max="9" width="6.1328125" bestFit="1" customWidth="1"/>
    <col min="10" max="10" width="8.6640625" bestFit="1" customWidth="1"/>
  </cols>
  <sheetData>
    <row r="1" spans="1:10" x14ac:dyDescent="0.45">
      <c r="A1" s="6" t="s">
        <v>110</v>
      </c>
    </row>
    <row r="2" spans="1:10" x14ac:dyDescent="0.45">
      <c r="A2" s="6" t="s">
        <v>88</v>
      </c>
    </row>
    <row r="3" spans="1:10" x14ac:dyDescent="0.45">
      <c r="A3" s="6" t="s">
        <v>103</v>
      </c>
    </row>
    <row r="5" spans="1:10" ht="14.65" thickBot="1" x14ac:dyDescent="0.5"/>
    <row r="6" spans="1:10" x14ac:dyDescent="0.45">
      <c r="B6" s="39"/>
      <c r="C6" s="39" t="s">
        <v>101</v>
      </c>
      <c r="D6" s="39"/>
    </row>
    <row r="7" spans="1:10" ht="14.65" thickBot="1" x14ac:dyDescent="0.5">
      <c r="B7" s="38" t="s">
        <v>68</v>
      </c>
      <c r="C7" s="38" t="s">
        <v>67</v>
      </c>
      <c r="D7" s="38" t="s">
        <v>94</v>
      </c>
    </row>
    <row r="8" spans="1:10" ht="14.65" thickBot="1" x14ac:dyDescent="0.5">
      <c r="B8" s="35" t="s">
        <v>34</v>
      </c>
      <c r="C8" s="35" t="s">
        <v>77</v>
      </c>
      <c r="D8" s="35">
        <v>5727828.125</v>
      </c>
    </row>
    <row r="10" spans="1:10" ht="14.65" thickBot="1" x14ac:dyDescent="0.5"/>
    <row r="11" spans="1:10" x14ac:dyDescent="0.45">
      <c r="B11" s="39"/>
      <c r="C11" s="39" t="s">
        <v>109</v>
      </c>
      <c r="D11" s="39"/>
      <c r="F11" s="39" t="s">
        <v>108</v>
      </c>
      <c r="G11" s="39" t="s">
        <v>101</v>
      </c>
      <c r="I11" s="39" t="s">
        <v>107</v>
      </c>
      <c r="J11" s="39" t="s">
        <v>101</v>
      </c>
    </row>
    <row r="12" spans="1:10" ht="14.65" thickBot="1" x14ac:dyDescent="0.5">
      <c r="B12" s="38" t="s">
        <v>68</v>
      </c>
      <c r="C12" s="38" t="s">
        <v>67</v>
      </c>
      <c r="D12" s="38" t="s">
        <v>94</v>
      </c>
      <c r="F12" s="38" t="s">
        <v>106</v>
      </c>
      <c r="G12" s="38" t="s">
        <v>105</v>
      </c>
      <c r="I12" s="38" t="s">
        <v>106</v>
      </c>
      <c r="J12" s="38" t="s">
        <v>105</v>
      </c>
    </row>
    <row r="13" spans="1:10" x14ac:dyDescent="0.45">
      <c r="B13" s="36" t="s">
        <v>35</v>
      </c>
      <c r="C13" s="36" t="s">
        <v>71</v>
      </c>
      <c r="D13" s="36">
        <v>2937.5</v>
      </c>
      <c r="F13" s="36">
        <v>0</v>
      </c>
      <c r="G13" s="36">
        <v>85</v>
      </c>
      <c r="I13" s="36">
        <v>250</v>
      </c>
      <c r="J13" s="36">
        <v>18835</v>
      </c>
    </row>
    <row r="14" spans="1:10" x14ac:dyDescent="0.45">
      <c r="B14" s="36" t="s">
        <v>27</v>
      </c>
      <c r="C14" s="36" t="s">
        <v>72</v>
      </c>
      <c r="D14" s="36">
        <v>1664.0624999999995</v>
      </c>
      <c r="F14" s="36">
        <v>0</v>
      </c>
      <c r="G14" s="36">
        <v>110</v>
      </c>
      <c r="I14" s="36">
        <v>398.5</v>
      </c>
      <c r="J14" s="36">
        <v>20035</v>
      </c>
    </row>
    <row r="15" spans="1:10" ht="14.65" thickBot="1" x14ac:dyDescent="0.5">
      <c r="B15" s="35" t="s">
        <v>36</v>
      </c>
      <c r="C15" s="35" t="s">
        <v>71</v>
      </c>
      <c r="D15" s="35">
        <v>1750.0000000000007</v>
      </c>
      <c r="F15" s="35">
        <v>0</v>
      </c>
      <c r="G15" s="35">
        <v>125</v>
      </c>
      <c r="I15" s="35">
        <v>597</v>
      </c>
      <c r="J15" s="35">
        <v>21020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3D55-C155-4507-B2E9-9CD6F824B45A}">
  <dimension ref="A1:H21"/>
  <sheetViews>
    <sheetView showGridLines="0" workbookViewId="0">
      <selection sqref="A1:A3"/>
    </sheetView>
  </sheetViews>
  <sheetFormatPr defaultColWidth="11.53125" defaultRowHeight="14.25" x14ac:dyDescent="0.45"/>
  <cols>
    <col min="1" max="1" width="2.33203125" customWidth="1"/>
    <col min="2" max="2" width="6.33203125" bestFit="1" customWidth="1"/>
    <col min="3" max="3" width="33.46484375" bestFit="1" customWidth="1"/>
    <col min="4" max="4" width="11.1328125" bestFit="1" customWidth="1"/>
    <col min="5" max="5" width="12.1328125" bestFit="1" customWidth="1"/>
    <col min="6" max="6" width="9.6640625" bestFit="1" customWidth="1"/>
    <col min="7" max="8" width="12.1328125" bestFit="1" customWidth="1"/>
  </cols>
  <sheetData>
    <row r="1" spans="1:8" x14ac:dyDescent="0.45">
      <c r="A1" s="6" t="s">
        <v>104</v>
      </c>
    </row>
    <row r="2" spans="1:8" x14ac:dyDescent="0.45">
      <c r="A2" s="6" t="s">
        <v>88</v>
      </c>
    </row>
    <row r="3" spans="1:8" x14ac:dyDescent="0.45">
      <c r="A3" s="6" t="s">
        <v>103</v>
      </c>
    </row>
    <row r="6" spans="1:8" ht="14.65" thickBot="1" x14ac:dyDescent="0.5">
      <c r="A6" t="s">
        <v>76</v>
      </c>
    </row>
    <row r="7" spans="1:8" x14ac:dyDescent="0.45">
      <c r="B7" s="39"/>
      <c r="C7" s="39"/>
      <c r="D7" s="39" t="s">
        <v>98</v>
      </c>
      <c r="E7" s="39" t="s">
        <v>102</v>
      </c>
      <c r="F7" s="39" t="s">
        <v>101</v>
      </c>
      <c r="G7" s="39" t="s">
        <v>95</v>
      </c>
      <c r="H7" s="39" t="s">
        <v>95</v>
      </c>
    </row>
    <row r="8" spans="1:8" ht="14.65" thickBot="1" x14ac:dyDescent="0.5">
      <c r="B8" s="38" t="s">
        <v>68</v>
      </c>
      <c r="C8" s="38" t="s">
        <v>67</v>
      </c>
      <c r="D8" s="38" t="s">
        <v>94</v>
      </c>
      <c r="E8" s="38" t="s">
        <v>100</v>
      </c>
      <c r="F8" s="38" t="s">
        <v>99</v>
      </c>
      <c r="G8" s="38" t="s">
        <v>91</v>
      </c>
      <c r="H8" s="38" t="s">
        <v>90</v>
      </c>
    </row>
    <row r="9" spans="1:8" x14ac:dyDescent="0.45">
      <c r="B9" s="36" t="s">
        <v>35</v>
      </c>
      <c r="C9" s="36" t="s">
        <v>71</v>
      </c>
      <c r="D9" s="36">
        <v>2937.5</v>
      </c>
      <c r="E9" s="36">
        <v>0</v>
      </c>
      <c r="F9" s="36">
        <v>426</v>
      </c>
      <c r="G9" s="36">
        <v>240.8055555555556</v>
      </c>
      <c r="H9" s="36">
        <v>50.749999999999794</v>
      </c>
    </row>
    <row r="10" spans="1:8" x14ac:dyDescent="0.45">
      <c r="B10" s="36" t="s">
        <v>27</v>
      </c>
      <c r="C10" s="36" t="s">
        <v>72</v>
      </c>
      <c r="D10" s="36">
        <v>1664.0624999999995</v>
      </c>
      <c r="E10" s="36">
        <v>0</v>
      </c>
      <c r="F10" s="36">
        <v>1650</v>
      </c>
      <c r="G10" s="36">
        <v>19.333333333333247</v>
      </c>
      <c r="H10" s="36">
        <v>138.70400000000001</v>
      </c>
    </row>
    <row r="11" spans="1:8" ht="14.65" thickBot="1" x14ac:dyDescent="0.5">
      <c r="B11" s="35" t="s">
        <v>36</v>
      </c>
      <c r="C11" s="35" t="s">
        <v>71</v>
      </c>
      <c r="D11" s="35">
        <v>1750.0000000000007</v>
      </c>
      <c r="E11" s="35">
        <v>0</v>
      </c>
      <c r="F11" s="35">
        <v>989</v>
      </c>
      <c r="G11" s="35">
        <v>108.3625</v>
      </c>
      <c r="H11" s="35">
        <v>12.687499999999943</v>
      </c>
    </row>
    <row r="13" spans="1:8" ht="14.65" thickBot="1" x14ac:dyDescent="0.5">
      <c r="A13" t="s">
        <v>69</v>
      </c>
    </row>
    <row r="14" spans="1:8" x14ac:dyDescent="0.45">
      <c r="B14" s="39"/>
      <c r="C14" s="39"/>
      <c r="D14" s="39" t="s">
        <v>98</v>
      </c>
      <c r="E14" s="39" t="s">
        <v>97</v>
      </c>
      <c r="F14" s="39" t="s">
        <v>96</v>
      </c>
      <c r="G14" s="39" t="s">
        <v>95</v>
      </c>
      <c r="H14" s="39" t="s">
        <v>95</v>
      </c>
    </row>
    <row r="15" spans="1:8" ht="14.65" thickBot="1" x14ac:dyDescent="0.5">
      <c r="B15" s="38" t="s">
        <v>68</v>
      </c>
      <c r="C15" s="38" t="s">
        <v>67</v>
      </c>
      <c r="D15" s="38" t="s">
        <v>94</v>
      </c>
      <c r="E15" s="38" t="s">
        <v>93</v>
      </c>
      <c r="F15" s="38" t="s">
        <v>92</v>
      </c>
      <c r="G15" s="38" t="s">
        <v>91</v>
      </c>
      <c r="H15" s="38" t="s">
        <v>90</v>
      </c>
    </row>
    <row r="16" spans="1:8" x14ac:dyDescent="0.45">
      <c r="B16" s="36" t="s">
        <v>62</v>
      </c>
      <c r="C16" s="36" t="s">
        <v>61</v>
      </c>
      <c r="D16" s="36">
        <v>40640.625</v>
      </c>
      <c r="E16" s="36">
        <v>0</v>
      </c>
      <c r="F16" s="36">
        <v>50000</v>
      </c>
      <c r="G16" s="36">
        <v>1E+30</v>
      </c>
      <c r="H16" s="36">
        <v>9359.375</v>
      </c>
    </row>
    <row r="17" spans="2:8" x14ac:dyDescent="0.45">
      <c r="B17" s="36" t="s">
        <v>59</v>
      </c>
      <c r="C17" s="36" t="s">
        <v>58</v>
      </c>
      <c r="D17" s="36">
        <v>41351.5625</v>
      </c>
      <c r="E17" s="36">
        <v>0</v>
      </c>
      <c r="F17" s="36">
        <v>50000</v>
      </c>
      <c r="G17" s="36">
        <v>1E+30</v>
      </c>
      <c r="H17" s="36">
        <v>8648.4374999999982</v>
      </c>
    </row>
    <row r="18" spans="2:8" x14ac:dyDescent="0.45">
      <c r="B18" s="36" t="s">
        <v>56</v>
      </c>
      <c r="C18" s="36" t="s">
        <v>55</v>
      </c>
      <c r="D18" s="36">
        <v>35000</v>
      </c>
      <c r="E18" s="36">
        <v>24.246093749999979</v>
      </c>
      <c r="F18" s="36">
        <v>35000</v>
      </c>
      <c r="G18" s="36">
        <v>3786.6666666666656</v>
      </c>
      <c r="H18" s="36">
        <v>3111.1111111111122</v>
      </c>
    </row>
    <row r="19" spans="2:8" x14ac:dyDescent="0.45">
      <c r="B19" s="36" t="s">
        <v>53</v>
      </c>
      <c r="C19" s="36" t="s">
        <v>50</v>
      </c>
      <c r="D19" s="36">
        <v>97000</v>
      </c>
      <c r="E19" s="36">
        <v>3.1718749999999858</v>
      </c>
      <c r="F19" s="36">
        <v>97000</v>
      </c>
      <c r="G19" s="36">
        <v>10142.857142857139</v>
      </c>
      <c r="H19" s="36">
        <v>7000.0000000000027</v>
      </c>
    </row>
    <row r="20" spans="2:8" x14ac:dyDescent="0.45">
      <c r="B20" s="36" t="s">
        <v>51</v>
      </c>
      <c r="C20" s="36" t="s">
        <v>50</v>
      </c>
      <c r="D20" s="36">
        <v>258437.49999999994</v>
      </c>
      <c r="E20" s="36">
        <v>0</v>
      </c>
      <c r="F20" s="36">
        <v>480000</v>
      </c>
      <c r="G20" s="36">
        <v>1E+30</v>
      </c>
      <c r="H20" s="36">
        <v>221562.50000000006</v>
      </c>
    </row>
    <row r="21" spans="2:8" ht="14.65" thickBot="1" x14ac:dyDescent="0.5">
      <c r="B21" s="35" t="s">
        <v>47</v>
      </c>
      <c r="C21" s="35" t="s">
        <v>46</v>
      </c>
      <c r="D21" s="35">
        <v>270000</v>
      </c>
      <c r="E21" s="35">
        <v>16.931640625</v>
      </c>
      <c r="F21" s="35">
        <v>270000</v>
      </c>
      <c r="G21" s="35">
        <v>11200.000000000004</v>
      </c>
      <c r="H21" s="35">
        <v>13631.999999999996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0422-0A15-4DF2-8CF0-01DB34A451AA}">
  <dimension ref="A1:G33"/>
  <sheetViews>
    <sheetView showGridLines="0" topLeftCell="A7" workbookViewId="0">
      <selection activeCell="C36" sqref="C36"/>
    </sheetView>
  </sheetViews>
  <sheetFormatPr defaultColWidth="11.53125" defaultRowHeight="14.25" x14ac:dyDescent="0.45"/>
  <cols>
    <col min="1" max="1" width="2.33203125" customWidth="1"/>
    <col min="2" max="2" width="6" bestFit="1" customWidth="1"/>
    <col min="3" max="3" width="33.46484375" bestFit="1" customWidth="1"/>
    <col min="4" max="4" width="12.1328125" bestFit="1" customWidth="1"/>
    <col min="5" max="5" width="12.796875" bestFit="1" customWidth="1"/>
    <col min="6" max="7" width="10.1328125" bestFit="1" customWidth="1"/>
  </cols>
  <sheetData>
    <row r="1" spans="1:5" x14ac:dyDescent="0.45">
      <c r="A1" s="6" t="s">
        <v>89</v>
      </c>
    </row>
    <row r="2" spans="1:5" x14ac:dyDescent="0.45">
      <c r="A2" s="6" t="s">
        <v>88</v>
      </c>
    </row>
    <row r="3" spans="1:5" x14ac:dyDescent="0.45">
      <c r="A3" s="6" t="s">
        <v>87</v>
      </c>
    </row>
    <row r="4" spans="1:5" x14ac:dyDescent="0.45">
      <c r="A4" s="6" t="s">
        <v>86</v>
      </c>
    </row>
    <row r="5" spans="1:5" x14ac:dyDescent="0.45">
      <c r="A5" s="6" t="s">
        <v>85</v>
      </c>
    </row>
    <row r="6" spans="1:5" x14ac:dyDescent="0.45">
      <c r="A6" s="6"/>
      <c r="B6" t="s">
        <v>84</v>
      </c>
    </row>
    <row r="7" spans="1:5" x14ac:dyDescent="0.45">
      <c r="A7" s="6"/>
      <c r="B7" t="s">
        <v>83</v>
      </c>
    </row>
    <row r="8" spans="1:5" x14ac:dyDescent="0.45">
      <c r="A8" s="6"/>
      <c r="B8" t="s">
        <v>82</v>
      </c>
    </row>
    <row r="9" spans="1:5" x14ac:dyDescent="0.45">
      <c r="A9" s="6" t="s">
        <v>81</v>
      </c>
    </row>
    <row r="10" spans="1:5" x14ac:dyDescent="0.45">
      <c r="B10" t="s">
        <v>80</v>
      </c>
    </row>
    <row r="11" spans="1:5" x14ac:dyDescent="0.45">
      <c r="B11" t="s">
        <v>79</v>
      </c>
    </row>
    <row r="14" spans="1:5" ht="14.65" thickBot="1" x14ac:dyDescent="0.5">
      <c r="A14" t="s">
        <v>78</v>
      </c>
    </row>
    <row r="15" spans="1:5" ht="14.65" thickBot="1" x14ac:dyDescent="0.5">
      <c r="B15" s="37" t="s">
        <v>68</v>
      </c>
      <c r="C15" s="37" t="s">
        <v>67</v>
      </c>
      <c r="D15" s="37" t="s">
        <v>75</v>
      </c>
      <c r="E15" s="37" t="s">
        <v>74</v>
      </c>
    </row>
    <row r="16" spans="1:5" ht="14.65" thickBot="1" x14ac:dyDescent="0.5">
      <c r="B16" s="35" t="s">
        <v>34</v>
      </c>
      <c r="C16" s="35" t="s">
        <v>77</v>
      </c>
      <c r="D16" s="35">
        <v>5727828.125</v>
      </c>
      <c r="E16" s="35">
        <v>5727828.125</v>
      </c>
    </row>
    <row r="19" spans="1:7" ht="14.65" thickBot="1" x14ac:dyDescent="0.5">
      <c r="A19" t="s">
        <v>76</v>
      </c>
    </row>
    <row r="20" spans="1:7" ht="14.65" thickBot="1" x14ac:dyDescent="0.5">
      <c r="B20" s="37" t="s">
        <v>68</v>
      </c>
      <c r="C20" s="37" t="s">
        <v>67</v>
      </c>
      <c r="D20" s="37" t="s">
        <v>75</v>
      </c>
      <c r="E20" s="37" t="s">
        <v>74</v>
      </c>
      <c r="F20" s="37" t="s">
        <v>73</v>
      </c>
    </row>
    <row r="21" spans="1:7" x14ac:dyDescent="0.45">
      <c r="B21" s="36" t="s">
        <v>35</v>
      </c>
      <c r="C21" s="36" t="s">
        <v>71</v>
      </c>
      <c r="D21" s="36">
        <v>2937.5</v>
      </c>
      <c r="E21" s="36">
        <v>2937.5</v>
      </c>
      <c r="F21" s="36" t="s">
        <v>70</v>
      </c>
    </row>
    <row r="22" spans="1:7" x14ac:dyDescent="0.45">
      <c r="B22" s="36" t="s">
        <v>27</v>
      </c>
      <c r="C22" s="36" t="s">
        <v>72</v>
      </c>
      <c r="D22" s="36">
        <v>1664.0624999999995</v>
      </c>
      <c r="E22" s="36">
        <v>1664.0624999999995</v>
      </c>
      <c r="F22" s="36" t="s">
        <v>70</v>
      </c>
    </row>
    <row r="23" spans="1:7" ht="14.65" thickBot="1" x14ac:dyDescent="0.5">
      <c r="B23" s="35" t="s">
        <v>36</v>
      </c>
      <c r="C23" s="35" t="s">
        <v>71</v>
      </c>
      <c r="D23" s="35">
        <v>1750.0000000000007</v>
      </c>
      <c r="E23" s="35">
        <v>1750.0000000000007</v>
      </c>
      <c r="F23" s="35" t="s">
        <v>70</v>
      </c>
    </row>
    <row r="26" spans="1:7" ht="14.65" thickBot="1" x14ac:dyDescent="0.5">
      <c r="A26" t="s">
        <v>69</v>
      </c>
    </row>
    <row r="27" spans="1:7" ht="14.65" thickBot="1" x14ac:dyDescent="0.5">
      <c r="B27" s="37" t="s">
        <v>68</v>
      </c>
      <c r="C27" s="37" t="s">
        <v>67</v>
      </c>
      <c r="D27" s="37" t="s">
        <v>66</v>
      </c>
      <c r="E27" s="37" t="s">
        <v>65</v>
      </c>
      <c r="F27" s="37" t="s">
        <v>64</v>
      </c>
      <c r="G27" s="37" t="s">
        <v>63</v>
      </c>
    </row>
    <row r="28" spans="1:7" x14ac:dyDescent="0.45">
      <c r="B28" s="36" t="s">
        <v>62</v>
      </c>
      <c r="C28" s="36" t="s">
        <v>61</v>
      </c>
      <c r="D28" s="36">
        <v>40640.625</v>
      </c>
      <c r="E28" s="36" t="s">
        <v>60</v>
      </c>
      <c r="F28" s="36" t="s">
        <v>48</v>
      </c>
      <c r="G28" s="36">
        <v>9359.375</v>
      </c>
    </row>
    <row r="29" spans="1:7" x14ac:dyDescent="0.45">
      <c r="B29" s="36" t="s">
        <v>59</v>
      </c>
      <c r="C29" s="36" t="s">
        <v>58</v>
      </c>
      <c r="D29" s="36">
        <v>41351.5625</v>
      </c>
      <c r="E29" s="36" t="s">
        <v>57</v>
      </c>
      <c r="F29" s="36" t="s">
        <v>48</v>
      </c>
      <c r="G29" s="36">
        <v>8648.4375</v>
      </c>
    </row>
    <row r="30" spans="1:7" x14ac:dyDescent="0.45">
      <c r="B30" s="36" t="s">
        <v>56</v>
      </c>
      <c r="C30" s="36" t="s">
        <v>55</v>
      </c>
      <c r="D30" s="36">
        <v>35000</v>
      </c>
      <c r="E30" s="36" t="s">
        <v>54</v>
      </c>
      <c r="F30" s="36" t="s">
        <v>44</v>
      </c>
      <c r="G30" s="36">
        <v>0</v>
      </c>
    </row>
    <row r="31" spans="1:7" x14ac:dyDescent="0.45">
      <c r="B31" s="36" t="s">
        <v>53</v>
      </c>
      <c r="C31" s="36" t="s">
        <v>50</v>
      </c>
      <c r="D31" s="36">
        <v>97000</v>
      </c>
      <c r="E31" s="36" t="s">
        <v>52</v>
      </c>
      <c r="F31" s="36" t="s">
        <v>44</v>
      </c>
      <c r="G31" s="36">
        <v>0</v>
      </c>
    </row>
    <row r="32" spans="1:7" x14ac:dyDescent="0.45">
      <c r="B32" s="36" t="s">
        <v>51</v>
      </c>
      <c r="C32" s="36" t="s">
        <v>50</v>
      </c>
      <c r="D32" s="36">
        <v>258437.49999999994</v>
      </c>
      <c r="E32" s="36" t="s">
        <v>49</v>
      </c>
      <c r="F32" s="36" t="s">
        <v>48</v>
      </c>
      <c r="G32" s="36">
        <v>221562.50000000006</v>
      </c>
    </row>
    <row r="33" spans="2:7" ht="14.65" thickBot="1" x14ac:dyDescent="0.5">
      <c r="B33" s="35" t="s">
        <v>47</v>
      </c>
      <c r="C33" s="35" t="s">
        <v>46</v>
      </c>
      <c r="D33" s="35">
        <v>270000</v>
      </c>
      <c r="E33" s="35" t="s">
        <v>45</v>
      </c>
      <c r="F33" s="35" t="s">
        <v>44</v>
      </c>
      <c r="G33" s="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F6BE-C152-1640-8A29-955B3DB38B21}">
  <dimension ref="A3:K44"/>
  <sheetViews>
    <sheetView topLeftCell="A16" workbookViewId="0">
      <selection activeCell="C42" sqref="C42"/>
    </sheetView>
  </sheetViews>
  <sheetFormatPr defaultColWidth="11.53125" defaultRowHeight="14.25" x14ac:dyDescent="0.45"/>
  <cols>
    <col min="2" max="2" width="23.1328125" customWidth="1"/>
    <col min="3" max="3" width="18.46484375" customWidth="1"/>
    <col min="4" max="4" width="17.33203125" customWidth="1"/>
    <col min="5" max="5" width="16.33203125" customWidth="1"/>
    <col min="7" max="7" width="17" customWidth="1"/>
  </cols>
  <sheetData>
    <row r="3" spans="1:1" ht="15.75" x14ac:dyDescent="0.5">
      <c r="A3" s="3"/>
    </row>
    <row r="9" spans="1:1" ht="15.75" x14ac:dyDescent="0.5">
      <c r="A9" s="2"/>
    </row>
    <row r="19" spans="2:11" x14ac:dyDescent="0.45">
      <c r="F19" t="s">
        <v>10</v>
      </c>
      <c r="G19" t="s">
        <v>11</v>
      </c>
      <c r="H19" t="s">
        <v>9</v>
      </c>
      <c r="J19" s="4"/>
      <c r="K19" s="4"/>
    </row>
    <row r="20" spans="2:11" x14ac:dyDescent="0.45">
      <c r="C20" t="s">
        <v>7</v>
      </c>
      <c r="D20" t="s">
        <v>8</v>
      </c>
      <c r="E20" t="s">
        <v>14</v>
      </c>
      <c r="J20" s="4"/>
      <c r="K20" s="4"/>
    </row>
    <row r="21" spans="2:11" ht="15.75" x14ac:dyDescent="0.5">
      <c r="B21" s="3" t="s">
        <v>0</v>
      </c>
      <c r="J21" s="4"/>
      <c r="K21" s="4"/>
    </row>
    <row r="22" spans="2:11" x14ac:dyDescent="0.45">
      <c r="B22" t="s">
        <v>1</v>
      </c>
      <c r="C22">
        <v>4</v>
      </c>
      <c r="D22">
        <v>10</v>
      </c>
      <c r="E22">
        <v>7</v>
      </c>
      <c r="F22">
        <f>SUMPRODUCT(C22:E22,$C$34:$E$34)</f>
        <v>587.5</v>
      </c>
      <c r="G22" t="s">
        <v>11</v>
      </c>
      <c r="H22">
        <v>600</v>
      </c>
      <c r="J22" s="4"/>
      <c r="K22" s="4"/>
    </row>
    <row r="23" spans="2:11" x14ac:dyDescent="0.45">
      <c r="B23" t="s">
        <v>4</v>
      </c>
      <c r="C23">
        <v>6</v>
      </c>
      <c r="D23">
        <v>9</v>
      </c>
      <c r="E23">
        <v>5</v>
      </c>
      <c r="F23">
        <f>SUMPRODUCT(C23:E23,$C$34:$E$34)</f>
        <v>512.5</v>
      </c>
      <c r="G23" t="s">
        <v>11</v>
      </c>
      <c r="H23">
        <v>600</v>
      </c>
      <c r="J23" s="4"/>
      <c r="K23" s="4"/>
    </row>
    <row r="24" spans="2:11" x14ac:dyDescent="0.45">
      <c r="B24" t="s">
        <v>3</v>
      </c>
      <c r="C24">
        <v>5</v>
      </c>
      <c r="D24">
        <v>8</v>
      </c>
      <c r="E24">
        <v>4</v>
      </c>
      <c r="F24">
        <f>SUMPRODUCT(C24:E24,$C$34:$E$34)</f>
        <v>450</v>
      </c>
      <c r="G24" t="s">
        <v>11</v>
      </c>
      <c r="H24">
        <v>450</v>
      </c>
      <c r="J24" s="4"/>
      <c r="K24" s="4"/>
    </row>
    <row r="25" spans="2:11" x14ac:dyDescent="0.45">
      <c r="J25" s="4"/>
      <c r="K25" s="4"/>
    </row>
    <row r="26" spans="2:11" x14ac:dyDescent="0.45">
      <c r="J26" s="4"/>
      <c r="K26" s="4"/>
    </row>
    <row r="27" spans="2:11" ht="15.75" x14ac:dyDescent="0.5">
      <c r="B27" s="2" t="s">
        <v>6</v>
      </c>
      <c r="I27" t="s">
        <v>19</v>
      </c>
      <c r="J27" s="4"/>
      <c r="K27" s="4"/>
    </row>
    <row r="28" spans="2:11" x14ac:dyDescent="0.45">
      <c r="B28" t="s">
        <v>2</v>
      </c>
      <c r="C28" t="s">
        <v>21</v>
      </c>
      <c r="D28">
        <v>32</v>
      </c>
      <c r="E28">
        <v>25</v>
      </c>
      <c r="F28">
        <f>SUMPRODUCT(D28:E28,$D$34:$E$34)</f>
        <v>1912.5</v>
      </c>
      <c r="G28" t="s">
        <v>11</v>
      </c>
      <c r="H28">
        <v>97000</v>
      </c>
      <c r="I28">
        <v>8.5</v>
      </c>
      <c r="J28" s="4"/>
      <c r="K28" s="4"/>
    </row>
    <row r="29" spans="2:11" x14ac:dyDescent="0.45">
      <c r="B29" t="s">
        <v>5</v>
      </c>
      <c r="C29">
        <v>20</v>
      </c>
      <c r="D29">
        <v>120</v>
      </c>
      <c r="E29" t="s">
        <v>21</v>
      </c>
      <c r="F29">
        <f>SUMPRODUCT(C29:D29,C34:D34)</f>
        <v>6000</v>
      </c>
      <c r="G29" t="s">
        <v>11</v>
      </c>
      <c r="H29">
        <v>480000</v>
      </c>
      <c r="I29">
        <v>1.2</v>
      </c>
      <c r="J29" s="4"/>
      <c r="K29" s="4"/>
    </row>
    <row r="30" spans="2:11" x14ac:dyDescent="0.45">
      <c r="B30" t="s">
        <v>20</v>
      </c>
      <c r="C30">
        <v>18</v>
      </c>
      <c r="D30">
        <v>80</v>
      </c>
      <c r="E30">
        <v>48</v>
      </c>
      <c r="F30">
        <f>SUMPRODUCT(C30:E30,$C$34:$E$34)</f>
        <v>4600</v>
      </c>
      <c r="G30" t="s">
        <v>11</v>
      </c>
      <c r="H30">
        <v>270000</v>
      </c>
      <c r="I30">
        <v>3.5</v>
      </c>
      <c r="J30" s="4"/>
      <c r="K30" s="4"/>
    </row>
    <row r="31" spans="2:11" x14ac:dyDescent="0.45">
      <c r="J31" s="4"/>
      <c r="K31" s="4"/>
    </row>
    <row r="32" spans="2:11" x14ac:dyDescent="0.45">
      <c r="J32" s="4"/>
      <c r="K32" s="4"/>
    </row>
    <row r="33" spans="2:11" x14ac:dyDescent="0.45">
      <c r="J33" s="4"/>
      <c r="K33" s="4"/>
    </row>
    <row r="34" spans="2:11" x14ac:dyDescent="0.45">
      <c r="B34" s="6" t="s">
        <v>13</v>
      </c>
      <c r="C34">
        <v>0</v>
      </c>
      <c r="D34">
        <v>50</v>
      </c>
      <c r="E34">
        <v>12.5</v>
      </c>
      <c r="J34" s="4"/>
      <c r="K34" s="4"/>
    </row>
    <row r="35" spans="2:11" x14ac:dyDescent="0.45">
      <c r="J35" s="4"/>
      <c r="K35" s="4"/>
    </row>
    <row r="36" spans="2:11" x14ac:dyDescent="0.45">
      <c r="B36" t="s">
        <v>17</v>
      </c>
      <c r="C36">
        <v>636</v>
      </c>
      <c r="D36">
        <v>2400</v>
      </c>
      <c r="E36">
        <v>1434</v>
      </c>
      <c r="J36" s="4"/>
      <c r="K36" s="4"/>
    </row>
    <row r="37" spans="2:11" x14ac:dyDescent="0.45">
      <c r="B37" t="s">
        <v>18</v>
      </c>
      <c r="C37">
        <v>210</v>
      </c>
      <c r="D37">
        <v>750</v>
      </c>
      <c r="E37">
        <v>445</v>
      </c>
      <c r="J37" s="4"/>
      <c r="K37" s="4"/>
    </row>
    <row r="38" spans="2:11" x14ac:dyDescent="0.45">
      <c r="J38" s="4"/>
      <c r="K38" s="4"/>
    </row>
    <row r="39" spans="2:11" x14ac:dyDescent="0.45">
      <c r="B39" t="s">
        <v>12</v>
      </c>
      <c r="C39">
        <f>C36-C37</f>
        <v>426</v>
      </c>
      <c r="D39">
        <f t="shared" ref="D39" si="0">D36-D37</f>
        <v>1650</v>
      </c>
      <c r="E39">
        <f>E36-E37</f>
        <v>989</v>
      </c>
      <c r="J39" s="4"/>
      <c r="K39" s="4"/>
    </row>
    <row r="40" spans="2:11" x14ac:dyDescent="0.45">
      <c r="J40" s="4"/>
      <c r="K40" s="4"/>
    </row>
    <row r="41" spans="2:11" x14ac:dyDescent="0.45">
      <c r="G41" s="21" t="s">
        <v>16</v>
      </c>
      <c r="J41" s="4"/>
      <c r="K41" s="4"/>
    </row>
    <row r="42" spans="2:11" x14ac:dyDescent="0.45">
      <c r="B42" t="s">
        <v>15</v>
      </c>
      <c r="C42">
        <f>C39*$C$34</f>
        <v>0</v>
      </c>
      <c r="D42">
        <f>D39*$D$34</f>
        <v>82500</v>
      </c>
      <c r="E42">
        <f>E39*$E$34</f>
        <v>12362.5</v>
      </c>
      <c r="G42" s="21">
        <f>SUM(C42:E42)</f>
        <v>94862.5</v>
      </c>
      <c r="J42" s="4"/>
      <c r="K42" s="4"/>
    </row>
    <row r="43" spans="2:11" x14ac:dyDescent="0.45">
      <c r="J43" s="4"/>
      <c r="K43" s="4"/>
    </row>
    <row r="44" spans="2:11" x14ac:dyDescent="0.45">
      <c r="J44" s="4"/>
      <c r="K44" s="4"/>
    </row>
  </sheetData>
  <pageMargins left="0.7" right="0.7" top="0.75" bottom="0.75" header="0.3" footer="0.3"/>
  <ignoredErrors>
    <ignoredError sqref="F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3BA2-3D6B-4A0D-8A8D-A338F118951F}"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25</v>
      </c>
    </row>
    <row r="3" spans="1:2" x14ac:dyDescent="0.45">
      <c r="A3">
        <v>1</v>
      </c>
    </row>
    <row r="4" spans="1:2" x14ac:dyDescent="0.45">
      <c r="A4">
        <v>2400</v>
      </c>
    </row>
    <row r="5" spans="1:2" x14ac:dyDescent="0.45">
      <c r="A5">
        <v>3000</v>
      </c>
    </row>
    <row r="6" spans="1:2" x14ac:dyDescent="0.45">
      <c r="A6">
        <v>50</v>
      </c>
    </row>
    <row r="8" spans="1:2" x14ac:dyDescent="0.45">
      <c r="A8" s="5"/>
      <c r="B8" s="5"/>
    </row>
    <row r="9" spans="1:2" x14ac:dyDescent="0.45">
      <c r="A9" t="s">
        <v>27</v>
      </c>
    </row>
    <row r="10" spans="1:2" x14ac:dyDescent="0.45">
      <c r="A10" t="s">
        <v>28</v>
      </c>
    </row>
    <row r="15" spans="1:2" x14ac:dyDescent="0.45">
      <c r="B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CFFE-9B22-4263-A77E-B91DD7006165}"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22</v>
      </c>
    </row>
    <row r="3" spans="1:2" x14ac:dyDescent="0.45">
      <c r="A3">
        <v>1</v>
      </c>
    </row>
    <row r="4" spans="1:2" x14ac:dyDescent="0.45">
      <c r="A4">
        <v>2400</v>
      </c>
    </row>
    <row r="5" spans="1:2" x14ac:dyDescent="0.45">
      <c r="A5">
        <v>3000</v>
      </c>
    </row>
    <row r="6" spans="1:2" x14ac:dyDescent="0.45">
      <c r="A6">
        <v>50</v>
      </c>
    </row>
    <row r="8" spans="1:2" x14ac:dyDescent="0.45">
      <c r="A8" s="5"/>
      <c r="B8" s="5"/>
    </row>
    <row r="9" spans="1:2" x14ac:dyDescent="0.45">
      <c r="A9" t="s">
        <v>24</v>
      </c>
    </row>
    <row r="10" spans="1:2" x14ac:dyDescent="0.45">
      <c r="A10" t="s">
        <v>23</v>
      </c>
    </row>
    <row r="15" spans="1:2" x14ac:dyDescent="0.45">
      <c r="B1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A779-6D28-4450-8E13-F321F6790796}">
  <dimension ref="A1:B18"/>
  <sheetViews>
    <sheetView workbookViewId="0"/>
  </sheetViews>
  <sheetFormatPr defaultRowHeight="14.25" x14ac:dyDescent="0.45"/>
  <sheetData>
    <row r="1" spans="1:2" x14ac:dyDescent="0.45">
      <c r="B1">
        <v>1</v>
      </c>
    </row>
    <row r="2" spans="1:2" x14ac:dyDescent="0.45">
      <c r="B2" t="s">
        <v>29</v>
      </c>
    </row>
    <row r="3" spans="1:2" x14ac:dyDescent="0.45">
      <c r="B3">
        <v>1</v>
      </c>
    </row>
    <row r="4" spans="1:2" x14ac:dyDescent="0.45">
      <c r="B4">
        <v>16</v>
      </c>
    </row>
    <row r="5" spans="1:2" x14ac:dyDescent="0.45">
      <c r="B5">
        <v>40</v>
      </c>
    </row>
    <row r="6" spans="1:2" x14ac:dyDescent="0.45">
      <c r="B6">
        <v>4</v>
      </c>
    </row>
    <row r="8" spans="1:2" x14ac:dyDescent="0.45">
      <c r="A8" s="5"/>
      <c r="B8" s="5" t="s">
        <v>30</v>
      </c>
    </row>
    <row r="9" spans="1:2" x14ac:dyDescent="0.45">
      <c r="B9" t="s">
        <v>25</v>
      </c>
    </row>
    <row r="10" spans="1:2" x14ac:dyDescent="0.45">
      <c r="B10">
        <v>1</v>
      </c>
    </row>
    <row r="11" spans="1:2" x14ac:dyDescent="0.45">
      <c r="B11">
        <v>2000</v>
      </c>
    </row>
    <row r="12" spans="1:2" x14ac:dyDescent="0.45">
      <c r="B12">
        <v>3000</v>
      </c>
    </row>
    <row r="13" spans="1:2" x14ac:dyDescent="0.45">
      <c r="B13">
        <v>135</v>
      </c>
    </row>
    <row r="15" spans="1:2" x14ac:dyDescent="0.45">
      <c r="B15" s="5" t="s">
        <v>30</v>
      </c>
    </row>
    <row r="16" spans="1:2" x14ac:dyDescent="0.45">
      <c r="B16" t="s">
        <v>31</v>
      </c>
    </row>
    <row r="17" spans="2:2" x14ac:dyDescent="0.45">
      <c r="B17" t="s">
        <v>32</v>
      </c>
    </row>
    <row r="18" spans="2:2" x14ac:dyDescent="0.45">
      <c r="B18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94E4-2A04-4E98-AE5C-0D185A0B57E1}">
  <dimension ref="A1:K15"/>
  <sheetViews>
    <sheetView workbookViewId="0">
      <selection activeCell="R14" sqref="R14"/>
    </sheetView>
  </sheetViews>
  <sheetFormatPr defaultColWidth="11.53125" defaultRowHeight="14.25" x14ac:dyDescent="0.45"/>
  <sheetData>
    <row r="1" spans="1:11" x14ac:dyDescent="0.45">
      <c r="A1" s="6" t="s">
        <v>113</v>
      </c>
      <c r="K1" s="9" t="str">
        <f>CONCATENATE("Sensitivity of ",$K$4," to ","Input")</f>
        <v>Sensitivity of $G$42 to Input</v>
      </c>
    </row>
    <row r="3" spans="1:11" x14ac:dyDescent="0.45">
      <c r="A3" t="s">
        <v>112</v>
      </c>
      <c r="K3" t="s">
        <v>26</v>
      </c>
    </row>
    <row r="4" spans="1:11" ht="33.4" x14ac:dyDescent="0.45">
      <c r="B4" s="7" t="s">
        <v>34</v>
      </c>
      <c r="C4" s="7" t="s">
        <v>35</v>
      </c>
      <c r="D4" s="7" t="s">
        <v>27</v>
      </c>
      <c r="E4" s="7" t="s">
        <v>36</v>
      </c>
      <c r="J4" s="9">
        <f>MATCH($K$4,OutputAddresses,0)</f>
        <v>1</v>
      </c>
      <c r="K4" s="8" t="s">
        <v>34</v>
      </c>
    </row>
    <row r="5" spans="1:11" x14ac:dyDescent="0.45">
      <c r="A5">
        <v>1300</v>
      </c>
      <c r="B5" s="11">
        <v>5705625</v>
      </c>
      <c r="C5" s="12">
        <v>2500</v>
      </c>
      <c r="D5" s="12">
        <v>2812.5</v>
      </c>
      <c r="E5" s="13">
        <v>0</v>
      </c>
      <c r="K5">
        <f>INDEX(OutputValues,1,$J$4)</f>
        <v>5705625</v>
      </c>
    </row>
    <row r="6" spans="1:11" x14ac:dyDescent="0.45">
      <c r="A6">
        <v>1350</v>
      </c>
      <c r="B6" s="14">
        <v>5705625</v>
      </c>
      <c r="C6">
        <v>2500</v>
      </c>
      <c r="D6">
        <v>2812.5</v>
      </c>
      <c r="E6" s="15">
        <v>0</v>
      </c>
      <c r="K6">
        <f>INDEX(OutputValues,2,$J$4)</f>
        <v>5705625</v>
      </c>
    </row>
    <row r="7" spans="1:11" x14ac:dyDescent="0.45">
      <c r="A7">
        <v>1400</v>
      </c>
      <c r="B7" s="14">
        <v>5705625</v>
      </c>
      <c r="C7">
        <v>2500</v>
      </c>
      <c r="D7">
        <v>2812.5</v>
      </c>
      <c r="E7" s="15">
        <v>0</v>
      </c>
      <c r="K7">
        <f>INDEX(OutputValues,3,$J$4)</f>
        <v>5705625</v>
      </c>
    </row>
    <row r="8" spans="1:11" x14ac:dyDescent="0.45">
      <c r="A8">
        <v>1450</v>
      </c>
      <c r="B8" s="14">
        <v>5755828.125</v>
      </c>
      <c r="C8">
        <v>2937.5</v>
      </c>
      <c r="D8">
        <v>1664.0624999999995</v>
      </c>
      <c r="E8" s="15">
        <v>1750.0000000000007</v>
      </c>
      <c r="K8">
        <f>INDEX(OutputValues,4,$J$4)</f>
        <v>5755828.125</v>
      </c>
    </row>
    <row r="9" spans="1:11" x14ac:dyDescent="0.45">
      <c r="A9">
        <v>1500</v>
      </c>
      <c r="B9" s="14">
        <v>5843328.125</v>
      </c>
      <c r="C9">
        <v>2937.5</v>
      </c>
      <c r="D9">
        <v>1664.0624999999995</v>
      </c>
      <c r="E9" s="15">
        <v>1750.0000000000007</v>
      </c>
      <c r="K9">
        <f>INDEX(OutputValues,5,$J$4)</f>
        <v>5843328.125</v>
      </c>
    </row>
    <row r="10" spans="1:11" x14ac:dyDescent="0.45">
      <c r="A10">
        <v>1550</v>
      </c>
      <c r="B10" s="14">
        <v>5947096</v>
      </c>
      <c r="C10">
        <v>3895.9999999999995</v>
      </c>
      <c r="D10">
        <v>0</v>
      </c>
      <c r="E10" s="15">
        <v>3880</v>
      </c>
      <c r="K10">
        <f>INDEX(OutputValues,6,$J$4)</f>
        <v>5947096</v>
      </c>
    </row>
    <row r="11" spans="1:11" x14ac:dyDescent="0.45">
      <c r="A11">
        <v>1600</v>
      </c>
      <c r="B11" s="14">
        <v>6141096</v>
      </c>
      <c r="C11">
        <v>3895.9999999999995</v>
      </c>
      <c r="D11">
        <v>0</v>
      </c>
      <c r="E11" s="15">
        <v>3880</v>
      </c>
      <c r="K11">
        <f>INDEX(OutputValues,7,$J$4)</f>
        <v>6141096</v>
      </c>
    </row>
    <row r="12" spans="1:11" x14ac:dyDescent="0.45">
      <c r="A12">
        <v>1650</v>
      </c>
      <c r="B12" s="14">
        <v>6335096</v>
      </c>
      <c r="C12">
        <v>3895.9999999999995</v>
      </c>
      <c r="D12">
        <v>0</v>
      </c>
      <c r="E12" s="15">
        <v>3880</v>
      </c>
      <c r="K12">
        <f>INDEX(OutputValues,8,$J$4)</f>
        <v>6335096</v>
      </c>
    </row>
    <row r="13" spans="1:11" x14ac:dyDescent="0.45">
      <c r="A13">
        <v>1700</v>
      </c>
      <c r="B13" s="14">
        <v>6529096</v>
      </c>
      <c r="C13">
        <v>3895.9999999999995</v>
      </c>
      <c r="D13">
        <v>0</v>
      </c>
      <c r="E13" s="15">
        <v>3880</v>
      </c>
      <c r="K13">
        <f>INDEX(OutputValues,9,$J$4)</f>
        <v>6529096</v>
      </c>
    </row>
    <row r="14" spans="1:11" x14ac:dyDescent="0.45">
      <c r="A14">
        <v>1750</v>
      </c>
      <c r="B14" s="14">
        <v>6723096</v>
      </c>
      <c r="C14">
        <v>3896</v>
      </c>
      <c r="D14">
        <v>0</v>
      </c>
      <c r="E14" s="15">
        <v>3880</v>
      </c>
      <c r="K14">
        <f>INDEX(OutputValues,10,$J$4)</f>
        <v>6723096</v>
      </c>
    </row>
    <row r="15" spans="1:11" x14ac:dyDescent="0.45">
      <c r="A15">
        <v>1800</v>
      </c>
      <c r="B15" s="16">
        <v>6917096</v>
      </c>
      <c r="C15" s="17">
        <v>3896</v>
      </c>
      <c r="D15" s="17">
        <v>0</v>
      </c>
      <c r="E15" s="18">
        <v>3880</v>
      </c>
      <c r="K15">
        <f>INDEX(OutputValues,11,$J$4)</f>
        <v>6917096</v>
      </c>
    </row>
  </sheetData>
  <dataValidations count="1">
    <dataValidation type="list" allowBlank="1" showInputMessage="1" showErrorMessage="1" sqref="K4" xr:uid="{74274096-7E77-9340-9335-A7C2C535AEA7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3904-CF48-4755-BDBE-57C0351A08A6}">
  <dimension ref="A1:K15"/>
  <sheetViews>
    <sheetView workbookViewId="0"/>
  </sheetViews>
  <sheetFormatPr defaultColWidth="11.53125" defaultRowHeight="14.25" x14ac:dyDescent="0.45"/>
  <sheetData>
    <row r="1" spans="1:11" x14ac:dyDescent="0.45">
      <c r="A1" s="6" t="s">
        <v>115</v>
      </c>
      <c r="K1" s="9" t="str">
        <f>CONCATENATE("Sensitivity of ",$K$4," to ","S.P of WorkPods")</f>
        <v>Sensitivity of $G$42 to S.P of WorkPods</v>
      </c>
    </row>
    <row r="3" spans="1:11" x14ac:dyDescent="0.45">
      <c r="A3" t="s">
        <v>116</v>
      </c>
      <c r="K3" t="s">
        <v>26</v>
      </c>
    </row>
    <row r="4" spans="1:11" ht="33.4" x14ac:dyDescent="0.45">
      <c r="B4" s="7" t="s">
        <v>34</v>
      </c>
      <c r="C4" s="7" t="s">
        <v>35</v>
      </c>
      <c r="D4" s="7" t="s">
        <v>27</v>
      </c>
      <c r="E4" s="7" t="s">
        <v>36</v>
      </c>
      <c r="J4" s="9">
        <f>MATCH($K$4,OutputAddresses,0)</f>
        <v>1</v>
      </c>
      <c r="K4" s="8" t="s">
        <v>34</v>
      </c>
    </row>
    <row r="5" spans="1:11" x14ac:dyDescent="0.45">
      <c r="A5">
        <v>2000</v>
      </c>
      <c r="B5" s="11">
        <v>5497016</v>
      </c>
      <c r="C5" s="12">
        <v>3896</v>
      </c>
      <c r="D5" s="12">
        <v>0</v>
      </c>
      <c r="E5" s="13">
        <v>3880</v>
      </c>
      <c r="K5">
        <f>INDEX(OutputValues,1,$J$4)</f>
        <v>5497016</v>
      </c>
    </row>
    <row r="6" spans="1:11" x14ac:dyDescent="0.45">
      <c r="A6">
        <v>2100</v>
      </c>
      <c r="B6" s="14">
        <v>5497016</v>
      </c>
      <c r="C6">
        <v>3895.9999999999995</v>
      </c>
      <c r="D6">
        <v>0</v>
      </c>
      <c r="E6" s="15">
        <v>3880</v>
      </c>
      <c r="K6">
        <f>INDEX(OutputValues,2,$J$4)</f>
        <v>5497016</v>
      </c>
    </row>
    <row r="7" spans="1:11" x14ac:dyDescent="0.45">
      <c r="A7">
        <v>2200</v>
      </c>
      <c r="B7" s="14">
        <v>5497016</v>
      </c>
      <c r="C7">
        <v>3895.9999999999995</v>
      </c>
      <c r="D7">
        <v>0</v>
      </c>
      <c r="E7" s="15">
        <v>3880</v>
      </c>
      <c r="K7">
        <f>INDEX(OutputValues,3,$J$4)</f>
        <v>5497016</v>
      </c>
    </row>
    <row r="8" spans="1:11" x14ac:dyDescent="0.45">
      <c r="A8">
        <v>2300</v>
      </c>
      <c r="B8" s="14">
        <v>5561421.875</v>
      </c>
      <c r="C8">
        <v>2937.5</v>
      </c>
      <c r="D8">
        <v>1664.0624999999998</v>
      </c>
      <c r="E8" s="15">
        <v>1750.0000000000005</v>
      </c>
      <c r="K8">
        <f>INDEX(OutputValues,4,$J$4)</f>
        <v>5561421.875</v>
      </c>
    </row>
    <row r="9" spans="1:11" x14ac:dyDescent="0.45">
      <c r="A9">
        <v>2400</v>
      </c>
      <c r="B9" s="14">
        <v>5727828.125</v>
      </c>
      <c r="C9">
        <v>2937.5</v>
      </c>
      <c r="D9">
        <v>1664.0624999999998</v>
      </c>
      <c r="E9" s="15">
        <v>1750.0000000000005</v>
      </c>
      <c r="K9">
        <f>INDEX(OutputValues,5,$J$4)</f>
        <v>5727828.125</v>
      </c>
    </row>
    <row r="10" spans="1:11" x14ac:dyDescent="0.45">
      <c r="A10">
        <v>2500</v>
      </c>
      <c r="B10" s="14">
        <v>5981581.25</v>
      </c>
      <c r="C10">
        <v>2525</v>
      </c>
      <c r="D10">
        <v>2746.875</v>
      </c>
      <c r="E10" s="15">
        <v>100</v>
      </c>
      <c r="K10">
        <f>INDEX(OutputValues,6,$J$4)</f>
        <v>5981581.25</v>
      </c>
    </row>
    <row r="11" spans="1:11" x14ac:dyDescent="0.45">
      <c r="A11">
        <v>2600</v>
      </c>
      <c r="B11" s="14">
        <v>6256268.75</v>
      </c>
      <c r="C11">
        <v>2525</v>
      </c>
      <c r="D11">
        <v>2746.875</v>
      </c>
      <c r="E11" s="15">
        <v>100</v>
      </c>
      <c r="K11">
        <f>INDEX(OutputValues,7,$J$4)</f>
        <v>6256268.75</v>
      </c>
    </row>
    <row r="12" spans="1:11" x14ac:dyDescent="0.45">
      <c r="A12">
        <v>2700</v>
      </c>
      <c r="B12" s="14">
        <v>6542643.75</v>
      </c>
      <c r="C12">
        <v>1608.3333333333333</v>
      </c>
      <c r="D12">
        <v>2953.125</v>
      </c>
      <c r="E12" s="15">
        <v>100</v>
      </c>
      <c r="K12">
        <f>INDEX(OutputValues,8,$J$4)</f>
        <v>6542643.75</v>
      </c>
    </row>
    <row r="13" spans="1:11" x14ac:dyDescent="0.45">
      <c r="A13">
        <v>2800</v>
      </c>
      <c r="B13" s="14">
        <v>6837956.25</v>
      </c>
      <c r="C13">
        <v>1608.3333333333333</v>
      </c>
      <c r="D13">
        <v>2953.125</v>
      </c>
      <c r="E13" s="15">
        <v>100</v>
      </c>
      <c r="K13">
        <f>INDEX(OutputValues,9,$J$4)</f>
        <v>6837956.25</v>
      </c>
    </row>
    <row r="14" spans="1:11" x14ac:dyDescent="0.45">
      <c r="A14">
        <v>2900</v>
      </c>
      <c r="B14" s="14">
        <v>7133268.75</v>
      </c>
      <c r="C14">
        <v>1608.3333333333333</v>
      </c>
      <c r="D14">
        <v>2953.125</v>
      </c>
      <c r="E14" s="15">
        <v>100</v>
      </c>
      <c r="K14">
        <f>INDEX(OutputValues,10,$J$4)</f>
        <v>7133268.75</v>
      </c>
    </row>
    <row r="15" spans="1:11" x14ac:dyDescent="0.45">
      <c r="A15">
        <v>3000</v>
      </c>
      <c r="B15" s="16">
        <v>7428581.25</v>
      </c>
      <c r="C15" s="17">
        <v>1608.3333333333333</v>
      </c>
      <c r="D15" s="17">
        <v>2953.125</v>
      </c>
      <c r="E15" s="18">
        <v>100</v>
      </c>
      <c r="K15">
        <f>INDEX(OutputValues,11,$J$4)</f>
        <v>7428581.25</v>
      </c>
    </row>
  </sheetData>
  <dataValidations count="1">
    <dataValidation type="list" allowBlank="1" showInputMessage="1" showErrorMessage="1" sqref="K4" xr:uid="{DAC91F19-DCC2-2946-A458-57A812486F41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504A-FEE9-4569-ADC7-02EE4BE1196D}">
  <dimension ref="A1:AZ38"/>
  <sheetViews>
    <sheetView topLeftCell="A5" workbookViewId="0">
      <selection activeCell="D38" sqref="D38"/>
    </sheetView>
  </sheetViews>
  <sheetFormatPr defaultRowHeight="14.25" x14ac:dyDescent="0.45"/>
  <cols>
    <col min="1" max="1" width="6.19921875" bestFit="1" customWidth="1"/>
  </cols>
  <sheetData>
    <row r="1" spans="1:52" x14ac:dyDescent="0.45">
      <c r="A1" s="6" t="s">
        <v>37</v>
      </c>
      <c r="K1" s="9" t="str">
        <f>CONCATENATE("Sensitivity of ",$K$4," to ","Input2")</f>
        <v>Sensitivity of $G$42 to Input2</v>
      </c>
      <c r="O1" s="9" t="str">
        <f>CONCATENATE("Sensitivity of ",$O$4," to ","Melamine Quantity variations")</f>
        <v>Sensitivity of $G$42 to Melamine Quantity variations</v>
      </c>
    </row>
    <row r="2" spans="1:52" x14ac:dyDescent="0.45">
      <c r="K2" t="s">
        <v>39</v>
      </c>
      <c r="O2" t="s">
        <v>42</v>
      </c>
      <c r="AZ2" t="s">
        <v>34</v>
      </c>
    </row>
    <row r="3" spans="1:52" x14ac:dyDescent="0.45">
      <c r="A3" t="s">
        <v>38</v>
      </c>
      <c r="K3" t="s">
        <v>40</v>
      </c>
      <c r="L3" t="s">
        <v>41</v>
      </c>
      <c r="O3" t="s">
        <v>40</v>
      </c>
      <c r="P3" t="s">
        <v>43</v>
      </c>
      <c r="AZ3" t="s">
        <v>35</v>
      </c>
    </row>
    <row r="4" spans="1:52" ht="33.4" x14ac:dyDescent="0.45">
      <c r="A4" s="10" t="s">
        <v>34</v>
      </c>
      <c r="B4">
        <v>2000</v>
      </c>
      <c r="C4">
        <v>2135</v>
      </c>
      <c r="D4">
        <v>2270</v>
      </c>
      <c r="E4">
        <v>2405</v>
      </c>
      <c r="F4">
        <v>2540</v>
      </c>
      <c r="G4">
        <v>2675</v>
      </c>
      <c r="H4">
        <v>2810</v>
      </c>
      <c r="I4">
        <v>2945</v>
      </c>
      <c r="J4" s="9">
        <f>MATCH($K$4,OutputAddresses,0)</f>
        <v>1</v>
      </c>
      <c r="K4" s="8" t="s">
        <v>34</v>
      </c>
      <c r="L4" s="19">
        <v>16</v>
      </c>
      <c r="M4" s="9">
        <f>MATCH($L$4,InputValues1,0)</f>
        <v>1</v>
      </c>
      <c r="N4" s="9">
        <f>MATCH($O$4,OutputAddresses,0)</f>
        <v>1</v>
      </c>
      <c r="O4" s="8" t="s">
        <v>34</v>
      </c>
      <c r="P4" s="19">
        <v>2000</v>
      </c>
      <c r="Q4" s="9">
        <f>MATCH($P$4,InputValues2,0)</f>
        <v>1</v>
      </c>
      <c r="AZ4" t="s">
        <v>27</v>
      </c>
    </row>
    <row r="5" spans="1:52" x14ac:dyDescent="0.45">
      <c r="A5">
        <v>16</v>
      </c>
      <c r="B5" s="11">
        <v>5567504.3103448283</v>
      </c>
      <c r="C5" s="12">
        <v>5629476.2931034481</v>
      </c>
      <c r="D5" s="12">
        <v>5691448.2758620689</v>
      </c>
      <c r="E5" s="12">
        <v>5753420.2586206887</v>
      </c>
      <c r="F5" s="12">
        <v>6099375</v>
      </c>
      <c r="G5" s="12">
        <v>6496875</v>
      </c>
      <c r="H5" s="12">
        <v>6952500</v>
      </c>
      <c r="I5" s="13">
        <v>7408125</v>
      </c>
      <c r="J5" s="9" t="str">
        <f>"OutputValues_"&amp;$J$4</f>
        <v>OutputValues_1</v>
      </c>
      <c r="K5">
        <f ca="1">INDEX(INDIRECT($J$5),$M$4,1)</f>
        <v>5567504.3103448283</v>
      </c>
      <c r="N5" s="9" t="str">
        <f>"OutputValues_"&amp;$N$4</f>
        <v>OutputValues_1</v>
      </c>
      <c r="O5">
        <f ca="1">INDEX(INDIRECT($N$5),1,$Q$4)</f>
        <v>5567504.3103448283</v>
      </c>
      <c r="AZ5" t="s">
        <v>36</v>
      </c>
    </row>
    <row r="6" spans="1:52" x14ac:dyDescent="0.45">
      <c r="A6">
        <v>20</v>
      </c>
      <c r="B6" s="14">
        <v>5524952.6315789474</v>
      </c>
      <c r="C6">
        <v>5600623.6842105258</v>
      </c>
      <c r="D6">
        <v>5676294.7368421052</v>
      </c>
      <c r="E6">
        <v>5751965.7894736836</v>
      </c>
      <c r="F6">
        <v>6099375</v>
      </c>
      <c r="G6">
        <v>6496875</v>
      </c>
      <c r="H6">
        <v>6952500</v>
      </c>
      <c r="I6" s="15">
        <v>7408125</v>
      </c>
      <c r="K6">
        <f ca="1">INDEX(INDIRECT($J$5),$M$4,2)</f>
        <v>5629476.2931034481</v>
      </c>
      <c r="O6">
        <f ca="1">INDEX(INDIRECT($N$5),2,$Q$4)</f>
        <v>5524952.6315789474</v>
      </c>
    </row>
    <row r="7" spans="1:52" x14ac:dyDescent="0.45">
      <c r="A7">
        <v>24</v>
      </c>
      <c r="B7" s="14">
        <v>5497016</v>
      </c>
      <c r="C7">
        <v>5555395.2702702694</v>
      </c>
      <c r="D7">
        <v>5652540.5405405406</v>
      </c>
      <c r="E7">
        <v>5749685.81081081</v>
      </c>
      <c r="F7">
        <v>6099375</v>
      </c>
      <c r="G7">
        <v>6496875</v>
      </c>
      <c r="H7">
        <v>6952500</v>
      </c>
      <c r="I7" s="15">
        <v>7408125</v>
      </c>
      <c r="K7">
        <f ca="1">INDEX(INDIRECT($J$5),$M$4,3)</f>
        <v>5691448.2758620689</v>
      </c>
      <c r="O7">
        <f ca="1">INDEX(INDIRECT($N$5),3,$Q$4)</f>
        <v>5497016</v>
      </c>
    </row>
    <row r="8" spans="1:52" x14ac:dyDescent="0.45">
      <c r="A8">
        <v>28</v>
      </c>
      <c r="B8" s="14">
        <v>5497016</v>
      </c>
      <c r="C8">
        <v>5497016</v>
      </c>
      <c r="D8">
        <v>5609962.2641509436</v>
      </c>
      <c r="E8">
        <v>5745599.0566037735</v>
      </c>
      <c r="F8">
        <v>6099375</v>
      </c>
      <c r="G8">
        <v>6496875</v>
      </c>
      <c r="H8">
        <v>6952500</v>
      </c>
      <c r="I8" s="15">
        <v>7408125</v>
      </c>
      <c r="K8">
        <f ca="1">INDEX(INDIRECT($J$5),$M$4,4)</f>
        <v>5753420.2586206887</v>
      </c>
      <c r="O8">
        <f ca="1">INDEX(INDIRECT($N$5),4,$Q$4)</f>
        <v>5497016</v>
      </c>
    </row>
    <row r="9" spans="1:52" x14ac:dyDescent="0.45">
      <c r="A9">
        <v>32</v>
      </c>
      <c r="B9" s="14">
        <v>5497016</v>
      </c>
      <c r="C9">
        <v>5497016</v>
      </c>
      <c r="D9">
        <v>5511500</v>
      </c>
      <c r="E9">
        <v>5736148.4375</v>
      </c>
      <c r="F9">
        <v>6099375</v>
      </c>
      <c r="G9">
        <v>6485989.583333333</v>
      </c>
      <c r="H9">
        <v>6895208.333333333</v>
      </c>
      <c r="I9" s="15">
        <v>7304427.083333333</v>
      </c>
      <c r="K9">
        <f ca="1">INDEX(INDIRECT($J$5),$M$4,5)</f>
        <v>6099375</v>
      </c>
      <c r="O9">
        <f ca="1">INDEX(INDIRECT($N$5),5,$Q$4)</f>
        <v>5497016</v>
      </c>
    </row>
    <row r="10" spans="1:52" x14ac:dyDescent="0.45">
      <c r="A10">
        <v>36</v>
      </c>
      <c r="B10" s="14">
        <v>5497016</v>
      </c>
      <c r="C10">
        <v>5497016</v>
      </c>
      <c r="D10">
        <v>5497016</v>
      </c>
      <c r="E10">
        <v>5604772.222222222</v>
      </c>
      <c r="F10">
        <v>5968522.222222222</v>
      </c>
      <c r="G10">
        <v>6332272.222222222</v>
      </c>
      <c r="H10">
        <v>6696022.222222222</v>
      </c>
      <c r="I10" s="15">
        <v>7059772.222222222</v>
      </c>
      <c r="K10">
        <f ca="1">INDEX(INDIRECT($J$5),$M$4,6)</f>
        <v>6496875</v>
      </c>
      <c r="O10">
        <f ca="1">INDEX(INDIRECT($N$5),6,$Q$4)</f>
        <v>5497016</v>
      </c>
    </row>
    <row r="11" spans="1:52" x14ac:dyDescent="0.45">
      <c r="A11">
        <v>40</v>
      </c>
      <c r="B11" s="16">
        <v>5497016</v>
      </c>
      <c r="C11" s="17">
        <v>5497016</v>
      </c>
      <c r="D11" s="17">
        <v>5497016</v>
      </c>
      <c r="E11" s="17">
        <v>5497016</v>
      </c>
      <c r="F11" s="17">
        <v>5669870</v>
      </c>
      <c r="G11" s="17">
        <v>5997245</v>
      </c>
      <c r="H11" s="17">
        <v>6324620</v>
      </c>
      <c r="I11" s="18">
        <v>6651995</v>
      </c>
      <c r="K11">
        <f ca="1">INDEX(INDIRECT($J$5),$M$4,7)</f>
        <v>6952500</v>
      </c>
      <c r="O11">
        <f ca="1">INDEX(INDIRECT($N$5),7,$Q$4)</f>
        <v>5497016</v>
      </c>
    </row>
    <row r="12" spans="1:52" x14ac:dyDescent="0.45">
      <c r="K12">
        <f ca="1">INDEX(INDIRECT($J$5),$M$4,8)</f>
        <v>7408125</v>
      </c>
    </row>
    <row r="13" spans="1:52" x14ac:dyDescent="0.45">
      <c r="A13" s="10" t="s">
        <v>35</v>
      </c>
      <c r="B13">
        <v>2000</v>
      </c>
      <c r="C13">
        <v>2135</v>
      </c>
      <c r="D13">
        <v>2270</v>
      </c>
      <c r="E13">
        <v>2405</v>
      </c>
      <c r="F13">
        <v>2540</v>
      </c>
      <c r="G13">
        <v>2675</v>
      </c>
      <c r="H13">
        <v>2810</v>
      </c>
      <c r="I13">
        <v>2945</v>
      </c>
    </row>
    <row r="14" spans="1:52" x14ac:dyDescent="0.45">
      <c r="A14">
        <v>16</v>
      </c>
      <c r="B14" s="11">
        <v>3396.5517241379316</v>
      </c>
      <c r="C14" s="12">
        <v>3396.5517241379316</v>
      </c>
      <c r="D14" s="12">
        <v>3396.5517241379321</v>
      </c>
      <c r="E14" s="12">
        <v>3396.5517241379321</v>
      </c>
      <c r="F14" s="12">
        <v>2500</v>
      </c>
      <c r="G14" s="12">
        <v>0</v>
      </c>
      <c r="H14" s="12">
        <v>0</v>
      </c>
      <c r="I14" s="13">
        <v>0</v>
      </c>
    </row>
    <row r="15" spans="1:52" x14ac:dyDescent="0.45">
      <c r="A15">
        <v>20</v>
      </c>
      <c r="B15" s="14">
        <v>3357.8947368421059</v>
      </c>
      <c r="C15">
        <v>3357.8947368421059</v>
      </c>
      <c r="D15">
        <v>3357.8947368421063</v>
      </c>
      <c r="E15">
        <v>3357.8947368421063</v>
      </c>
      <c r="F15">
        <v>2500</v>
      </c>
      <c r="G15">
        <v>0</v>
      </c>
      <c r="H15">
        <v>0</v>
      </c>
      <c r="I15" s="15">
        <v>0</v>
      </c>
    </row>
    <row r="16" spans="1:52" x14ac:dyDescent="0.45">
      <c r="A16">
        <v>24</v>
      </c>
      <c r="B16" s="14">
        <v>3895.9999999999991</v>
      </c>
      <c r="C16">
        <v>3297.2972972972975</v>
      </c>
      <c r="D16">
        <v>3297.2972972972984</v>
      </c>
      <c r="E16">
        <v>3297.2972972972984</v>
      </c>
      <c r="F16">
        <v>2500</v>
      </c>
      <c r="G16">
        <v>0</v>
      </c>
      <c r="H16">
        <v>0</v>
      </c>
      <c r="I16" s="15">
        <v>0</v>
      </c>
    </row>
    <row r="17" spans="1:9" x14ac:dyDescent="0.45">
      <c r="A17">
        <v>28</v>
      </c>
      <c r="B17" s="14">
        <v>3896</v>
      </c>
      <c r="C17">
        <v>3896</v>
      </c>
      <c r="D17">
        <v>3188.67924528302</v>
      </c>
      <c r="E17">
        <v>3188.67924528302</v>
      </c>
      <c r="F17">
        <v>2500</v>
      </c>
      <c r="G17">
        <v>0</v>
      </c>
      <c r="H17">
        <v>0</v>
      </c>
      <c r="I17" s="15">
        <v>0</v>
      </c>
    </row>
    <row r="18" spans="1:9" x14ac:dyDescent="0.45">
      <c r="A18">
        <v>32</v>
      </c>
      <c r="B18" s="14">
        <v>3896</v>
      </c>
      <c r="C18">
        <v>3895.9999999999995</v>
      </c>
      <c r="D18">
        <v>2937.5</v>
      </c>
      <c r="E18">
        <v>2937.5</v>
      </c>
      <c r="F18">
        <v>2500</v>
      </c>
      <c r="G18">
        <v>1527.7777777777776</v>
      </c>
      <c r="H18">
        <v>1527.7777777777776</v>
      </c>
      <c r="I18" s="15">
        <v>1527.7777777777776</v>
      </c>
    </row>
    <row r="19" spans="1:9" x14ac:dyDescent="0.45">
      <c r="A19">
        <v>36</v>
      </c>
      <c r="B19" s="14">
        <v>3896</v>
      </c>
      <c r="C19">
        <v>3896</v>
      </c>
      <c r="D19">
        <v>3896</v>
      </c>
      <c r="E19">
        <v>2688.8888888888891</v>
      </c>
      <c r="F19">
        <v>2688.8888888888891</v>
      </c>
      <c r="G19">
        <v>2688.8888888888891</v>
      </c>
      <c r="H19">
        <v>2688.8888888888891</v>
      </c>
      <c r="I19" s="15">
        <v>2688.8888888888891</v>
      </c>
    </row>
    <row r="20" spans="1:9" x14ac:dyDescent="0.45">
      <c r="A20">
        <v>40</v>
      </c>
      <c r="B20" s="16">
        <v>3896</v>
      </c>
      <c r="C20" s="17">
        <v>3896</v>
      </c>
      <c r="D20" s="17">
        <v>3896</v>
      </c>
      <c r="E20" s="17">
        <v>3896</v>
      </c>
      <c r="F20" s="17">
        <v>3120</v>
      </c>
      <c r="G20" s="17">
        <v>3120</v>
      </c>
      <c r="H20" s="17">
        <v>3120</v>
      </c>
      <c r="I20" s="18">
        <v>3120</v>
      </c>
    </row>
    <row r="22" spans="1:9" x14ac:dyDescent="0.45">
      <c r="A22" s="10" t="s">
        <v>27</v>
      </c>
      <c r="B22">
        <v>2000</v>
      </c>
      <c r="C22">
        <v>2135</v>
      </c>
      <c r="D22">
        <v>2270</v>
      </c>
      <c r="E22">
        <v>2405</v>
      </c>
      <c r="F22">
        <v>2540</v>
      </c>
      <c r="G22">
        <v>2675</v>
      </c>
      <c r="H22">
        <v>2810</v>
      </c>
      <c r="I22">
        <v>2945</v>
      </c>
    </row>
    <row r="23" spans="1:9" x14ac:dyDescent="0.45">
      <c r="A23">
        <v>16</v>
      </c>
      <c r="B23" s="11">
        <v>459.05172413793048</v>
      </c>
      <c r="C23" s="12">
        <v>459.05172413793048</v>
      </c>
      <c r="D23" s="12">
        <v>459.05172413793025</v>
      </c>
      <c r="E23" s="12">
        <v>459.05172413793025</v>
      </c>
      <c r="F23" s="12">
        <v>2812.5</v>
      </c>
      <c r="G23" s="12">
        <v>3375</v>
      </c>
      <c r="H23" s="12">
        <v>3375</v>
      </c>
      <c r="I23" s="13">
        <v>3375</v>
      </c>
    </row>
    <row r="24" spans="1:9" x14ac:dyDescent="0.45">
      <c r="A24">
        <v>20</v>
      </c>
      <c r="B24" s="14">
        <v>560.52631578947307</v>
      </c>
      <c r="C24">
        <v>560.52631578947307</v>
      </c>
      <c r="D24">
        <v>560.52631578947239</v>
      </c>
      <c r="E24">
        <v>560.52631578947239</v>
      </c>
      <c r="F24">
        <v>2812.5</v>
      </c>
      <c r="G24">
        <v>3375</v>
      </c>
      <c r="H24">
        <v>3375</v>
      </c>
      <c r="I24" s="15">
        <v>3375</v>
      </c>
    </row>
    <row r="25" spans="1:9" x14ac:dyDescent="0.45">
      <c r="A25">
        <v>24</v>
      </c>
      <c r="B25" s="14">
        <v>0</v>
      </c>
      <c r="C25">
        <v>719.59459459459345</v>
      </c>
      <c r="D25">
        <v>719.59459459459322</v>
      </c>
      <c r="E25">
        <v>719.59459459459322</v>
      </c>
      <c r="F25">
        <v>2812.5</v>
      </c>
      <c r="G25">
        <v>3375</v>
      </c>
      <c r="H25">
        <v>3375</v>
      </c>
      <c r="I25" s="15">
        <v>3375</v>
      </c>
    </row>
    <row r="26" spans="1:9" x14ac:dyDescent="0.45">
      <c r="A26">
        <v>28</v>
      </c>
      <c r="B26" s="14">
        <v>0</v>
      </c>
      <c r="C26">
        <v>0</v>
      </c>
      <c r="D26">
        <v>1004.7169811320737</v>
      </c>
      <c r="E26">
        <v>1004.7169811320737</v>
      </c>
      <c r="F26">
        <v>2812.5</v>
      </c>
      <c r="G26">
        <v>3375</v>
      </c>
      <c r="H26">
        <v>3375</v>
      </c>
      <c r="I26" s="15">
        <v>3375</v>
      </c>
    </row>
    <row r="27" spans="1:9" x14ac:dyDescent="0.45">
      <c r="A27">
        <v>32</v>
      </c>
      <c r="B27" s="14">
        <v>0</v>
      </c>
      <c r="C27">
        <v>0</v>
      </c>
      <c r="D27">
        <v>1664.0624999999995</v>
      </c>
      <c r="E27">
        <v>1664.0624999999995</v>
      </c>
      <c r="F27">
        <v>2812.5</v>
      </c>
      <c r="G27">
        <v>3031.25</v>
      </c>
      <c r="H27">
        <v>3031.25</v>
      </c>
      <c r="I27" s="15">
        <v>3031.25</v>
      </c>
    </row>
    <row r="28" spans="1:9" x14ac:dyDescent="0.45">
      <c r="A28">
        <v>36</v>
      </c>
      <c r="B28" s="14">
        <v>0</v>
      </c>
      <c r="C28">
        <v>0</v>
      </c>
      <c r="D28">
        <v>0</v>
      </c>
      <c r="E28">
        <v>2694.4444444444443</v>
      </c>
      <c r="F28">
        <v>2694.4444444444443</v>
      </c>
      <c r="G28">
        <v>2694.4444444444443</v>
      </c>
      <c r="H28">
        <v>2694.4444444444443</v>
      </c>
      <c r="I28" s="15">
        <v>2694.4444444444443</v>
      </c>
    </row>
    <row r="29" spans="1:9" x14ac:dyDescent="0.45">
      <c r="A29">
        <v>40</v>
      </c>
      <c r="B29" s="16">
        <v>0</v>
      </c>
      <c r="C29" s="17">
        <v>0</v>
      </c>
      <c r="D29" s="17">
        <v>0</v>
      </c>
      <c r="E29" s="17">
        <v>0</v>
      </c>
      <c r="F29" s="17">
        <v>2425</v>
      </c>
      <c r="G29" s="17">
        <v>2425</v>
      </c>
      <c r="H29" s="17">
        <v>2425</v>
      </c>
      <c r="I29" s="18">
        <v>2425</v>
      </c>
    </row>
    <row r="31" spans="1:9" x14ac:dyDescent="0.45">
      <c r="A31" s="10" t="s">
        <v>36</v>
      </c>
      <c r="B31">
        <v>2000</v>
      </c>
      <c r="C31">
        <v>2135</v>
      </c>
      <c r="D31">
        <v>2270</v>
      </c>
      <c r="E31">
        <v>2405</v>
      </c>
      <c r="F31">
        <v>2540</v>
      </c>
      <c r="G31">
        <v>2675</v>
      </c>
      <c r="H31">
        <v>2810</v>
      </c>
      <c r="I31">
        <v>2945</v>
      </c>
    </row>
    <row r="32" spans="1:9" x14ac:dyDescent="0.45">
      <c r="A32">
        <v>16</v>
      </c>
      <c r="B32" s="11">
        <v>3586.2068965517246</v>
      </c>
      <c r="C32" s="12">
        <v>3586.2068965517246</v>
      </c>
      <c r="D32" s="12">
        <v>3586.2068965517246</v>
      </c>
      <c r="E32" s="12">
        <v>3586.2068965517246</v>
      </c>
      <c r="F32" s="12">
        <v>0</v>
      </c>
      <c r="G32" s="12">
        <v>0</v>
      </c>
      <c r="H32" s="12">
        <v>0</v>
      </c>
      <c r="I32" s="13">
        <v>0</v>
      </c>
    </row>
    <row r="33" spans="1:9" x14ac:dyDescent="0.45">
      <c r="A33">
        <v>20</v>
      </c>
      <c r="B33" s="14">
        <v>3431.5789473684217</v>
      </c>
      <c r="C33">
        <v>3431.5789473684217</v>
      </c>
      <c r="D33">
        <v>3431.5789473684222</v>
      </c>
      <c r="E33">
        <v>3431.5789473684222</v>
      </c>
      <c r="F33">
        <v>0</v>
      </c>
      <c r="G33">
        <v>0</v>
      </c>
      <c r="H33">
        <v>0</v>
      </c>
      <c r="I33" s="15">
        <v>0</v>
      </c>
    </row>
    <row r="34" spans="1:9" x14ac:dyDescent="0.45">
      <c r="A34">
        <v>24</v>
      </c>
      <c r="B34" s="14">
        <v>3880</v>
      </c>
      <c r="C34">
        <v>3189.1891891891901</v>
      </c>
      <c r="D34">
        <v>3189.1891891891905</v>
      </c>
      <c r="E34">
        <v>3189.1891891891905</v>
      </c>
      <c r="F34">
        <v>0</v>
      </c>
      <c r="G34">
        <v>0</v>
      </c>
      <c r="H34">
        <v>0</v>
      </c>
      <c r="I34" s="15">
        <v>0</v>
      </c>
    </row>
    <row r="35" spans="1:9" x14ac:dyDescent="0.45">
      <c r="A35">
        <v>28</v>
      </c>
      <c r="B35" s="14">
        <v>3880</v>
      </c>
      <c r="C35">
        <v>3880</v>
      </c>
      <c r="D35">
        <v>2754.7169811320778</v>
      </c>
      <c r="E35">
        <v>2754.7169811320778</v>
      </c>
      <c r="F35">
        <v>0</v>
      </c>
      <c r="G35">
        <v>0</v>
      </c>
      <c r="H35">
        <v>0</v>
      </c>
      <c r="I35" s="15">
        <v>0</v>
      </c>
    </row>
    <row r="36" spans="1:9" x14ac:dyDescent="0.45">
      <c r="A36">
        <v>32</v>
      </c>
      <c r="B36" s="14">
        <v>3880</v>
      </c>
      <c r="C36">
        <v>3880</v>
      </c>
      <c r="D36">
        <v>1750.0000000000007</v>
      </c>
      <c r="E36">
        <v>1750.0000000000007</v>
      </c>
      <c r="F36">
        <v>0</v>
      </c>
      <c r="G36">
        <v>0</v>
      </c>
      <c r="H36">
        <v>0</v>
      </c>
      <c r="I36" s="15">
        <v>0</v>
      </c>
    </row>
    <row r="37" spans="1:9" x14ac:dyDescent="0.45">
      <c r="A37">
        <v>36</v>
      </c>
      <c r="B37" s="14">
        <v>3879.9999999999995</v>
      </c>
      <c r="C37">
        <v>3879.9999999999995</v>
      </c>
      <c r="D37">
        <v>3879.9999999999995</v>
      </c>
      <c r="E37">
        <v>0</v>
      </c>
      <c r="F37">
        <v>0</v>
      </c>
      <c r="G37">
        <v>0</v>
      </c>
      <c r="H37">
        <v>0</v>
      </c>
      <c r="I37" s="15">
        <v>0</v>
      </c>
    </row>
    <row r="38" spans="1:9" x14ac:dyDescent="0.45">
      <c r="A38">
        <v>40</v>
      </c>
      <c r="B38" s="16">
        <v>3880</v>
      </c>
      <c r="C38" s="17">
        <v>3880</v>
      </c>
      <c r="D38" s="17">
        <v>3880</v>
      </c>
      <c r="E38" s="17">
        <v>3880</v>
      </c>
      <c r="F38" s="17">
        <v>0</v>
      </c>
      <c r="G38" s="17">
        <v>0</v>
      </c>
      <c r="H38" s="17">
        <v>0</v>
      </c>
      <c r="I38" s="18">
        <v>0</v>
      </c>
    </row>
  </sheetData>
  <dataValidations count="3">
    <dataValidation type="list" allowBlank="1" showInputMessage="1" showErrorMessage="1" sqref="K4 O4" xr:uid="{6C9ACCD0-BE8C-4235-B0D0-4715534FDC15}">
      <formula1>OutputAddresses</formula1>
    </dataValidation>
    <dataValidation type="list" allowBlank="1" showInputMessage="1" showErrorMessage="1" sqref="L4" xr:uid="{FA624BA4-0413-4384-B22D-608A83F8D50A}">
      <formula1>InputValues1</formula1>
    </dataValidation>
    <dataValidation type="list" allowBlank="1" showInputMessage="1" showErrorMessage="1" sqref="P4" xr:uid="{C9724FC2-0B4E-4924-9324-F493C78C7B40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AEB7-C682-496A-AB35-A6CF0FE385F2}">
  <dimension ref="B12:I63"/>
  <sheetViews>
    <sheetView topLeftCell="A15" workbookViewId="0">
      <selection activeCell="H47" sqref="H47"/>
    </sheetView>
  </sheetViews>
  <sheetFormatPr defaultColWidth="11.53125" defaultRowHeight="14.25" x14ac:dyDescent="0.45"/>
  <cols>
    <col min="2" max="2" width="17.796875" customWidth="1"/>
    <col min="3" max="3" width="20.33203125" customWidth="1"/>
    <col min="4" max="4" width="19.1328125" customWidth="1"/>
    <col min="5" max="5" width="16.796875" customWidth="1"/>
    <col min="6" max="6" width="13.6640625" customWidth="1"/>
  </cols>
  <sheetData>
    <row r="12" spans="6:6" x14ac:dyDescent="0.45">
      <c r="F12" s="1"/>
    </row>
    <row r="19" spans="2:9" x14ac:dyDescent="0.45">
      <c r="F19" t="s">
        <v>10</v>
      </c>
      <c r="G19" t="s">
        <v>11</v>
      </c>
      <c r="H19" t="s">
        <v>9</v>
      </c>
    </row>
    <row r="20" spans="2:9" x14ac:dyDescent="0.45">
      <c r="C20" t="s">
        <v>7</v>
      </c>
      <c r="D20" t="s">
        <v>8</v>
      </c>
      <c r="E20" t="s">
        <v>14</v>
      </c>
    </row>
    <row r="21" spans="2:9" ht="15.75" x14ac:dyDescent="0.5">
      <c r="B21" s="3" t="s">
        <v>0</v>
      </c>
    </row>
    <row r="22" spans="2:9" x14ac:dyDescent="0.45">
      <c r="B22" t="s">
        <v>1</v>
      </c>
      <c r="C22">
        <v>4</v>
      </c>
      <c r="D22">
        <v>10</v>
      </c>
      <c r="E22">
        <v>7</v>
      </c>
      <c r="F22">
        <f>SUMPRODUCT(C22:E22,$C$34:$E$34)</f>
        <v>37500</v>
      </c>
      <c r="G22" t="s">
        <v>11</v>
      </c>
      <c r="H22">
        <v>50000</v>
      </c>
    </row>
    <row r="23" spans="2:9" x14ac:dyDescent="0.45">
      <c r="B23" t="s">
        <v>4</v>
      </c>
      <c r="C23">
        <v>6</v>
      </c>
      <c r="D23">
        <v>9</v>
      </c>
      <c r="E23">
        <v>5</v>
      </c>
      <c r="F23">
        <f>SUMPRODUCT(C23:E23,$C$34:$E$34)</f>
        <v>33750</v>
      </c>
      <c r="G23" t="s">
        <v>11</v>
      </c>
      <c r="H23">
        <v>50000</v>
      </c>
    </row>
    <row r="24" spans="2:9" x14ac:dyDescent="0.45">
      <c r="B24" t="s">
        <v>3</v>
      </c>
      <c r="C24">
        <v>5</v>
      </c>
      <c r="D24">
        <v>8</v>
      </c>
      <c r="E24">
        <v>4</v>
      </c>
      <c r="F24">
        <f>SUMPRODUCT(C24:E24,$C$34:$E$34)</f>
        <v>30000</v>
      </c>
      <c r="G24" t="s">
        <v>11</v>
      </c>
      <c r="H24">
        <v>35000</v>
      </c>
    </row>
    <row r="27" spans="2:9" ht="15.75" x14ac:dyDescent="0.5">
      <c r="B27" s="2" t="s">
        <v>6</v>
      </c>
      <c r="I27" t="s">
        <v>19</v>
      </c>
    </row>
    <row r="29" spans="2:9" x14ac:dyDescent="0.45">
      <c r="B29" t="s">
        <v>5</v>
      </c>
      <c r="C29">
        <v>20</v>
      </c>
      <c r="D29">
        <v>120</v>
      </c>
      <c r="E29" t="s">
        <v>21</v>
      </c>
      <c r="F29">
        <f>SUMPRODUCT(C29:D29,C34:D34)</f>
        <v>450000</v>
      </c>
      <c r="G29" t="s">
        <v>11</v>
      </c>
      <c r="H29">
        <v>480000</v>
      </c>
      <c r="I29">
        <v>1.2</v>
      </c>
    </row>
    <row r="30" spans="2:9" x14ac:dyDescent="0.45">
      <c r="B30" t="s">
        <v>20</v>
      </c>
      <c r="C30">
        <v>18</v>
      </c>
      <c r="D30">
        <v>80</v>
      </c>
      <c r="E30">
        <v>48</v>
      </c>
      <c r="F30">
        <f>SUMPRODUCT(C30:E30,$C$34:$E$34)</f>
        <v>300000</v>
      </c>
      <c r="G30" t="s">
        <v>11</v>
      </c>
      <c r="H30">
        <v>300000</v>
      </c>
      <c r="I30">
        <v>3.5</v>
      </c>
    </row>
    <row r="31" spans="2:9" x14ac:dyDescent="0.45">
      <c r="B31" t="s">
        <v>111</v>
      </c>
      <c r="C31" t="s">
        <v>21</v>
      </c>
      <c r="D31">
        <v>40</v>
      </c>
      <c r="E31">
        <v>32</v>
      </c>
      <c r="F31">
        <f>SUMPRODUCT(D31:E31,D34:E34)</f>
        <v>150000</v>
      </c>
      <c r="G31" t="s">
        <v>11</v>
      </c>
      <c r="H31">
        <v>150000</v>
      </c>
      <c r="I31">
        <v>4.5</v>
      </c>
    </row>
    <row r="34" spans="2:7" x14ac:dyDescent="0.45">
      <c r="B34" t="s">
        <v>13</v>
      </c>
      <c r="C34">
        <v>0</v>
      </c>
      <c r="D34">
        <v>3750</v>
      </c>
      <c r="E34">
        <v>0</v>
      </c>
    </row>
    <row r="36" spans="2:7" x14ac:dyDescent="0.45">
      <c r="B36" t="s">
        <v>17</v>
      </c>
      <c r="C36">
        <v>636</v>
      </c>
      <c r="D36">
        <v>2400</v>
      </c>
      <c r="E36">
        <v>1434</v>
      </c>
    </row>
    <row r="37" spans="2:7" x14ac:dyDescent="0.45">
      <c r="B37" t="s">
        <v>18</v>
      </c>
      <c r="C37">
        <v>210</v>
      </c>
      <c r="D37">
        <v>500</v>
      </c>
      <c r="E37">
        <v>350</v>
      </c>
    </row>
    <row r="39" spans="2:7" x14ac:dyDescent="0.45">
      <c r="B39" t="s">
        <v>12</v>
      </c>
      <c r="C39">
        <f>C36-C37</f>
        <v>426</v>
      </c>
      <c r="D39">
        <f>D36-D37</f>
        <v>1900</v>
      </c>
      <c r="E39">
        <f>E36-E37</f>
        <v>1084</v>
      </c>
    </row>
    <row r="41" spans="2:7" x14ac:dyDescent="0.45">
      <c r="F41" t="s">
        <v>16</v>
      </c>
    </row>
    <row r="42" spans="2:7" x14ac:dyDescent="0.45">
      <c r="B42" t="s">
        <v>15</v>
      </c>
      <c r="C42">
        <f>C39*$C$34</f>
        <v>0</v>
      </c>
      <c r="D42">
        <f>D39*$D$34</f>
        <v>7125000</v>
      </c>
      <c r="E42">
        <f>E39*$E$34</f>
        <v>0</v>
      </c>
      <c r="G42">
        <f>SUM(C42:E42)</f>
        <v>7125000</v>
      </c>
    </row>
    <row r="63" spans="2:9" x14ac:dyDescent="0.45">
      <c r="B63" t="s">
        <v>2</v>
      </c>
      <c r="C63" t="s">
        <v>21</v>
      </c>
      <c r="D63">
        <v>32</v>
      </c>
      <c r="E63">
        <v>25</v>
      </c>
      <c r="F63">
        <f>SUMPRODUCT(D63:E63,$D$34:$E$34)</f>
        <v>120000</v>
      </c>
      <c r="G63" t="s">
        <v>11</v>
      </c>
      <c r="H63">
        <v>97000</v>
      </c>
      <c r="I63"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Main Model</vt:lpstr>
      <vt:lpstr>Time Constraint</vt:lpstr>
      <vt:lpstr>variation of Conf.Table price</vt:lpstr>
      <vt:lpstr>Workpods price variations</vt:lpstr>
      <vt:lpstr>Melamine Quantity</vt:lpstr>
      <vt:lpstr>Wood Instead</vt:lpstr>
      <vt:lpstr>min chairs and conf.Tables</vt:lpstr>
      <vt:lpstr>Chair price variation</vt:lpstr>
      <vt:lpstr>Limits Report 2</vt:lpstr>
      <vt:lpstr>Sensitivity Report 2</vt:lpstr>
      <vt:lpstr>Answer Report 2</vt:lpstr>
      <vt:lpstr>'Chair price variation'!ChartData</vt:lpstr>
      <vt:lpstr>'variation of Conf.Table price'!ChartData</vt:lpstr>
      <vt:lpstr>'Workpods price variations'!ChartData</vt:lpstr>
      <vt:lpstr>'Melamine Quantity'!ChartData1</vt:lpstr>
      <vt:lpstr>'Melamine Quantity'!ChartData2</vt:lpstr>
      <vt:lpstr>'Chair price variation'!InputValues</vt:lpstr>
      <vt:lpstr>'variation of Conf.Table price'!InputValues</vt:lpstr>
      <vt:lpstr>'Workpods price variations'!InputValues</vt:lpstr>
      <vt:lpstr>'Melamine Quantity'!InputValues1</vt:lpstr>
      <vt:lpstr>'Melamine Quantity'!InputValues2</vt:lpstr>
      <vt:lpstr>'Chair price variation'!OutputAddresses</vt:lpstr>
      <vt:lpstr>'Melamine Quantity'!OutputAddresses</vt:lpstr>
      <vt:lpstr>'variation of Conf.Table price'!OutputAddresses</vt:lpstr>
      <vt:lpstr>'Workpods price variations'!OutputAddresses</vt:lpstr>
      <vt:lpstr>'Chair price variation'!OutputValues</vt:lpstr>
      <vt:lpstr>'variation of Conf.Table price'!OutputValues</vt:lpstr>
      <vt:lpstr>'Workpods price variations'!OutputValues</vt:lpstr>
      <vt:lpstr>'Melamine Quantity'!OutputValues_1</vt:lpstr>
      <vt:lpstr>'Melamine Quantity'!OutputValues_2</vt:lpstr>
      <vt:lpstr>'Melamine Quantity'!OutputValues_3</vt:lpstr>
      <vt:lpstr>'Melamine Quantity'!OutputValues_4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Pentapalli Manoj</dc:creator>
  <cp:lastModifiedBy>Jasvitha Buggana</cp:lastModifiedBy>
  <dcterms:created xsi:type="dcterms:W3CDTF">2023-05-12T22:55:58Z</dcterms:created>
  <dcterms:modified xsi:type="dcterms:W3CDTF">2023-12-24T03:28:52Z</dcterms:modified>
</cp:coreProperties>
</file>