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AquaHealth-Salmonlesions/Shared Documents/General/Biofouling study/Tank trials/data_analyses/data/"/>
    </mc:Choice>
  </mc:AlternateContent>
  <xr:revisionPtr revIDLastSave="751" documentId="8_{76018E34-0DD2-4FD7-8979-CD5E3D7255FF}" xr6:coauthVersionLast="47" xr6:coauthVersionMax="47" xr10:uidLastSave="{386D21A0-A538-4DC4-8085-89E0A778A8F3}"/>
  <bookViews>
    <workbookView xWindow="-120" yWindow="-120" windowWidth="29040" windowHeight="15840" activeTab="1" xr2:uid="{157BAE9C-72DC-4BDA-8037-52B21B3D918C}"/>
  </bookViews>
  <sheets>
    <sheet name="Soup" sheetId="1" r:id="rId1"/>
    <sheet name="Water" sheetId="2" r:id="rId2"/>
    <sheet name="Explo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3" l="1"/>
  <c r="T36" i="3"/>
  <c r="U36" i="3" s="1"/>
  <c r="T35" i="3"/>
  <c r="U35" i="3" s="1"/>
  <c r="T34" i="3"/>
  <c r="U34" i="3" s="1"/>
  <c r="U33" i="3"/>
  <c r="T32" i="3"/>
  <c r="U32" i="3" s="1"/>
  <c r="T31" i="3"/>
  <c r="U31" i="3" s="1"/>
  <c r="S36" i="3"/>
  <c r="S35" i="3"/>
  <c r="S34" i="3"/>
  <c r="S33" i="3"/>
  <c r="S32" i="3"/>
  <c r="S31" i="3"/>
  <c r="N32" i="3"/>
  <c r="N33" i="3"/>
  <c r="N34" i="3"/>
  <c r="N35" i="3"/>
  <c r="N36" i="3"/>
  <c r="N31" i="3"/>
  <c r="M36" i="3"/>
  <c r="M35" i="3"/>
  <c r="M34" i="3"/>
  <c r="M33" i="3"/>
  <c r="M32" i="3"/>
  <c r="M31" i="3"/>
  <c r="L36" i="3"/>
  <c r="L35" i="3"/>
  <c r="L34" i="3"/>
  <c r="L33" i="3"/>
  <c r="L32" i="3"/>
  <c r="L31" i="3"/>
  <c r="S23" i="3"/>
  <c r="L23" i="3"/>
  <c r="G32" i="3"/>
  <c r="G33" i="3"/>
  <c r="G34" i="3"/>
  <c r="G35" i="3"/>
  <c r="G36" i="3"/>
  <c r="G31" i="3"/>
  <c r="F36" i="3"/>
  <c r="F35" i="3"/>
  <c r="F34" i="3"/>
  <c r="F33" i="3"/>
  <c r="F32" i="3"/>
  <c r="F31" i="3"/>
  <c r="G22" i="3"/>
  <c r="G23" i="3"/>
  <c r="G24" i="3"/>
  <c r="G25" i="3"/>
  <c r="G26" i="3"/>
  <c r="F26" i="3"/>
  <c r="F25" i="3"/>
  <c r="F24" i="3"/>
  <c r="F23" i="3"/>
  <c r="F22" i="3"/>
  <c r="G21" i="3"/>
  <c r="F21" i="3"/>
  <c r="E36" i="3"/>
  <c r="E35" i="3"/>
  <c r="E34" i="3"/>
  <c r="E33" i="3"/>
  <c r="E32" i="3"/>
  <c r="E31" i="3"/>
  <c r="E26" i="3"/>
  <c r="E25" i="3"/>
  <c r="E24" i="3"/>
  <c r="E23" i="3"/>
  <c r="E22" i="3"/>
  <c r="E21" i="3"/>
  <c r="U25" i="3"/>
  <c r="T25" i="3"/>
  <c r="S25" i="3"/>
  <c r="U24" i="3"/>
  <c r="T24" i="3"/>
  <c r="S24" i="3"/>
  <c r="U23" i="3"/>
  <c r="T23" i="3"/>
  <c r="M25" i="3"/>
  <c r="N25" i="3" s="1"/>
  <c r="M24" i="3"/>
  <c r="N24" i="3" s="1"/>
  <c r="N23" i="3"/>
  <c r="M23" i="3"/>
  <c r="L25" i="3"/>
  <c r="L24" i="3"/>
  <c r="F5" i="3"/>
  <c r="E5" i="3"/>
  <c r="D5" i="3"/>
  <c r="U12" i="3"/>
  <c r="U11" i="3"/>
  <c r="U10" i="3"/>
  <c r="U9" i="3"/>
  <c r="U6" i="3"/>
  <c r="U7" i="3"/>
  <c r="U8" i="3"/>
  <c r="U13" i="3"/>
  <c r="U14" i="3"/>
  <c r="U15" i="3"/>
  <c r="U16" i="3"/>
  <c r="U5" i="3"/>
  <c r="N16" i="3"/>
  <c r="N15" i="3"/>
  <c r="N14" i="3"/>
  <c r="N13" i="3"/>
  <c r="N12" i="3"/>
  <c r="N11" i="3"/>
  <c r="N10" i="3"/>
  <c r="N9" i="3"/>
  <c r="N8" i="3"/>
  <c r="N7" i="3"/>
  <c r="N6" i="3"/>
  <c r="N5" i="3"/>
  <c r="M16" i="3"/>
  <c r="M15" i="3"/>
  <c r="M14" i="3"/>
  <c r="M13" i="3"/>
  <c r="M12" i="3"/>
  <c r="M11" i="3"/>
  <c r="M10" i="3"/>
  <c r="M9" i="3"/>
  <c r="M8" i="3"/>
  <c r="M7" i="3"/>
  <c r="M6" i="3"/>
  <c r="M5" i="3"/>
  <c r="L5" i="3"/>
  <c r="S5" i="3"/>
  <c r="T5" i="3"/>
  <c r="S16" i="3"/>
  <c r="S15" i="3"/>
  <c r="S14" i="3"/>
  <c r="S13" i="3"/>
  <c r="S12" i="3"/>
  <c r="S11" i="3"/>
  <c r="S10" i="3"/>
  <c r="S9" i="3"/>
  <c r="S8" i="3"/>
  <c r="S7" i="3"/>
  <c r="S6" i="3"/>
  <c r="T16" i="3"/>
  <c r="T15" i="3"/>
  <c r="T14" i="3"/>
  <c r="T13" i="3"/>
  <c r="T12" i="3"/>
  <c r="T11" i="3"/>
  <c r="T10" i="3"/>
  <c r="T9" i="3"/>
  <c r="T8" i="3"/>
  <c r="T7" i="3"/>
  <c r="T6" i="3"/>
  <c r="L16" i="3"/>
  <c r="L15" i="3"/>
  <c r="L14" i="3"/>
  <c r="L13" i="3"/>
  <c r="L12" i="3"/>
  <c r="L11" i="3"/>
  <c r="L10" i="3"/>
  <c r="L9" i="3"/>
  <c r="L8" i="3"/>
  <c r="L7" i="3"/>
  <c r="L6" i="3"/>
  <c r="F14" i="3"/>
  <c r="F13" i="3"/>
  <c r="F12" i="3"/>
  <c r="E14" i="3"/>
  <c r="E13" i="3"/>
  <c r="E12" i="3"/>
  <c r="D14" i="3"/>
  <c r="D13" i="3"/>
  <c r="D12" i="3"/>
  <c r="E7" i="3"/>
  <c r="F7" i="3" s="1"/>
  <c r="D7" i="3"/>
  <c r="E6" i="3"/>
  <c r="F6" i="3" s="1"/>
  <c r="D6" i="3"/>
  <c r="I31" i="2"/>
  <c r="H31" i="2"/>
  <c r="I30" i="2"/>
  <c r="H30" i="2"/>
  <c r="I29" i="2"/>
  <c r="H29" i="2"/>
  <c r="I25" i="2"/>
  <c r="H25" i="2"/>
  <c r="I24" i="2"/>
  <c r="H24" i="2"/>
  <c r="I23" i="2"/>
  <c r="H23" i="2"/>
  <c r="I22" i="2"/>
  <c r="H22" i="2"/>
  <c r="I21" i="2"/>
  <c r="H21" i="2"/>
  <c r="I20" i="2"/>
  <c r="H20" i="2"/>
  <c r="H19" i="2"/>
  <c r="H18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H42" i="1" l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0" i="1"/>
  <c r="G10" i="1"/>
  <c r="H9" i="1"/>
  <c r="G9" i="1"/>
  <c r="H8" i="1"/>
  <c r="G8" i="1"/>
  <c r="H7" i="1"/>
  <c r="G7" i="1"/>
  <c r="H6" i="1"/>
  <c r="G6" i="1"/>
  <c r="H5" i="1"/>
  <c r="G5" i="1"/>
</calcChain>
</file>

<file path=xl/sharedStrings.xml><?xml version="1.0" encoding="utf-8"?>
<sst xmlns="http://schemas.openxmlformats.org/spreadsheetml/2006/main" count="435" uniqueCount="40">
  <si>
    <t>Date</t>
  </si>
  <si>
    <t>Trial</t>
  </si>
  <si>
    <t>Matrix</t>
  </si>
  <si>
    <t>TCBS</t>
  </si>
  <si>
    <t>MSSM</t>
  </si>
  <si>
    <t>RUA</t>
  </si>
  <si>
    <t>Water</t>
  </si>
  <si>
    <t>Biofouling</t>
  </si>
  <si>
    <t>Rep</t>
  </si>
  <si>
    <t>A</t>
  </si>
  <si>
    <t>B</t>
  </si>
  <si>
    <t>C</t>
  </si>
  <si>
    <t>FRC</t>
  </si>
  <si>
    <t>Control</t>
  </si>
  <si>
    <t>Treatment</t>
  </si>
  <si>
    <t>Tank</t>
  </si>
  <si>
    <t>Dose</t>
  </si>
  <si>
    <t>1-2-3-4</t>
  </si>
  <si>
    <t>5-6-7-8</t>
  </si>
  <si>
    <t>Combined</t>
  </si>
  <si>
    <t>Dose 1</t>
  </si>
  <si>
    <t>Dose 2</t>
  </si>
  <si>
    <t>Dose 3</t>
  </si>
  <si>
    <t>STDEV</t>
  </si>
  <si>
    <t>SE</t>
  </si>
  <si>
    <t>MEAN</t>
  </si>
  <si>
    <t>Tank 5</t>
  </si>
  <si>
    <t>Tank 6</t>
  </si>
  <si>
    <t>Tank 7</t>
  </si>
  <si>
    <t>Tank 8</t>
  </si>
  <si>
    <t>FRC SOUP (TCBS) (Vibrio spp.)</t>
  </si>
  <si>
    <t>FRC SOUP (MSSM) (Tenacibaculum spp.)</t>
  </si>
  <si>
    <t>FRC SOUP (TCBS) (Vibrio spp.) (Tanks combined)</t>
  </si>
  <si>
    <t>RUA WATER (TCBS) (Vibrio spp.)</t>
  </si>
  <si>
    <t>RUA WATER (MSSM) (Tenacibaculum spp.)</t>
  </si>
  <si>
    <t>FRC WATER (TCBS) (Vibrio spp.) (Tanks combined)</t>
  </si>
  <si>
    <t>FRC WATER (MSSM) (Tenacibaculum spp.) (Tanks combined)</t>
  </si>
  <si>
    <t>FRC SOUP (MSSM) (Tenacibaculum spp.) (Tanks combined)</t>
  </si>
  <si>
    <t>RUA SOUP (TCBS) (Vibrio spp.) (Tanks combined)</t>
  </si>
  <si>
    <t>RUA SOUP (MSSM) (Tenacibaculum spp.) (Tanks combined)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</si>
</sst>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EC76-D1EB-4AE4-9C34-3E5E6862E6F1}">
  <sheetPr codeName="Sheet1"/>
  <dimension ref="A1:H42"/>
  <sheetViews>
    <sheetView workbookViewId="0">
      <selection activeCell="J9" sqref="J9"/>
    </sheetView>
  </sheetViews>
  <sheetFormatPr defaultRowHeight="15" x14ac:dyDescent="0.25"/>
  <cols>
    <col min="1" max="1" width="16.85546875" style="2" customWidth="1"/>
    <col min="2" max="2" width="12.85546875" style="1" customWidth="1"/>
    <col min="3" max="3" width="18.140625" style="1" customWidth="1"/>
    <col min="4" max="4" width="12.28515625" style="1" customWidth="1"/>
    <col min="5" max="5" width="10.42578125" style="1" customWidth="1"/>
    <col min="6" max="6" width="10.5703125" style="1" customWidth="1"/>
    <col min="7" max="7" width="14.28515625" style="1" customWidth="1"/>
    <col min="8" max="8" width="16.28515625" style="1" customWidth="1"/>
  </cols>
  <sheetData>
    <row r="1" spans="1:8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8</v>
      </c>
      <c r="G1" s="1" t="s">
        <v>3</v>
      </c>
      <c r="H1" s="1" t="s">
        <v>4</v>
      </c>
    </row>
    <row r="2" spans="1:8" x14ac:dyDescent="0.25">
      <c r="A2" s="2">
        <v>44582</v>
      </c>
      <c r="B2" s="1" t="s">
        <v>5</v>
      </c>
      <c r="C2" s="1" t="s">
        <v>7</v>
      </c>
      <c r="D2" s="1" t="s">
        <v>19</v>
      </c>
      <c r="E2" s="1">
        <v>1</v>
      </c>
      <c r="F2" s="1" t="s">
        <v>9</v>
      </c>
      <c r="G2" s="1">
        <v>7200</v>
      </c>
      <c r="H2" s="1">
        <v>46000</v>
      </c>
    </row>
    <row r="3" spans="1:8" x14ac:dyDescent="0.25">
      <c r="A3" s="2">
        <v>44582</v>
      </c>
      <c r="B3" s="1" t="s">
        <v>5</v>
      </c>
      <c r="C3" s="1" t="s">
        <v>7</v>
      </c>
      <c r="D3" s="1" t="s">
        <v>19</v>
      </c>
      <c r="E3" s="1">
        <v>1</v>
      </c>
      <c r="F3" s="1" t="s">
        <v>10</v>
      </c>
      <c r="G3" s="1">
        <v>2600</v>
      </c>
      <c r="H3" s="1">
        <v>40400</v>
      </c>
    </row>
    <row r="4" spans="1:8" x14ac:dyDescent="0.25">
      <c r="A4" s="2">
        <v>44582</v>
      </c>
      <c r="B4" s="1" t="s">
        <v>5</v>
      </c>
      <c r="C4" s="1" t="s">
        <v>7</v>
      </c>
      <c r="D4" s="1" t="s">
        <v>19</v>
      </c>
      <c r="E4" s="1">
        <v>1</v>
      </c>
      <c r="F4" s="1" t="s">
        <v>11</v>
      </c>
      <c r="G4" s="1">
        <v>7700</v>
      </c>
      <c r="H4" s="1">
        <v>45600</v>
      </c>
    </row>
    <row r="5" spans="1:8" x14ac:dyDescent="0.25">
      <c r="A5" s="2">
        <v>44594</v>
      </c>
      <c r="B5" s="1" t="s">
        <v>5</v>
      </c>
      <c r="C5" s="1" t="s">
        <v>7</v>
      </c>
      <c r="D5" s="1" t="s">
        <v>19</v>
      </c>
      <c r="E5" s="1">
        <v>2</v>
      </c>
      <c r="F5" s="1" t="s">
        <v>9</v>
      </c>
      <c r="G5" s="1">
        <f>41*10</f>
        <v>410</v>
      </c>
      <c r="H5" s="1">
        <f>23*10*1000</f>
        <v>230000</v>
      </c>
    </row>
    <row r="6" spans="1:8" x14ac:dyDescent="0.25">
      <c r="A6" s="2">
        <v>44594</v>
      </c>
      <c r="B6" s="1" t="s">
        <v>5</v>
      </c>
      <c r="C6" s="1" t="s">
        <v>7</v>
      </c>
      <c r="D6" s="1" t="s">
        <v>19</v>
      </c>
      <c r="E6" s="1">
        <v>2</v>
      </c>
      <c r="F6" s="1" t="s">
        <v>10</v>
      </c>
      <c r="G6" s="1">
        <f>26*10</f>
        <v>260</v>
      </c>
      <c r="H6" s="1">
        <f>13*10*1000</f>
        <v>130000</v>
      </c>
    </row>
    <row r="7" spans="1:8" x14ac:dyDescent="0.25">
      <c r="A7" s="2">
        <v>44594</v>
      </c>
      <c r="B7" s="1" t="s">
        <v>5</v>
      </c>
      <c r="C7" s="1" t="s">
        <v>7</v>
      </c>
      <c r="D7" s="1" t="s">
        <v>19</v>
      </c>
      <c r="E7" s="1">
        <v>2</v>
      </c>
      <c r="F7" s="1" t="s">
        <v>11</v>
      </c>
      <c r="G7" s="1">
        <f>34*10</f>
        <v>340</v>
      </c>
      <c r="H7" s="1">
        <f>29*10*1000</f>
        <v>290000</v>
      </c>
    </row>
    <row r="8" spans="1:8" x14ac:dyDescent="0.25">
      <c r="A8" s="2">
        <v>44608</v>
      </c>
      <c r="B8" s="1" t="s">
        <v>5</v>
      </c>
      <c r="C8" s="1" t="s">
        <v>7</v>
      </c>
      <c r="D8" s="1" t="s">
        <v>19</v>
      </c>
      <c r="E8" s="1">
        <v>3</v>
      </c>
      <c r="F8" s="1" t="s">
        <v>9</v>
      </c>
      <c r="G8" s="1">
        <f>30*1000*10</f>
        <v>300000</v>
      </c>
      <c r="H8" s="1">
        <f>97*1000*10</f>
        <v>970000</v>
      </c>
    </row>
    <row r="9" spans="1:8" x14ac:dyDescent="0.25">
      <c r="A9" s="2">
        <v>44608</v>
      </c>
      <c r="B9" s="1" t="s">
        <v>5</v>
      </c>
      <c r="C9" s="1" t="s">
        <v>7</v>
      </c>
      <c r="D9" s="1" t="s">
        <v>19</v>
      </c>
      <c r="E9" s="1">
        <v>3</v>
      </c>
      <c r="F9" s="1" t="s">
        <v>10</v>
      </c>
      <c r="G9" s="1">
        <f>23*1000*10</f>
        <v>230000</v>
      </c>
      <c r="H9" s="1">
        <f>113*1000*10</f>
        <v>1130000</v>
      </c>
    </row>
    <row r="10" spans="1:8" x14ac:dyDescent="0.25">
      <c r="A10" s="2">
        <v>44608</v>
      </c>
      <c r="B10" s="1" t="s">
        <v>5</v>
      </c>
      <c r="C10" s="1" t="s">
        <v>7</v>
      </c>
      <c r="D10" s="1" t="s">
        <v>19</v>
      </c>
      <c r="E10" s="1">
        <v>3</v>
      </c>
      <c r="F10" s="1" t="s">
        <v>11</v>
      </c>
      <c r="G10" s="1">
        <f>101*1*10</f>
        <v>1010</v>
      </c>
      <c r="H10" s="1">
        <f>64*1000*10</f>
        <v>640000</v>
      </c>
    </row>
    <row r="11" spans="1:8" x14ac:dyDescent="0.25">
      <c r="A11" s="2">
        <v>44609</v>
      </c>
      <c r="B11" s="1" t="s">
        <v>12</v>
      </c>
      <c r="C11" s="1" t="s">
        <v>7</v>
      </c>
      <c r="D11" s="1">
        <v>5</v>
      </c>
      <c r="E11" s="1">
        <v>1</v>
      </c>
      <c r="F11" s="1" t="s">
        <v>9</v>
      </c>
      <c r="G11" s="1">
        <v>690000</v>
      </c>
      <c r="H11" s="1">
        <v>1800000</v>
      </c>
    </row>
    <row r="12" spans="1:8" x14ac:dyDescent="0.25">
      <c r="A12" s="2">
        <v>44609</v>
      </c>
      <c r="B12" s="1" t="s">
        <v>12</v>
      </c>
      <c r="C12" s="1" t="s">
        <v>7</v>
      </c>
      <c r="D12" s="1">
        <v>5</v>
      </c>
      <c r="E12" s="1">
        <v>1</v>
      </c>
      <c r="F12" s="1" t="s">
        <v>10</v>
      </c>
      <c r="G12" s="1">
        <v>520000</v>
      </c>
      <c r="H12" s="1">
        <v>1440000</v>
      </c>
    </row>
    <row r="13" spans="1:8" x14ac:dyDescent="0.25">
      <c r="A13" s="2">
        <v>44609</v>
      </c>
      <c r="B13" s="1" t="s">
        <v>12</v>
      </c>
      <c r="C13" s="1" t="s">
        <v>7</v>
      </c>
      <c r="D13" s="1">
        <v>5</v>
      </c>
      <c r="E13" s="1">
        <v>1</v>
      </c>
      <c r="F13" s="1" t="s">
        <v>11</v>
      </c>
      <c r="G13" s="1">
        <v>470000</v>
      </c>
      <c r="H13" s="1">
        <v>1980000</v>
      </c>
    </row>
    <row r="14" spans="1:8" x14ac:dyDescent="0.25">
      <c r="A14" s="2">
        <v>44609</v>
      </c>
      <c r="B14" s="1" t="s">
        <v>12</v>
      </c>
      <c r="C14" s="1" t="s">
        <v>7</v>
      </c>
      <c r="D14" s="1">
        <v>6</v>
      </c>
      <c r="E14" s="1">
        <v>1</v>
      </c>
      <c r="F14" s="1" t="s">
        <v>9</v>
      </c>
      <c r="G14" s="1">
        <v>320000</v>
      </c>
      <c r="H14" s="1">
        <v>1260000</v>
      </c>
    </row>
    <row r="15" spans="1:8" x14ac:dyDescent="0.25">
      <c r="A15" s="2">
        <v>44609</v>
      </c>
      <c r="B15" s="1" t="s">
        <v>12</v>
      </c>
      <c r="C15" s="1" t="s">
        <v>7</v>
      </c>
      <c r="D15" s="1">
        <v>6</v>
      </c>
      <c r="E15" s="1">
        <v>1</v>
      </c>
      <c r="F15" s="1" t="s">
        <v>10</v>
      </c>
      <c r="G15" s="1">
        <v>620000</v>
      </c>
      <c r="H15" s="1">
        <v>1350000</v>
      </c>
    </row>
    <row r="16" spans="1:8" x14ac:dyDescent="0.25">
      <c r="A16" s="2">
        <v>44609</v>
      </c>
      <c r="B16" s="1" t="s">
        <v>12</v>
      </c>
      <c r="C16" s="1" t="s">
        <v>7</v>
      </c>
      <c r="D16" s="1">
        <v>6</v>
      </c>
      <c r="E16" s="1">
        <v>1</v>
      </c>
      <c r="F16" s="1" t="s">
        <v>11</v>
      </c>
      <c r="G16" s="1">
        <v>1310000</v>
      </c>
      <c r="H16" s="1">
        <v>1150000</v>
      </c>
    </row>
    <row r="17" spans="1:8" x14ac:dyDescent="0.25">
      <c r="A17" s="2">
        <v>44609</v>
      </c>
      <c r="B17" s="1" t="s">
        <v>12</v>
      </c>
      <c r="C17" s="1" t="s">
        <v>7</v>
      </c>
      <c r="D17" s="1">
        <v>7</v>
      </c>
      <c r="E17" s="1">
        <v>1</v>
      </c>
      <c r="F17" s="1" t="s">
        <v>9</v>
      </c>
      <c r="G17" s="1">
        <f>53*1000*10</f>
        <v>530000</v>
      </c>
      <c r="H17" s="1">
        <f>192*1000*10</f>
        <v>1920000</v>
      </c>
    </row>
    <row r="18" spans="1:8" x14ac:dyDescent="0.25">
      <c r="A18" s="2">
        <v>44609</v>
      </c>
      <c r="B18" s="1" t="s">
        <v>12</v>
      </c>
      <c r="C18" s="1" t="s">
        <v>7</v>
      </c>
      <c r="D18" s="1">
        <v>7</v>
      </c>
      <c r="E18" s="1">
        <v>1</v>
      </c>
      <c r="F18" s="1" t="s">
        <v>10</v>
      </c>
      <c r="G18" s="1">
        <f>63*1000*10</f>
        <v>630000</v>
      </c>
      <c r="H18" s="1">
        <f>140*1000*10</f>
        <v>1400000</v>
      </c>
    </row>
    <row r="19" spans="1:8" x14ac:dyDescent="0.25">
      <c r="A19" s="2">
        <v>44609</v>
      </c>
      <c r="B19" s="1" t="s">
        <v>12</v>
      </c>
      <c r="C19" s="1" t="s">
        <v>7</v>
      </c>
      <c r="D19" s="1">
        <v>7</v>
      </c>
      <c r="E19" s="1">
        <v>1</v>
      </c>
      <c r="F19" s="1" t="s">
        <v>11</v>
      </c>
      <c r="G19" s="1">
        <f>168*1000*10</f>
        <v>1680000</v>
      </c>
      <c r="H19" s="1">
        <f>223*1000*10</f>
        <v>2230000</v>
      </c>
    </row>
    <row r="20" spans="1:8" x14ac:dyDescent="0.25">
      <c r="A20" s="2">
        <v>44609</v>
      </c>
      <c r="B20" s="1" t="s">
        <v>12</v>
      </c>
      <c r="C20" s="1" t="s">
        <v>7</v>
      </c>
      <c r="D20" s="1">
        <v>8</v>
      </c>
      <c r="E20" s="1">
        <v>1</v>
      </c>
      <c r="F20" s="1" t="s">
        <v>9</v>
      </c>
      <c r="G20" s="1">
        <f>59*1000*10</f>
        <v>590000</v>
      </c>
      <c r="H20" s="1">
        <f>176*1000*10</f>
        <v>1760000</v>
      </c>
    </row>
    <row r="21" spans="1:8" x14ac:dyDescent="0.25">
      <c r="A21" s="2">
        <v>44609</v>
      </c>
      <c r="B21" s="1" t="s">
        <v>12</v>
      </c>
      <c r="C21" s="1" t="s">
        <v>7</v>
      </c>
      <c r="D21" s="1">
        <v>8</v>
      </c>
      <c r="E21" s="1">
        <v>1</v>
      </c>
      <c r="F21" s="1" t="s">
        <v>10</v>
      </c>
      <c r="G21" s="1">
        <f>41*1000*10</f>
        <v>410000</v>
      </c>
      <c r="H21" s="1">
        <f>115*1000*10</f>
        <v>1150000</v>
      </c>
    </row>
    <row r="22" spans="1:8" x14ac:dyDescent="0.25">
      <c r="A22" s="2">
        <v>44609</v>
      </c>
      <c r="B22" s="1" t="s">
        <v>12</v>
      </c>
      <c r="C22" s="1" t="s">
        <v>7</v>
      </c>
      <c r="D22" s="1">
        <v>8</v>
      </c>
      <c r="E22" s="1">
        <v>1</v>
      </c>
      <c r="F22" s="1" t="s">
        <v>11</v>
      </c>
      <c r="G22" s="1">
        <f>91*1000*10</f>
        <v>910000</v>
      </c>
      <c r="H22" s="1">
        <f>187*1000*10</f>
        <v>1870000</v>
      </c>
    </row>
    <row r="23" spans="1:8" x14ac:dyDescent="0.25">
      <c r="A23" s="2">
        <v>44616</v>
      </c>
      <c r="B23" s="1" t="s">
        <v>12</v>
      </c>
      <c r="C23" s="1" t="s">
        <v>7</v>
      </c>
      <c r="D23" s="1">
        <v>5</v>
      </c>
      <c r="E23" s="1">
        <v>2</v>
      </c>
      <c r="F23" s="1" t="s">
        <v>9</v>
      </c>
      <c r="G23" s="1">
        <f>188*1000*10</f>
        <v>1880000</v>
      </c>
      <c r="H23" s="1">
        <f>57*1000*10</f>
        <v>570000</v>
      </c>
    </row>
    <row r="24" spans="1:8" x14ac:dyDescent="0.25">
      <c r="A24" s="2">
        <v>44616</v>
      </c>
      <c r="B24" s="1" t="s">
        <v>12</v>
      </c>
      <c r="C24" s="1" t="s">
        <v>7</v>
      </c>
      <c r="D24" s="1">
        <v>5</v>
      </c>
      <c r="E24" s="1">
        <v>2</v>
      </c>
      <c r="F24" s="1" t="s">
        <v>10</v>
      </c>
      <c r="G24" s="1">
        <f>28*1000*10</f>
        <v>280000</v>
      </c>
      <c r="H24" s="1">
        <f>139*1000*10</f>
        <v>1390000</v>
      </c>
    </row>
    <row r="25" spans="1:8" x14ac:dyDescent="0.25">
      <c r="A25" s="2">
        <v>44616</v>
      </c>
      <c r="B25" s="1" t="s">
        <v>12</v>
      </c>
      <c r="C25" s="1" t="s">
        <v>7</v>
      </c>
      <c r="D25" s="1">
        <v>6</v>
      </c>
      <c r="E25" s="1">
        <v>2</v>
      </c>
      <c r="F25" s="1" t="s">
        <v>9</v>
      </c>
      <c r="G25" s="1">
        <f>21*1000*10</f>
        <v>210000</v>
      </c>
      <c r="H25" s="1">
        <f>61*1000*10</f>
        <v>610000</v>
      </c>
    </row>
    <row r="26" spans="1:8" x14ac:dyDescent="0.25">
      <c r="A26" s="2">
        <v>44616</v>
      </c>
      <c r="B26" s="1" t="s">
        <v>12</v>
      </c>
      <c r="C26" s="1" t="s">
        <v>7</v>
      </c>
      <c r="D26" s="1">
        <v>6</v>
      </c>
      <c r="E26" s="1">
        <v>2</v>
      </c>
      <c r="F26" s="1" t="s">
        <v>10</v>
      </c>
      <c r="G26" s="1">
        <f>9*1000*10</f>
        <v>90000</v>
      </c>
      <c r="H26" s="1">
        <f>73*1000*10</f>
        <v>730000</v>
      </c>
    </row>
    <row r="27" spans="1:8" x14ac:dyDescent="0.25">
      <c r="A27" s="2">
        <v>44616</v>
      </c>
      <c r="B27" s="1" t="s">
        <v>12</v>
      </c>
      <c r="C27" s="1" t="s">
        <v>7</v>
      </c>
      <c r="D27" s="1">
        <v>7</v>
      </c>
      <c r="E27" s="1">
        <v>2</v>
      </c>
      <c r="F27" s="1" t="s">
        <v>9</v>
      </c>
      <c r="G27" s="1">
        <f>13*1000*10</f>
        <v>130000</v>
      </c>
      <c r="H27" s="1">
        <f>83*1000*10</f>
        <v>830000</v>
      </c>
    </row>
    <row r="28" spans="1:8" x14ac:dyDescent="0.25">
      <c r="A28" s="2">
        <v>44616</v>
      </c>
      <c r="B28" s="1" t="s">
        <v>12</v>
      </c>
      <c r="C28" s="1" t="s">
        <v>7</v>
      </c>
      <c r="D28" s="1">
        <v>7</v>
      </c>
      <c r="E28" s="1">
        <v>2</v>
      </c>
      <c r="F28" s="1" t="s">
        <v>10</v>
      </c>
      <c r="G28" s="1">
        <f>18*1000*10</f>
        <v>180000</v>
      </c>
      <c r="H28" s="1">
        <f>49*1000*10</f>
        <v>490000</v>
      </c>
    </row>
    <row r="29" spans="1:8" x14ac:dyDescent="0.25">
      <c r="A29" s="2">
        <v>44616</v>
      </c>
      <c r="B29" s="1" t="s">
        <v>12</v>
      </c>
      <c r="C29" s="1" t="s">
        <v>7</v>
      </c>
      <c r="D29" s="1">
        <v>8</v>
      </c>
      <c r="E29" s="1">
        <v>2</v>
      </c>
      <c r="F29" s="1" t="s">
        <v>9</v>
      </c>
      <c r="G29" s="1">
        <f>168*1000*10</f>
        <v>1680000</v>
      </c>
      <c r="H29" s="1">
        <f>31*1000*10</f>
        <v>310000</v>
      </c>
    </row>
    <row r="30" spans="1:8" x14ac:dyDescent="0.25">
      <c r="A30" s="2">
        <v>44616</v>
      </c>
      <c r="B30" s="1" t="s">
        <v>12</v>
      </c>
      <c r="C30" s="1" t="s">
        <v>7</v>
      </c>
      <c r="D30" s="1">
        <v>8</v>
      </c>
      <c r="E30" s="1">
        <v>2</v>
      </c>
      <c r="F30" s="1" t="s">
        <v>10</v>
      </c>
      <c r="G30" s="1">
        <f>172*1000*10</f>
        <v>1720000</v>
      </c>
      <c r="H30" s="1">
        <f>41*1000*10</f>
        <v>410000</v>
      </c>
    </row>
    <row r="31" spans="1:8" x14ac:dyDescent="0.25">
      <c r="A31" s="2">
        <v>44627</v>
      </c>
      <c r="B31" s="1" t="s">
        <v>12</v>
      </c>
      <c r="C31" s="1" t="s">
        <v>7</v>
      </c>
      <c r="D31" s="1">
        <v>5</v>
      </c>
      <c r="E31" s="1">
        <v>3</v>
      </c>
      <c r="F31" s="1" t="s">
        <v>9</v>
      </c>
      <c r="G31" s="1">
        <f>182*1000*10</f>
        <v>1820000</v>
      </c>
      <c r="H31" s="1">
        <f>57*1000*10</f>
        <v>570000</v>
      </c>
    </row>
    <row r="32" spans="1:8" x14ac:dyDescent="0.25">
      <c r="A32" s="2">
        <v>44627</v>
      </c>
      <c r="B32" s="1" t="s">
        <v>12</v>
      </c>
      <c r="C32" s="1" t="s">
        <v>7</v>
      </c>
      <c r="D32" s="1">
        <v>5</v>
      </c>
      <c r="E32" s="1">
        <v>3</v>
      </c>
      <c r="F32" s="1" t="s">
        <v>10</v>
      </c>
      <c r="G32" s="1">
        <f>194*100*10</f>
        <v>194000</v>
      </c>
      <c r="H32" s="1">
        <f>188*100*10</f>
        <v>188000</v>
      </c>
    </row>
    <row r="33" spans="1:8" x14ac:dyDescent="0.25">
      <c r="A33" s="2">
        <v>44627</v>
      </c>
      <c r="B33" s="1" t="s">
        <v>12</v>
      </c>
      <c r="C33" s="1" t="s">
        <v>7</v>
      </c>
      <c r="D33" s="1">
        <v>5</v>
      </c>
      <c r="E33" s="1">
        <v>3</v>
      </c>
      <c r="F33" s="1" t="s">
        <v>11</v>
      </c>
      <c r="G33" s="1">
        <f>128*1000*10</f>
        <v>1280000</v>
      </c>
      <c r="H33" s="1">
        <f>172*1000*10</f>
        <v>1720000</v>
      </c>
    </row>
    <row r="34" spans="1:8" x14ac:dyDescent="0.25">
      <c r="A34" s="2">
        <v>44627</v>
      </c>
      <c r="B34" s="1" t="s">
        <v>12</v>
      </c>
      <c r="C34" s="1" t="s">
        <v>7</v>
      </c>
      <c r="D34" s="1">
        <v>6</v>
      </c>
      <c r="E34" s="1">
        <v>3</v>
      </c>
      <c r="F34" s="1" t="s">
        <v>9</v>
      </c>
      <c r="G34" s="1">
        <f>23*1000*10</f>
        <v>230000</v>
      </c>
      <c r="H34" s="1">
        <f>84*1000*10</f>
        <v>840000</v>
      </c>
    </row>
    <row r="35" spans="1:8" x14ac:dyDescent="0.25">
      <c r="A35" s="2">
        <v>44627</v>
      </c>
      <c r="B35" s="1" t="s">
        <v>12</v>
      </c>
      <c r="C35" s="1" t="s">
        <v>7</v>
      </c>
      <c r="D35" s="1">
        <v>6</v>
      </c>
      <c r="E35" s="1">
        <v>3</v>
      </c>
      <c r="F35" s="1" t="s">
        <v>10</v>
      </c>
      <c r="G35" s="1">
        <f>210*1000*10</f>
        <v>2100000</v>
      </c>
      <c r="H35" s="1">
        <f>102*1000*10</f>
        <v>1020000</v>
      </c>
    </row>
    <row r="36" spans="1:8" x14ac:dyDescent="0.25">
      <c r="A36" s="2">
        <v>44627</v>
      </c>
      <c r="B36" s="1" t="s">
        <v>12</v>
      </c>
      <c r="C36" s="1" t="s">
        <v>7</v>
      </c>
      <c r="D36" s="1">
        <v>6</v>
      </c>
      <c r="E36" s="1">
        <v>3</v>
      </c>
      <c r="F36" s="1" t="s">
        <v>11</v>
      </c>
      <c r="G36" s="1">
        <f>172*1000*10</f>
        <v>1720000</v>
      </c>
      <c r="H36" s="1">
        <f>59*1000*10</f>
        <v>590000</v>
      </c>
    </row>
    <row r="37" spans="1:8" x14ac:dyDescent="0.25">
      <c r="A37" s="2">
        <v>44627</v>
      </c>
      <c r="B37" s="1" t="s">
        <v>12</v>
      </c>
      <c r="C37" s="1" t="s">
        <v>7</v>
      </c>
      <c r="D37" s="1">
        <v>7</v>
      </c>
      <c r="E37" s="1">
        <v>3</v>
      </c>
      <c r="F37" s="1" t="s">
        <v>9</v>
      </c>
      <c r="G37" s="1">
        <f>176*1000*10</f>
        <v>1760000</v>
      </c>
      <c r="H37" s="1">
        <f>81*1000*10</f>
        <v>810000</v>
      </c>
    </row>
    <row r="38" spans="1:8" x14ac:dyDescent="0.25">
      <c r="A38" s="2">
        <v>44627</v>
      </c>
      <c r="B38" s="1" t="s">
        <v>12</v>
      </c>
      <c r="C38" s="1" t="s">
        <v>7</v>
      </c>
      <c r="D38" s="1">
        <v>7</v>
      </c>
      <c r="E38" s="1">
        <v>3</v>
      </c>
      <c r="F38" s="1" t="s">
        <v>10</v>
      </c>
      <c r="G38" s="1">
        <f>128*1000*10</f>
        <v>1280000</v>
      </c>
      <c r="H38" s="1">
        <f>62*1000*10</f>
        <v>620000</v>
      </c>
    </row>
    <row r="39" spans="1:8" x14ac:dyDescent="0.25">
      <c r="A39" s="2">
        <v>44627</v>
      </c>
      <c r="B39" s="1" t="s">
        <v>12</v>
      </c>
      <c r="C39" s="1" t="s">
        <v>7</v>
      </c>
      <c r="D39" s="1">
        <v>7</v>
      </c>
      <c r="E39" s="1">
        <v>3</v>
      </c>
      <c r="F39" s="1" t="s">
        <v>11</v>
      </c>
      <c r="G39" s="1">
        <f>184*1000*10</f>
        <v>1840000</v>
      </c>
      <c r="H39" s="1">
        <f>76*1000*10</f>
        <v>760000</v>
      </c>
    </row>
    <row r="40" spans="1:8" x14ac:dyDescent="0.25">
      <c r="A40" s="2">
        <v>44627</v>
      </c>
      <c r="B40" s="1" t="s">
        <v>12</v>
      </c>
      <c r="C40" s="1" t="s">
        <v>7</v>
      </c>
      <c r="D40" s="1">
        <v>8</v>
      </c>
      <c r="E40" s="1">
        <v>3</v>
      </c>
      <c r="F40" s="1" t="s">
        <v>9</v>
      </c>
      <c r="G40" s="1">
        <f>162*1000*10</f>
        <v>1620000</v>
      </c>
      <c r="H40" s="1">
        <f>63*1000*10</f>
        <v>630000</v>
      </c>
    </row>
    <row r="41" spans="1:8" x14ac:dyDescent="0.25">
      <c r="A41" s="2">
        <v>44627</v>
      </c>
      <c r="B41" s="1" t="s">
        <v>12</v>
      </c>
      <c r="C41" s="1" t="s">
        <v>7</v>
      </c>
      <c r="D41" s="1">
        <v>8</v>
      </c>
      <c r="E41" s="1">
        <v>3</v>
      </c>
      <c r="F41" s="1" t="s">
        <v>10</v>
      </c>
      <c r="G41" s="1">
        <f>160*1000*10</f>
        <v>1600000</v>
      </c>
      <c r="H41" s="1">
        <f>122*1000*10</f>
        <v>1220000</v>
      </c>
    </row>
    <row r="42" spans="1:8" x14ac:dyDescent="0.25">
      <c r="A42" s="2">
        <v>44627</v>
      </c>
      <c r="B42" s="1" t="s">
        <v>12</v>
      </c>
      <c r="C42" s="1" t="s">
        <v>7</v>
      </c>
      <c r="D42" s="1">
        <v>8</v>
      </c>
      <c r="E42" s="1">
        <v>3</v>
      </c>
      <c r="F42" s="1" t="s">
        <v>11</v>
      </c>
      <c r="G42" s="1">
        <f>88*1000*10</f>
        <v>880000</v>
      </c>
      <c r="H42" s="1">
        <f>97*1000*10</f>
        <v>970000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5FF8-6364-4AB7-BEED-36BD723F559F}">
  <dimension ref="A1:I31"/>
  <sheetViews>
    <sheetView tabSelected="1" workbookViewId="0">
      <selection activeCell="I14" sqref="I14:I15"/>
    </sheetView>
  </sheetViews>
  <sheetFormatPr defaultRowHeight="15" x14ac:dyDescent="0.25"/>
  <cols>
    <col min="1" max="1" width="16.5703125" style="1" customWidth="1"/>
    <col min="2" max="2" width="10.7109375" style="1" customWidth="1"/>
    <col min="3" max="3" width="14.140625" style="1" customWidth="1"/>
    <col min="4" max="4" width="12.7109375" style="1" customWidth="1"/>
    <col min="5" max="5" width="17.7109375" style="1" customWidth="1"/>
    <col min="6" max="7" width="9.140625" style="1"/>
    <col min="8" max="8" width="14.28515625" style="1" customWidth="1"/>
    <col min="9" max="9" width="13" style="1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14</v>
      </c>
      <c r="F1" s="1" t="s">
        <v>16</v>
      </c>
      <c r="G1" s="1" t="s">
        <v>8</v>
      </c>
      <c r="H1" s="1" t="s">
        <v>3</v>
      </c>
      <c r="I1" s="1" t="s">
        <v>4</v>
      </c>
    </row>
    <row r="2" spans="1:9" x14ac:dyDescent="0.25">
      <c r="A2" s="2">
        <v>44580</v>
      </c>
      <c r="B2" s="1" t="s">
        <v>5</v>
      </c>
      <c r="C2" s="1" t="s">
        <v>6</v>
      </c>
      <c r="D2" s="1">
        <v>1</v>
      </c>
      <c r="E2" s="1" t="s">
        <v>7</v>
      </c>
      <c r="F2" s="1">
        <v>1</v>
      </c>
      <c r="G2" s="1" t="s">
        <v>9</v>
      </c>
      <c r="H2" s="1">
        <v>600</v>
      </c>
      <c r="I2" s="1">
        <v>100</v>
      </c>
    </row>
    <row r="3" spans="1:9" x14ac:dyDescent="0.25">
      <c r="A3" s="2">
        <v>44580</v>
      </c>
      <c r="B3" s="1" t="s">
        <v>5</v>
      </c>
      <c r="C3" s="1" t="s">
        <v>6</v>
      </c>
      <c r="D3" s="1">
        <v>2</v>
      </c>
      <c r="E3" s="1" t="s">
        <v>13</v>
      </c>
      <c r="F3" s="1">
        <v>1</v>
      </c>
      <c r="G3" s="1" t="s">
        <v>9</v>
      </c>
      <c r="H3" s="1">
        <v>1100</v>
      </c>
      <c r="I3" s="1">
        <v>5000</v>
      </c>
    </row>
    <row r="4" spans="1:9" x14ac:dyDescent="0.25">
      <c r="A4" s="2">
        <v>44580</v>
      </c>
      <c r="B4" s="1" t="s">
        <v>5</v>
      </c>
      <c r="C4" s="1" t="s">
        <v>6</v>
      </c>
      <c r="D4" s="1">
        <v>3</v>
      </c>
      <c r="E4" s="1" t="s">
        <v>7</v>
      </c>
      <c r="F4" s="1">
        <v>1</v>
      </c>
      <c r="G4" s="1" t="s">
        <v>9</v>
      </c>
      <c r="H4" s="1">
        <v>700</v>
      </c>
      <c r="I4" s="1">
        <v>2100</v>
      </c>
    </row>
    <row r="5" spans="1:9" x14ac:dyDescent="0.25">
      <c r="A5" s="2">
        <v>44580</v>
      </c>
      <c r="B5" s="1" t="s">
        <v>5</v>
      </c>
      <c r="C5" s="1" t="s">
        <v>6</v>
      </c>
      <c r="D5" s="1">
        <v>4</v>
      </c>
      <c r="E5" s="1" t="s">
        <v>13</v>
      </c>
      <c r="F5" s="1">
        <v>1</v>
      </c>
      <c r="G5" s="1" t="s">
        <v>9</v>
      </c>
      <c r="H5" s="1">
        <v>700</v>
      </c>
      <c r="I5" s="1">
        <v>1000</v>
      </c>
    </row>
    <row r="6" spans="1:9" x14ac:dyDescent="0.25">
      <c r="A6" s="2">
        <v>44594</v>
      </c>
      <c r="B6" s="1" t="s">
        <v>5</v>
      </c>
      <c r="C6" s="1" t="s">
        <v>6</v>
      </c>
      <c r="D6" s="1">
        <v>1</v>
      </c>
      <c r="E6" s="1" t="s">
        <v>7</v>
      </c>
      <c r="F6" s="1">
        <v>2</v>
      </c>
      <c r="G6" s="1" t="s">
        <v>9</v>
      </c>
      <c r="H6" s="1">
        <f>32*10*10</f>
        <v>3200</v>
      </c>
      <c r="I6" s="1">
        <f>42*10*10</f>
        <v>4200</v>
      </c>
    </row>
    <row r="7" spans="1:9" x14ac:dyDescent="0.25">
      <c r="A7" s="2">
        <v>44594</v>
      </c>
      <c r="B7" s="1" t="s">
        <v>5</v>
      </c>
      <c r="C7" s="1" t="s">
        <v>6</v>
      </c>
      <c r="D7" s="1">
        <v>2</v>
      </c>
      <c r="E7" s="1" t="s">
        <v>13</v>
      </c>
      <c r="F7" s="1">
        <v>2</v>
      </c>
      <c r="G7" s="1" t="s">
        <v>9</v>
      </c>
      <c r="H7" s="1">
        <f>84*10</f>
        <v>840</v>
      </c>
      <c r="I7" s="1">
        <f>42*10</f>
        <v>420</v>
      </c>
    </row>
    <row r="8" spans="1:9" x14ac:dyDescent="0.25">
      <c r="A8" s="2">
        <v>44594</v>
      </c>
      <c r="B8" s="1" t="s">
        <v>5</v>
      </c>
      <c r="C8" s="1" t="s">
        <v>6</v>
      </c>
      <c r="D8" s="1">
        <v>3</v>
      </c>
      <c r="E8" s="1" t="s">
        <v>7</v>
      </c>
      <c r="F8" s="1">
        <v>2</v>
      </c>
      <c r="G8" s="1" t="s">
        <v>9</v>
      </c>
      <c r="H8" s="1">
        <f>80*10</f>
        <v>800</v>
      </c>
      <c r="I8" s="1">
        <f>20*10</f>
        <v>200</v>
      </c>
    </row>
    <row r="9" spans="1:9" x14ac:dyDescent="0.25">
      <c r="A9" s="2">
        <v>44594</v>
      </c>
      <c r="B9" s="1" t="s">
        <v>5</v>
      </c>
      <c r="C9" s="1" t="s">
        <v>6</v>
      </c>
      <c r="D9" s="1">
        <v>4</v>
      </c>
      <c r="E9" s="1" t="s">
        <v>13</v>
      </c>
      <c r="F9" s="1">
        <v>2</v>
      </c>
      <c r="G9" s="1" t="s">
        <v>9</v>
      </c>
      <c r="H9" s="1">
        <f>34*10*10</f>
        <v>3400</v>
      </c>
      <c r="I9" s="1">
        <f>33*10</f>
        <v>330</v>
      </c>
    </row>
    <row r="10" spans="1:9" x14ac:dyDescent="0.25">
      <c r="A10" s="2">
        <v>44608</v>
      </c>
      <c r="B10" s="1" t="s">
        <v>5</v>
      </c>
      <c r="C10" s="1" t="s">
        <v>6</v>
      </c>
      <c r="D10" s="1">
        <v>1</v>
      </c>
      <c r="E10" s="1" t="s">
        <v>7</v>
      </c>
      <c r="F10" s="1">
        <v>3</v>
      </c>
      <c r="G10" s="1" t="s">
        <v>9</v>
      </c>
      <c r="H10" s="1">
        <f>1*1*10</f>
        <v>10</v>
      </c>
      <c r="I10" s="1">
        <f>180*1*10</f>
        <v>1800</v>
      </c>
    </row>
    <row r="11" spans="1:9" x14ac:dyDescent="0.25">
      <c r="A11" s="2">
        <v>44608</v>
      </c>
      <c r="B11" s="1" t="s">
        <v>5</v>
      </c>
      <c r="C11" s="1" t="s">
        <v>6</v>
      </c>
      <c r="D11" s="1">
        <v>2</v>
      </c>
      <c r="E11" s="1" t="s">
        <v>13</v>
      </c>
      <c r="F11" s="1">
        <v>3</v>
      </c>
      <c r="G11" s="1" t="s">
        <v>9</v>
      </c>
      <c r="H11" s="1">
        <f>1*10*10</f>
        <v>100</v>
      </c>
      <c r="I11" s="1">
        <f>292*1*10</f>
        <v>2920</v>
      </c>
    </row>
    <row r="12" spans="1:9" x14ac:dyDescent="0.25">
      <c r="A12" s="2">
        <v>44608</v>
      </c>
      <c r="B12" s="1" t="s">
        <v>5</v>
      </c>
      <c r="C12" s="1" t="s">
        <v>6</v>
      </c>
      <c r="D12" s="1">
        <v>3</v>
      </c>
      <c r="E12" s="1" t="s">
        <v>7</v>
      </c>
      <c r="F12" s="1">
        <v>3</v>
      </c>
      <c r="G12" s="1" t="s">
        <v>9</v>
      </c>
      <c r="H12" s="1">
        <f>1*1*10</f>
        <v>10</v>
      </c>
      <c r="I12" s="1">
        <f>19*10*10</f>
        <v>1900</v>
      </c>
    </row>
    <row r="13" spans="1:9" x14ac:dyDescent="0.25">
      <c r="A13" s="2">
        <v>44608</v>
      </c>
      <c r="B13" s="1" t="s">
        <v>5</v>
      </c>
      <c r="C13" s="1" t="s">
        <v>6</v>
      </c>
      <c r="D13" s="1">
        <v>4</v>
      </c>
      <c r="E13" s="1" t="s">
        <v>13</v>
      </c>
      <c r="F13" s="1">
        <v>3</v>
      </c>
      <c r="G13" s="1" t="s">
        <v>9</v>
      </c>
      <c r="H13" s="1">
        <f>13*10*10</f>
        <v>1300</v>
      </c>
      <c r="I13" s="1">
        <f>17*10*10</f>
        <v>1700</v>
      </c>
    </row>
    <row r="14" spans="1:9" x14ac:dyDescent="0.25">
      <c r="A14" s="2">
        <v>44609</v>
      </c>
      <c r="B14" s="1" t="s">
        <v>12</v>
      </c>
      <c r="C14" s="1" t="s">
        <v>6</v>
      </c>
      <c r="D14" s="1" t="s">
        <v>17</v>
      </c>
      <c r="E14" s="1" t="s">
        <v>13</v>
      </c>
      <c r="F14" s="1">
        <v>1</v>
      </c>
      <c r="G14" s="1" t="s">
        <v>9</v>
      </c>
      <c r="H14" s="1">
        <v>0</v>
      </c>
      <c r="I14" s="1">
        <v>10</v>
      </c>
    </row>
    <row r="15" spans="1:9" x14ac:dyDescent="0.25">
      <c r="A15" s="2">
        <v>44609</v>
      </c>
      <c r="B15" s="1" t="s">
        <v>12</v>
      </c>
      <c r="C15" s="1" t="s">
        <v>6</v>
      </c>
      <c r="D15" s="1" t="s">
        <v>17</v>
      </c>
      <c r="E15" s="1" t="s">
        <v>13</v>
      </c>
      <c r="F15" s="1">
        <v>1</v>
      </c>
      <c r="G15" s="1" t="s">
        <v>10</v>
      </c>
      <c r="H15" s="1">
        <v>0</v>
      </c>
      <c r="I15" s="1">
        <v>10</v>
      </c>
    </row>
    <row r="16" spans="1:9" x14ac:dyDescent="0.25">
      <c r="A16" s="2">
        <v>44609</v>
      </c>
      <c r="B16" s="1" t="s">
        <v>12</v>
      </c>
      <c r="C16" s="1" t="s">
        <v>6</v>
      </c>
      <c r="D16" s="1" t="s">
        <v>17</v>
      </c>
      <c r="E16" s="1" t="s">
        <v>13</v>
      </c>
      <c r="F16" s="1">
        <v>1</v>
      </c>
      <c r="G16" s="1" t="s">
        <v>11</v>
      </c>
      <c r="H16" s="1">
        <v>0</v>
      </c>
      <c r="I16" s="1">
        <v>0</v>
      </c>
    </row>
    <row r="17" spans="1:9" x14ac:dyDescent="0.25">
      <c r="A17" s="2">
        <v>44609</v>
      </c>
      <c r="B17" s="1" t="s">
        <v>12</v>
      </c>
      <c r="C17" s="1" t="s">
        <v>6</v>
      </c>
      <c r="D17" s="1" t="s">
        <v>18</v>
      </c>
      <c r="E17" s="1" t="s">
        <v>7</v>
      </c>
      <c r="F17" s="1">
        <v>1</v>
      </c>
      <c r="G17" s="1" t="s">
        <v>9</v>
      </c>
      <c r="H17" s="1">
        <v>0</v>
      </c>
      <c r="I17" s="1">
        <v>0</v>
      </c>
    </row>
    <row r="18" spans="1:9" x14ac:dyDescent="0.25">
      <c r="A18" s="2">
        <v>44609</v>
      </c>
      <c r="B18" s="1" t="s">
        <v>12</v>
      </c>
      <c r="C18" s="1" t="s">
        <v>6</v>
      </c>
      <c r="D18" s="1" t="s">
        <v>18</v>
      </c>
      <c r="E18" s="1" t="s">
        <v>7</v>
      </c>
      <c r="F18" s="1">
        <v>1</v>
      </c>
      <c r="G18" s="1" t="s">
        <v>10</v>
      </c>
      <c r="H18" s="1">
        <f>4*1*10</f>
        <v>40</v>
      </c>
      <c r="I18" s="1">
        <v>0</v>
      </c>
    </row>
    <row r="19" spans="1:9" x14ac:dyDescent="0.25">
      <c r="A19" s="2">
        <v>44609</v>
      </c>
      <c r="B19" s="1" t="s">
        <v>12</v>
      </c>
      <c r="C19" s="1" t="s">
        <v>6</v>
      </c>
      <c r="D19" s="1" t="s">
        <v>18</v>
      </c>
      <c r="E19" s="1" t="s">
        <v>7</v>
      </c>
      <c r="F19" s="1">
        <v>1</v>
      </c>
      <c r="G19" s="1" t="s">
        <v>11</v>
      </c>
      <c r="H19" s="1">
        <f>2*1*10</f>
        <v>20</v>
      </c>
      <c r="I19" s="1">
        <v>0</v>
      </c>
    </row>
    <row r="20" spans="1:9" x14ac:dyDescent="0.25">
      <c r="A20" s="2">
        <v>44616</v>
      </c>
      <c r="B20" s="1" t="s">
        <v>12</v>
      </c>
      <c r="C20" s="1" t="s">
        <v>6</v>
      </c>
      <c r="D20" s="1" t="s">
        <v>17</v>
      </c>
      <c r="E20" s="1" t="s">
        <v>13</v>
      </c>
      <c r="F20" s="1">
        <v>2</v>
      </c>
      <c r="G20" s="1" t="s">
        <v>9</v>
      </c>
      <c r="H20" s="1">
        <f>0*1*10</f>
        <v>0</v>
      </c>
      <c r="I20" s="1">
        <f>0*1*10</f>
        <v>0</v>
      </c>
    </row>
    <row r="21" spans="1:9" x14ac:dyDescent="0.25">
      <c r="A21" s="2">
        <v>44616</v>
      </c>
      <c r="B21" s="1" t="s">
        <v>12</v>
      </c>
      <c r="C21" s="1" t="s">
        <v>6</v>
      </c>
      <c r="D21" s="1" t="s">
        <v>17</v>
      </c>
      <c r="E21" s="1" t="s">
        <v>13</v>
      </c>
      <c r="F21" s="1">
        <v>2</v>
      </c>
      <c r="G21" s="1" t="s">
        <v>10</v>
      </c>
      <c r="H21" s="1">
        <f>0*1*10</f>
        <v>0</v>
      </c>
      <c r="I21" s="1">
        <f>0*1810</f>
        <v>0</v>
      </c>
    </row>
    <row r="22" spans="1:9" x14ac:dyDescent="0.25">
      <c r="A22" s="2">
        <v>44616</v>
      </c>
      <c r="B22" s="1" t="s">
        <v>12</v>
      </c>
      <c r="C22" s="1" t="s">
        <v>6</v>
      </c>
      <c r="D22" s="1" t="s">
        <v>17</v>
      </c>
      <c r="E22" s="1" t="s">
        <v>13</v>
      </c>
      <c r="F22" s="1">
        <v>2</v>
      </c>
      <c r="G22" s="1" t="s">
        <v>11</v>
      </c>
      <c r="H22" s="1">
        <f>3*1*10</f>
        <v>30</v>
      </c>
      <c r="I22" s="1">
        <f>0*1*10</f>
        <v>0</v>
      </c>
    </row>
    <row r="23" spans="1:9" x14ac:dyDescent="0.25">
      <c r="A23" s="2">
        <v>44616</v>
      </c>
      <c r="B23" s="1" t="s">
        <v>12</v>
      </c>
      <c r="C23" s="1" t="s">
        <v>6</v>
      </c>
      <c r="D23" s="1" t="s">
        <v>18</v>
      </c>
      <c r="E23" s="1" t="s">
        <v>7</v>
      </c>
      <c r="F23" s="1">
        <v>2</v>
      </c>
      <c r="G23" s="1" t="s">
        <v>9</v>
      </c>
      <c r="H23" s="1">
        <f>1*1*10</f>
        <v>10</v>
      </c>
      <c r="I23" s="1">
        <f>0*1*10</f>
        <v>0</v>
      </c>
    </row>
    <row r="24" spans="1:9" x14ac:dyDescent="0.25">
      <c r="A24" s="2">
        <v>44616</v>
      </c>
      <c r="B24" s="1" t="s">
        <v>12</v>
      </c>
      <c r="C24" s="1" t="s">
        <v>6</v>
      </c>
      <c r="D24" s="1" t="s">
        <v>18</v>
      </c>
      <c r="E24" s="1" t="s">
        <v>7</v>
      </c>
      <c r="F24" s="1">
        <v>2</v>
      </c>
      <c r="G24" s="1" t="s">
        <v>10</v>
      </c>
      <c r="H24" s="1">
        <f>0*1*10</f>
        <v>0</v>
      </c>
      <c r="I24" s="1">
        <f>0*1*10</f>
        <v>0</v>
      </c>
    </row>
    <row r="25" spans="1:9" x14ac:dyDescent="0.25">
      <c r="A25" s="2">
        <v>44616</v>
      </c>
      <c r="B25" s="1" t="s">
        <v>12</v>
      </c>
      <c r="C25" s="1" t="s">
        <v>6</v>
      </c>
      <c r="D25" s="1" t="s">
        <v>18</v>
      </c>
      <c r="E25" s="1" t="s">
        <v>7</v>
      </c>
      <c r="F25" s="1">
        <v>2</v>
      </c>
      <c r="G25" s="1" t="s">
        <v>11</v>
      </c>
      <c r="H25" s="1">
        <f>0*1*10</f>
        <v>0</v>
      </c>
      <c r="I25" s="1">
        <f>0*1*10</f>
        <v>0</v>
      </c>
    </row>
    <row r="26" spans="1:9" x14ac:dyDescent="0.25">
      <c r="A26" s="2">
        <v>44627</v>
      </c>
      <c r="B26" s="1" t="s">
        <v>12</v>
      </c>
      <c r="C26" s="1" t="s">
        <v>6</v>
      </c>
      <c r="D26" s="1" t="s">
        <v>17</v>
      </c>
      <c r="E26" s="1" t="s">
        <v>13</v>
      </c>
      <c r="F26" s="1">
        <v>3</v>
      </c>
      <c r="G26" s="1" t="s">
        <v>9</v>
      </c>
      <c r="H26" s="1">
        <v>0</v>
      </c>
      <c r="I26" s="1">
        <v>0</v>
      </c>
    </row>
    <row r="27" spans="1:9" x14ac:dyDescent="0.25">
      <c r="A27" s="2">
        <v>44627</v>
      </c>
      <c r="B27" s="1" t="s">
        <v>12</v>
      </c>
      <c r="C27" s="1" t="s">
        <v>6</v>
      </c>
      <c r="D27" s="1" t="s">
        <v>17</v>
      </c>
      <c r="E27" s="1" t="s">
        <v>13</v>
      </c>
      <c r="F27" s="1">
        <v>3</v>
      </c>
      <c r="G27" s="1" t="s">
        <v>10</v>
      </c>
      <c r="H27" s="1">
        <v>0</v>
      </c>
      <c r="I27" s="1">
        <v>0</v>
      </c>
    </row>
    <row r="28" spans="1:9" x14ac:dyDescent="0.25">
      <c r="A28" s="2">
        <v>44627</v>
      </c>
      <c r="B28" s="1" t="s">
        <v>12</v>
      </c>
      <c r="C28" s="1" t="s">
        <v>6</v>
      </c>
      <c r="D28" s="1" t="s">
        <v>17</v>
      </c>
      <c r="E28" s="1" t="s">
        <v>13</v>
      </c>
      <c r="F28" s="1">
        <v>3</v>
      </c>
      <c r="G28" s="1" t="s">
        <v>11</v>
      </c>
      <c r="H28" s="1">
        <v>0</v>
      </c>
      <c r="I28" s="1">
        <v>0</v>
      </c>
    </row>
    <row r="29" spans="1:9" x14ac:dyDescent="0.25">
      <c r="A29" s="2">
        <v>44627</v>
      </c>
      <c r="B29" s="1" t="s">
        <v>12</v>
      </c>
      <c r="C29" s="1" t="s">
        <v>6</v>
      </c>
      <c r="D29" s="1" t="s">
        <v>18</v>
      </c>
      <c r="E29" s="1" t="s">
        <v>7</v>
      </c>
      <c r="F29" s="1">
        <v>3</v>
      </c>
      <c r="G29" s="1" t="s">
        <v>9</v>
      </c>
      <c r="H29" s="1">
        <f>0*1*10</f>
        <v>0</v>
      </c>
      <c r="I29" s="1">
        <f>0*1*10</f>
        <v>0</v>
      </c>
    </row>
    <row r="30" spans="1:9" x14ac:dyDescent="0.25">
      <c r="A30" s="2">
        <v>44627</v>
      </c>
      <c r="B30" s="1" t="s">
        <v>12</v>
      </c>
      <c r="C30" s="1" t="s">
        <v>6</v>
      </c>
      <c r="D30" s="1" t="s">
        <v>18</v>
      </c>
      <c r="E30" s="1" t="s">
        <v>7</v>
      </c>
      <c r="F30" s="1">
        <v>3</v>
      </c>
      <c r="G30" s="1" t="s">
        <v>10</v>
      </c>
      <c r="H30" s="1">
        <f>0*1*10</f>
        <v>0</v>
      </c>
      <c r="I30" s="1">
        <f>0*1*10</f>
        <v>0</v>
      </c>
    </row>
    <row r="31" spans="1:9" x14ac:dyDescent="0.25">
      <c r="A31" s="2">
        <v>44627</v>
      </c>
      <c r="B31" s="1" t="s">
        <v>12</v>
      </c>
      <c r="C31" s="1" t="s">
        <v>6</v>
      </c>
      <c r="D31" s="1" t="s">
        <v>18</v>
      </c>
      <c r="E31" s="1" t="s">
        <v>7</v>
      </c>
      <c r="F31" s="1">
        <v>3</v>
      </c>
      <c r="G31" s="1" t="s">
        <v>11</v>
      </c>
      <c r="H31" s="1">
        <f>1*1*10</f>
        <v>10</v>
      </c>
      <c r="I31" s="1">
        <f>0*1*10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A42F-2DA4-4CA1-B241-D6DFC5A7ED22}">
  <dimension ref="B2:U36"/>
  <sheetViews>
    <sheetView topLeftCell="A4" workbookViewId="0">
      <selection activeCell="I28" sqref="I28:N28"/>
    </sheetView>
  </sheetViews>
  <sheetFormatPr defaultRowHeight="15" x14ac:dyDescent="0.25"/>
  <cols>
    <col min="2" max="2" width="11.7109375" customWidth="1"/>
    <col min="4" max="4" width="12.140625" customWidth="1"/>
    <col min="5" max="5" width="12" customWidth="1"/>
    <col min="6" max="6" width="11.42578125" customWidth="1"/>
    <col min="9" max="9" width="11.7109375" customWidth="1"/>
    <col min="10" max="10" width="9.85546875" customWidth="1"/>
    <col min="11" max="11" width="10.28515625" customWidth="1"/>
    <col min="12" max="12" width="13.42578125" customWidth="1"/>
    <col min="13" max="13" width="11.85546875" customWidth="1"/>
    <col min="14" max="14" width="11.140625" customWidth="1"/>
    <col min="16" max="16" width="10.85546875" customWidth="1"/>
    <col min="17" max="17" width="10.42578125" customWidth="1"/>
    <col min="18" max="18" width="11.140625" customWidth="1"/>
    <col min="19" max="19" width="12" customWidth="1"/>
    <col min="20" max="20" width="13" customWidth="1"/>
    <col min="21" max="21" width="12" customWidth="1"/>
  </cols>
  <sheetData>
    <row r="2" spans="2:21" x14ac:dyDescent="0.25">
      <c r="B2" s="5" t="s">
        <v>38</v>
      </c>
      <c r="C2" s="5"/>
      <c r="D2" s="5"/>
      <c r="E2" s="5"/>
      <c r="F2" s="5"/>
      <c r="I2" s="5" t="s">
        <v>30</v>
      </c>
      <c r="J2" s="5"/>
      <c r="K2" s="5"/>
      <c r="L2" s="5"/>
      <c r="M2" s="5"/>
      <c r="N2" s="5"/>
      <c r="P2" s="5" t="s">
        <v>31</v>
      </c>
      <c r="Q2" s="5"/>
      <c r="R2" s="5"/>
      <c r="S2" s="5"/>
      <c r="T2" s="5"/>
      <c r="U2" s="5"/>
    </row>
    <row r="4" spans="2:21" x14ac:dyDescent="0.25">
      <c r="D4" s="4" t="s">
        <v>25</v>
      </c>
      <c r="E4" s="4" t="s">
        <v>23</v>
      </c>
      <c r="F4" s="4" t="s">
        <v>24</v>
      </c>
      <c r="L4" s="4" t="s">
        <v>25</v>
      </c>
      <c r="M4" s="4" t="s">
        <v>23</v>
      </c>
      <c r="N4" s="4" t="s">
        <v>24</v>
      </c>
      <c r="S4" s="4" t="s">
        <v>25</v>
      </c>
      <c r="T4" s="4" t="s">
        <v>23</v>
      </c>
      <c r="U4" s="4" t="s">
        <v>24</v>
      </c>
    </row>
    <row r="5" spans="2:21" x14ac:dyDescent="0.25">
      <c r="B5" s="2">
        <v>44582</v>
      </c>
      <c r="C5" s="1" t="s">
        <v>20</v>
      </c>
      <c r="D5" s="3">
        <f>AVERAGE(Soup!G2:G4)</f>
        <v>5833.333333333333</v>
      </c>
      <c r="E5" s="3">
        <f>STDEV(Soup!G2:G4)</f>
        <v>2811.2867753634341</v>
      </c>
      <c r="F5" s="3">
        <f>E5/SQRT(3)</f>
        <v>1623.0971765253137</v>
      </c>
      <c r="I5" s="2">
        <v>44609</v>
      </c>
      <c r="J5" s="2" t="s">
        <v>26</v>
      </c>
      <c r="K5" s="1" t="s">
        <v>20</v>
      </c>
      <c r="L5" s="3">
        <f>AVERAGE(Soup!G11:G13)</f>
        <v>560000</v>
      </c>
      <c r="M5" s="3">
        <f>STDEV(Soup!G11:G13)</f>
        <v>115325.62594670797</v>
      </c>
      <c r="N5" s="3">
        <f>M5/SQRT(3)</f>
        <v>66583.28118479393</v>
      </c>
      <c r="P5" s="2">
        <v>44609</v>
      </c>
      <c r="Q5" s="2" t="s">
        <v>26</v>
      </c>
      <c r="R5" s="1" t="s">
        <v>20</v>
      </c>
      <c r="S5" s="3">
        <f>AVERAGE(Soup!H11:H13)</f>
        <v>1740000</v>
      </c>
      <c r="T5" s="3">
        <f>STDEV(Soup!H11:H13)</f>
        <v>274954.54169735039</v>
      </c>
      <c r="U5" s="3">
        <f>T5/SQRT(3)</f>
        <v>158745.07866387544</v>
      </c>
    </row>
    <row r="6" spans="2:21" x14ac:dyDescent="0.25">
      <c r="B6" s="2">
        <v>44594</v>
      </c>
      <c r="C6" s="1" t="s">
        <v>21</v>
      </c>
      <c r="D6" s="3">
        <f>AVERAGE(Soup!G5:G7)</f>
        <v>336.66666666666669</v>
      </c>
      <c r="E6" s="3">
        <f>STDEV(Soup!G5:G7)</f>
        <v>75.05553499465141</v>
      </c>
      <c r="F6" s="3">
        <f>E6/SQRT(3)</f>
        <v>43.333333333333371</v>
      </c>
      <c r="I6" s="2">
        <v>44609</v>
      </c>
      <c r="J6" s="2" t="s">
        <v>27</v>
      </c>
      <c r="K6" s="1" t="s">
        <v>20</v>
      </c>
      <c r="L6" s="3">
        <f>AVERAGE(Soup!G14:G16)</f>
        <v>750000</v>
      </c>
      <c r="M6" s="3">
        <f>STDEV(Soup!G14:G16)</f>
        <v>507641.6058598822</v>
      </c>
      <c r="N6" s="3">
        <f>M6/SQRT(3)</f>
        <v>293087.01779505692</v>
      </c>
      <c r="P6" s="2">
        <v>44609</v>
      </c>
      <c r="Q6" s="2" t="s">
        <v>27</v>
      </c>
      <c r="R6" s="1" t="s">
        <v>20</v>
      </c>
      <c r="S6" s="3">
        <f>AVERAGE(Soup!H14:H16)</f>
        <v>1253333.3333333333</v>
      </c>
      <c r="T6" s="3">
        <f>STDEV(Soup!H14:H16)</f>
        <v>100166.52800877813</v>
      </c>
      <c r="U6" s="3">
        <f t="shared" ref="U6:U16" si="0">T6/SQRT(3)</f>
        <v>57831.171909658246</v>
      </c>
    </row>
    <row r="7" spans="2:21" x14ac:dyDescent="0.25">
      <c r="B7" s="2">
        <v>44608</v>
      </c>
      <c r="C7" s="1" t="s">
        <v>22</v>
      </c>
      <c r="D7" s="3">
        <f>AVERAGE(Soup!G8:G10)</f>
        <v>177003.33333333334</v>
      </c>
      <c r="E7" s="3">
        <f>STDEV(Soup!G8:G10)</f>
        <v>156381.71259240428</v>
      </c>
      <c r="F7" s="3">
        <f>E7/SQRT(3)</f>
        <v>90287.023861559297</v>
      </c>
      <c r="I7" s="2">
        <v>44609</v>
      </c>
      <c r="J7" s="2" t="s">
        <v>28</v>
      </c>
      <c r="K7" s="1" t="s">
        <v>20</v>
      </c>
      <c r="L7" s="3">
        <f>AVERAGE(Soup!G17:G19)</f>
        <v>946666.66666666663</v>
      </c>
      <c r="M7" s="3">
        <f>STDEV(Soup!G17:G19)</f>
        <v>637050.49512054631</v>
      </c>
      <c r="N7" s="3">
        <f>M7/SQRT(3)</f>
        <v>367801.27484523179</v>
      </c>
      <c r="P7" s="2">
        <v>44609</v>
      </c>
      <c r="Q7" s="2" t="s">
        <v>28</v>
      </c>
      <c r="R7" s="1" t="s">
        <v>20</v>
      </c>
      <c r="S7" s="3">
        <f>AVERAGE(Soup!H17:H19)</f>
        <v>1850000</v>
      </c>
      <c r="T7" s="3">
        <f>STDEV(Soup!H17:H19)</f>
        <v>419404.33951021539</v>
      </c>
      <c r="U7" s="3">
        <f t="shared" si="0"/>
        <v>242143.20831552005</v>
      </c>
    </row>
    <row r="8" spans="2:21" x14ac:dyDescent="0.25">
      <c r="I8" s="2">
        <v>44609</v>
      </c>
      <c r="J8" s="2" t="s">
        <v>29</v>
      </c>
      <c r="K8" s="1" t="s">
        <v>20</v>
      </c>
      <c r="L8" s="3">
        <f>AVERAGE(Soup!G20:G22)</f>
        <v>636666.66666666663</v>
      </c>
      <c r="M8" s="3">
        <f>STDEV(Soup!G20:G22)</f>
        <v>253245.5988429678</v>
      </c>
      <c r="N8" s="3">
        <f>M8/SQRT(3)</f>
        <v>146211.41466307544</v>
      </c>
      <c r="P8" s="2">
        <v>44609</v>
      </c>
      <c r="Q8" s="2" t="s">
        <v>29</v>
      </c>
      <c r="R8" s="1" t="s">
        <v>20</v>
      </c>
      <c r="S8" s="3">
        <f>AVERAGE(Soup!H20:H22)</f>
        <v>1593333.3333333333</v>
      </c>
      <c r="T8" s="3">
        <f>STDEV(Soup!H20:H22)</f>
        <v>387857.36209763185</v>
      </c>
      <c r="U8" s="3">
        <f t="shared" si="0"/>
        <v>223929.5524142459</v>
      </c>
    </row>
    <row r="9" spans="2:21" x14ac:dyDescent="0.25">
      <c r="B9" s="5" t="s">
        <v>39</v>
      </c>
      <c r="C9" s="5"/>
      <c r="D9" s="5"/>
      <c r="E9" s="5"/>
      <c r="F9" s="5"/>
      <c r="I9" s="2">
        <v>44616</v>
      </c>
      <c r="J9" s="2" t="s">
        <v>26</v>
      </c>
      <c r="K9" s="1" t="s">
        <v>21</v>
      </c>
      <c r="L9" s="3">
        <f>AVERAGE(Soup!G23:G24)</f>
        <v>1080000</v>
      </c>
      <c r="M9" s="3">
        <f>STDEV(Soup!G23:G24)</f>
        <v>1131370.8498984762</v>
      </c>
      <c r="N9" s="3">
        <f>M9/SQRT(2)</f>
        <v>800000</v>
      </c>
      <c r="P9" s="2">
        <v>44616</v>
      </c>
      <c r="Q9" s="2" t="s">
        <v>26</v>
      </c>
      <c r="R9" s="1" t="s">
        <v>21</v>
      </c>
      <c r="S9" s="3">
        <f>AVERAGE(Soup!H23:H24)</f>
        <v>980000</v>
      </c>
      <c r="T9" s="3">
        <f>STDEV(Soup!H23:H24)</f>
        <v>579827.56057296891</v>
      </c>
      <c r="U9" s="3">
        <f>T9/SQRT(2)</f>
        <v>409999.99999999994</v>
      </c>
    </row>
    <row r="10" spans="2:21" x14ac:dyDescent="0.25">
      <c r="I10" s="2">
        <v>44616</v>
      </c>
      <c r="J10" s="2" t="s">
        <v>27</v>
      </c>
      <c r="K10" s="1" t="s">
        <v>21</v>
      </c>
      <c r="L10" s="3">
        <f>AVERAGE(Soup!G25:G26)</f>
        <v>150000</v>
      </c>
      <c r="M10" s="3">
        <f>STDEV(Soup!G25:G26)</f>
        <v>84852.813742385697</v>
      </c>
      <c r="N10" s="3">
        <f>M10/SQRT(2)</f>
        <v>59999.999999999993</v>
      </c>
      <c r="P10" s="2">
        <v>44616</v>
      </c>
      <c r="Q10" s="2" t="s">
        <v>27</v>
      </c>
      <c r="R10" s="1" t="s">
        <v>21</v>
      </c>
      <c r="S10" s="3">
        <f>AVERAGE(Soup!H25:H26)</f>
        <v>670000</v>
      </c>
      <c r="T10" s="3">
        <f>STDEV(Soup!H25:H26)</f>
        <v>84852.813742385697</v>
      </c>
      <c r="U10" s="3">
        <f>T10/SQRT(2)</f>
        <v>59999.999999999993</v>
      </c>
    </row>
    <row r="11" spans="2:21" x14ac:dyDescent="0.25">
      <c r="D11" s="4" t="s">
        <v>25</v>
      </c>
      <c r="E11" s="4" t="s">
        <v>23</v>
      </c>
      <c r="F11" s="4" t="s">
        <v>24</v>
      </c>
      <c r="I11" s="2">
        <v>44616</v>
      </c>
      <c r="J11" s="2" t="s">
        <v>28</v>
      </c>
      <c r="K11" s="1" t="s">
        <v>21</v>
      </c>
      <c r="L11" s="3">
        <f>AVERAGE(Soup!G27:G28)</f>
        <v>155000</v>
      </c>
      <c r="M11" s="3">
        <f>STDEV(Soup!G27:G28)</f>
        <v>35355.33905932738</v>
      </c>
      <c r="N11" s="3">
        <f>M11/SQRT(2)</f>
        <v>25000</v>
      </c>
      <c r="P11" s="2">
        <v>44616</v>
      </c>
      <c r="Q11" s="2" t="s">
        <v>28</v>
      </c>
      <c r="R11" s="1" t="s">
        <v>21</v>
      </c>
      <c r="S11" s="3">
        <f>AVERAGE(Soup!H27:H28)</f>
        <v>660000</v>
      </c>
      <c r="T11" s="3">
        <f>STDEV(Soup!H27:H28)</f>
        <v>240416.30560342615</v>
      </c>
      <c r="U11" s="3">
        <f>T11/SQRT(2)</f>
        <v>169999.99999999997</v>
      </c>
    </row>
    <row r="12" spans="2:21" x14ac:dyDescent="0.25">
      <c r="B12" s="2">
        <v>44582</v>
      </c>
      <c r="C12" s="1" t="s">
        <v>20</v>
      </c>
      <c r="D12" s="3">
        <f>AVERAGE(Soup!H2:H4)</f>
        <v>44000</v>
      </c>
      <c r="E12" s="3">
        <f>STDEV(Soup!H2:H4)</f>
        <v>3124.0998703626619</v>
      </c>
      <c r="F12" s="3">
        <f>E12/SQRT(3)</f>
        <v>1803.699901129158</v>
      </c>
      <c r="I12" s="2">
        <v>44616</v>
      </c>
      <c r="J12" s="2" t="s">
        <v>29</v>
      </c>
      <c r="K12" s="1" t="s">
        <v>21</v>
      </c>
      <c r="L12" s="3">
        <f>AVERAGE(Soup!G29:G30)</f>
        <v>1700000</v>
      </c>
      <c r="M12" s="3">
        <f>STDEV(Soup!G29:G30)</f>
        <v>28284.2712474619</v>
      </c>
      <c r="N12" s="3">
        <f>M12/SQRT(2)</f>
        <v>19999.999999999996</v>
      </c>
      <c r="P12" s="2">
        <v>44616</v>
      </c>
      <c r="Q12" s="2" t="s">
        <v>29</v>
      </c>
      <c r="R12" s="1" t="s">
        <v>21</v>
      </c>
      <c r="S12" s="3">
        <f>AVERAGE(Soup!H29:H30)</f>
        <v>360000</v>
      </c>
      <c r="T12" s="3">
        <f>STDEV(Soup!H29:H30)</f>
        <v>70710.67811865476</v>
      </c>
      <c r="U12" s="3">
        <f>T12/SQRT(2)</f>
        <v>50000</v>
      </c>
    </row>
    <row r="13" spans="2:21" x14ac:dyDescent="0.25">
      <c r="B13" s="2">
        <v>44594</v>
      </c>
      <c r="C13" s="1" t="s">
        <v>21</v>
      </c>
      <c r="D13" s="3">
        <f>AVERAGE(Soup!H5:H7)</f>
        <v>216666.66666666666</v>
      </c>
      <c r="E13" s="3">
        <f>STDEV(Soup!H5:H7)</f>
        <v>80829.03768654757</v>
      </c>
      <c r="F13" s="3">
        <f>E13/SQRT(3)</f>
        <v>46666.66666666665</v>
      </c>
      <c r="I13" s="2">
        <v>44627</v>
      </c>
      <c r="J13" s="2" t="s">
        <v>26</v>
      </c>
      <c r="K13" s="1" t="s">
        <v>22</v>
      </c>
      <c r="L13" s="3">
        <f>AVERAGE(Soup!G31:G33)</f>
        <v>1098000</v>
      </c>
      <c r="M13" s="3">
        <f>STDEV(Soup!G31:G33)</f>
        <v>828137.66971440206</v>
      </c>
      <c r="N13" s="3">
        <f>M13/SQRT(3)</f>
        <v>478125.50653567945</v>
      </c>
      <c r="P13" s="2">
        <v>44627</v>
      </c>
      <c r="Q13" s="2" t="s">
        <v>26</v>
      </c>
      <c r="R13" s="1" t="s">
        <v>22</v>
      </c>
      <c r="S13" s="3">
        <f>AVERAGE(Soup!H31:H33)</f>
        <v>826000</v>
      </c>
      <c r="T13" s="3">
        <f>STDEV(Soup!H31:H33)</f>
        <v>797438.39887479704</v>
      </c>
      <c r="U13" s="3">
        <f t="shared" si="0"/>
        <v>460401.27425250824</v>
      </c>
    </row>
    <row r="14" spans="2:21" x14ac:dyDescent="0.25">
      <c r="B14" s="2">
        <v>44608</v>
      </c>
      <c r="C14" s="1" t="s">
        <v>22</v>
      </c>
      <c r="D14" s="3">
        <f>AVERAGE(Soup!H8:H10)</f>
        <v>913333.33333333337</v>
      </c>
      <c r="E14" s="3">
        <f>STDEV(Soup!H8:H10)</f>
        <v>249866.63109213533</v>
      </c>
      <c r="F14" s="3">
        <f>E14/SQRT(3)</f>
        <v>144260.56672254927</v>
      </c>
      <c r="I14" s="2">
        <v>44627</v>
      </c>
      <c r="J14" s="2" t="s">
        <v>27</v>
      </c>
      <c r="K14" s="1" t="s">
        <v>22</v>
      </c>
      <c r="L14" s="3">
        <f>AVERAGE(Soup!G34:G36)</f>
        <v>1350000</v>
      </c>
      <c r="M14" s="3">
        <f>STDEV(Soup!G34:G36)</f>
        <v>988382.51704489393</v>
      </c>
      <c r="N14" s="3">
        <f>M14/SQRT(3)</f>
        <v>570642.91227818944</v>
      </c>
      <c r="P14" s="2">
        <v>44627</v>
      </c>
      <c r="Q14" s="2" t="s">
        <v>27</v>
      </c>
      <c r="R14" s="1" t="s">
        <v>22</v>
      </c>
      <c r="S14" s="3">
        <f>AVERAGE(Soup!H34:H36)</f>
        <v>816666.66666666663</v>
      </c>
      <c r="T14" s="3">
        <f>STDEV(Soup!H34:H36)</f>
        <v>215947.52448994032</v>
      </c>
      <c r="U14" s="3">
        <f t="shared" si="0"/>
        <v>124677.36139510035</v>
      </c>
    </row>
    <row r="15" spans="2:21" x14ac:dyDescent="0.25">
      <c r="I15" s="2">
        <v>44627</v>
      </c>
      <c r="J15" s="2" t="s">
        <v>28</v>
      </c>
      <c r="K15" s="1" t="s">
        <v>22</v>
      </c>
      <c r="L15" s="3">
        <f>AVERAGE(Soup!G37:G39)</f>
        <v>1626666.6666666667</v>
      </c>
      <c r="M15" s="3">
        <f>STDEV(Soup!G37:G39)</f>
        <v>302875.11177601485</v>
      </c>
      <c r="N15" s="3">
        <f>M15/SQRT(3)</f>
        <v>174865.02731472018</v>
      </c>
      <c r="P15" s="2">
        <v>44627</v>
      </c>
      <c r="Q15" s="2" t="s">
        <v>28</v>
      </c>
      <c r="R15" s="1" t="s">
        <v>22</v>
      </c>
      <c r="S15" s="3">
        <f>AVERAGE(Soup!H37:H39)</f>
        <v>730000</v>
      </c>
      <c r="T15" s="3">
        <f>STDEV(Soup!H37:H39)</f>
        <v>98488.578017961045</v>
      </c>
      <c r="U15" s="3">
        <f t="shared" si="0"/>
        <v>56862.407030773269</v>
      </c>
    </row>
    <row r="16" spans="2:21" x14ac:dyDescent="0.25">
      <c r="I16" s="2">
        <v>44627</v>
      </c>
      <c r="J16" s="2" t="s">
        <v>29</v>
      </c>
      <c r="K16" s="1" t="s">
        <v>22</v>
      </c>
      <c r="L16" s="3">
        <f>AVERAGE(Soup!G40:G42)</f>
        <v>1366666.6666666667</v>
      </c>
      <c r="M16" s="3">
        <f>STDEV(Soup!G40:G42)</f>
        <v>421584.31343366357</v>
      </c>
      <c r="N16" s="3">
        <f>M16/SQRT(3)</f>
        <v>243401.81684704922</v>
      </c>
      <c r="P16" s="2">
        <v>44627</v>
      </c>
      <c r="Q16" s="2" t="s">
        <v>29</v>
      </c>
      <c r="R16" s="1" t="s">
        <v>22</v>
      </c>
      <c r="S16" s="3">
        <f>AVERAGE(Soup!H40:H42)</f>
        <v>940000</v>
      </c>
      <c r="T16" s="3">
        <f>STDEV(Soup!H40:H42)</f>
        <v>296141.85789921694</v>
      </c>
      <c r="U16" s="3">
        <f t="shared" si="0"/>
        <v>170977.5813764288</v>
      </c>
    </row>
    <row r="18" spans="2:21" x14ac:dyDescent="0.25">
      <c r="B18" s="6" t="s">
        <v>33</v>
      </c>
      <c r="C18" s="6"/>
      <c r="D18" s="6"/>
      <c r="E18" s="6"/>
      <c r="F18" s="6"/>
      <c r="G18" s="6"/>
    </row>
    <row r="20" spans="2:21" x14ac:dyDescent="0.25">
      <c r="E20" s="4" t="s">
        <v>25</v>
      </c>
      <c r="F20" s="4" t="s">
        <v>23</v>
      </c>
      <c r="G20" s="4" t="s">
        <v>24</v>
      </c>
      <c r="I20" s="5" t="s">
        <v>32</v>
      </c>
      <c r="J20" s="5"/>
      <c r="K20" s="5"/>
      <c r="L20" s="5"/>
      <c r="M20" s="5"/>
      <c r="N20" s="5"/>
      <c r="P20" s="5" t="s">
        <v>37</v>
      </c>
      <c r="Q20" s="5"/>
      <c r="R20" s="5"/>
      <c r="S20" s="5"/>
      <c r="T20" s="5"/>
      <c r="U20" s="5"/>
    </row>
    <row r="21" spans="2:21" x14ac:dyDescent="0.25">
      <c r="B21" s="2">
        <v>44582</v>
      </c>
      <c r="C21" s="1" t="s">
        <v>20</v>
      </c>
      <c r="D21" t="s">
        <v>7</v>
      </c>
      <c r="E21" s="3">
        <f>AVERAGE(Water!H2,Water!H4)</f>
        <v>650</v>
      </c>
      <c r="F21" s="3">
        <f>STDEV(Water!H2,Water!H4)</f>
        <v>70.710678118654755</v>
      </c>
      <c r="G21" s="3">
        <f>F21/SQRT(2)</f>
        <v>50</v>
      </c>
    </row>
    <row r="22" spans="2:21" x14ac:dyDescent="0.25">
      <c r="B22" s="2">
        <v>44582</v>
      </c>
      <c r="C22" s="1" t="s">
        <v>20</v>
      </c>
      <c r="D22" t="s">
        <v>13</v>
      </c>
      <c r="E22" s="3">
        <f>AVERAGE(Water!H3,Water!H5)</f>
        <v>900</v>
      </c>
      <c r="F22" s="3">
        <f>STDEV(Water!H3,Water!H5)</f>
        <v>282.84271247461902</v>
      </c>
      <c r="G22" s="3">
        <f t="shared" ref="G22:G26" si="1">F22/SQRT(2)</f>
        <v>200</v>
      </c>
      <c r="L22" s="4" t="s">
        <v>25</v>
      </c>
      <c r="M22" s="4" t="s">
        <v>23</v>
      </c>
      <c r="N22" s="4" t="s">
        <v>24</v>
      </c>
      <c r="S22" s="4" t="s">
        <v>25</v>
      </c>
      <c r="T22" s="4" t="s">
        <v>23</v>
      </c>
      <c r="U22" s="4" t="s">
        <v>24</v>
      </c>
    </row>
    <row r="23" spans="2:21" x14ac:dyDescent="0.25">
      <c r="B23" s="2">
        <v>44594</v>
      </c>
      <c r="C23" s="1" t="s">
        <v>21</v>
      </c>
      <c r="D23" t="s">
        <v>7</v>
      </c>
      <c r="E23" s="3">
        <f>AVERAGE(Water!H6,Water!H8)</f>
        <v>2000</v>
      </c>
      <c r="F23" s="3">
        <f>STDEV(Water!H6,Water!H8)</f>
        <v>1697.0562748477141</v>
      </c>
      <c r="G23" s="3">
        <f t="shared" si="1"/>
        <v>1200</v>
      </c>
      <c r="J23" s="2">
        <v>44609</v>
      </c>
      <c r="K23" s="1" t="s">
        <v>20</v>
      </c>
      <c r="L23" s="3">
        <f>AVERAGE(Soup!G11:G22)</f>
        <v>723333.33333333337</v>
      </c>
      <c r="M23" s="3">
        <f>STDEV(Soup!G11:G22)</f>
        <v>397293.87642200611</v>
      </c>
      <c r="N23" s="3">
        <f>M23/SQRT(12)</f>
        <v>114688.86324981757</v>
      </c>
      <c r="P23" s="2"/>
      <c r="Q23" s="2">
        <v>44609</v>
      </c>
      <c r="R23" s="1" t="s">
        <v>20</v>
      </c>
      <c r="S23" s="3">
        <f>AVERAGE(Soup!H11:H22)</f>
        <v>1609166.6666666667</v>
      </c>
      <c r="T23" s="3">
        <f>STDEV(Soup!H11:H22)</f>
        <v>360541.46989653161</v>
      </c>
      <c r="U23" s="3">
        <f>T23/SQRT(12)</f>
        <v>104079.35734939294</v>
      </c>
    </row>
    <row r="24" spans="2:21" x14ac:dyDescent="0.25">
      <c r="B24" s="2">
        <v>44594</v>
      </c>
      <c r="C24" s="1" t="s">
        <v>21</v>
      </c>
      <c r="D24" t="s">
        <v>13</v>
      </c>
      <c r="E24" s="3">
        <f>AVERAGE(Water!H7,Water!H9)</f>
        <v>2120</v>
      </c>
      <c r="F24" s="3">
        <f>STDEV(Water!H7,Water!H8)</f>
        <v>28.284271247461902</v>
      </c>
      <c r="G24" s="3">
        <f t="shared" si="1"/>
        <v>20</v>
      </c>
      <c r="I24" s="2"/>
      <c r="J24" s="2">
        <v>44616</v>
      </c>
      <c r="K24" s="1" t="s">
        <v>21</v>
      </c>
      <c r="L24" s="3">
        <f>AVERAGE(Soup!G23:G30)</f>
        <v>771250</v>
      </c>
      <c r="M24" s="3">
        <f>STDEV(Soup!G23:G30)</f>
        <v>822581.95423226454</v>
      </c>
      <c r="N24" s="3">
        <f>M24/SQRT(8)</f>
        <v>290826.63895965827</v>
      </c>
      <c r="P24" s="2"/>
      <c r="Q24" s="2">
        <v>44616</v>
      </c>
      <c r="R24" s="1" t="s">
        <v>21</v>
      </c>
      <c r="S24" s="3">
        <f>AVERAGE(Soup!H23:H30)</f>
        <v>667500</v>
      </c>
      <c r="T24" s="3">
        <f>STDEV(Soup!H23:H30)</f>
        <v>336101.6002852199</v>
      </c>
      <c r="U24" s="3">
        <f>T24/SQRT(8)</f>
        <v>118829.86036466471</v>
      </c>
    </row>
    <row r="25" spans="2:21" x14ac:dyDescent="0.25">
      <c r="B25" s="2">
        <v>44608</v>
      </c>
      <c r="C25" s="1" t="s">
        <v>22</v>
      </c>
      <c r="D25" t="s">
        <v>7</v>
      </c>
      <c r="E25" s="3">
        <f>AVERAGE(Water!H10,Water!H12)</f>
        <v>10</v>
      </c>
      <c r="F25" s="3">
        <f>STDEV(Water!H10,Water!H12)</f>
        <v>0</v>
      </c>
      <c r="G25" s="3">
        <f t="shared" si="1"/>
        <v>0</v>
      </c>
      <c r="I25" s="2"/>
      <c r="J25" s="2">
        <v>44627</v>
      </c>
      <c r="K25" s="1" t="s">
        <v>22</v>
      </c>
      <c r="L25" s="3">
        <f>AVERAGE(Soup!G31:G42)</f>
        <v>1360333.3333333333</v>
      </c>
      <c r="M25" s="3">
        <f>STDEV(Soup!G31:G42)</f>
        <v>624066.91560402024</v>
      </c>
      <c r="N25" s="3">
        <f>M25/SQRT(12)</f>
        <v>180152.60085816029</v>
      </c>
      <c r="P25" s="2"/>
      <c r="Q25" s="2">
        <v>44627</v>
      </c>
      <c r="R25" s="1" t="s">
        <v>22</v>
      </c>
      <c r="S25" s="3">
        <f>AVERAGE(Soup!H31:H42)</f>
        <v>828166.66666666663</v>
      </c>
      <c r="T25" s="3">
        <f>STDEV(Soup!H31:H42)</f>
        <v>384556.84845932689</v>
      </c>
      <c r="U25" s="3">
        <f>T25/SQRT(12)</f>
        <v>111011.99998835326</v>
      </c>
    </row>
    <row r="26" spans="2:21" x14ac:dyDescent="0.25">
      <c r="B26" s="2">
        <v>44608</v>
      </c>
      <c r="C26" s="1" t="s">
        <v>22</v>
      </c>
      <c r="D26" t="s">
        <v>13</v>
      </c>
      <c r="E26" s="3">
        <f>AVERAGE(Water!H11,Water!H13)</f>
        <v>700</v>
      </c>
      <c r="F26" s="3">
        <f>STDEV(Water!H11,Water!H13)</f>
        <v>848.52813742385706</v>
      </c>
      <c r="G26" s="3">
        <f t="shared" si="1"/>
        <v>600</v>
      </c>
    </row>
    <row r="28" spans="2:21" x14ac:dyDescent="0.25">
      <c r="B28" s="6" t="s">
        <v>34</v>
      </c>
      <c r="C28" s="6"/>
      <c r="D28" s="6"/>
      <c r="E28" s="6"/>
      <c r="F28" s="6"/>
      <c r="G28" s="6"/>
      <c r="I28" s="6" t="s">
        <v>35</v>
      </c>
      <c r="J28" s="6"/>
      <c r="K28" s="6"/>
      <c r="L28" s="6"/>
      <c r="M28" s="6"/>
      <c r="N28" s="6"/>
      <c r="P28" s="6" t="s">
        <v>36</v>
      </c>
      <c r="Q28" s="6"/>
      <c r="R28" s="6"/>
      <c r="S28" s="6"/>
      <c r="T28" s="6"/>
      <c r="U28" s="6"/>
    </row>
    <row r="30" spans="2:21" x14ac:dyDescent="0.25">
      <c r="E30" s="4" t="s">
        <v>25</v>
      </c>
      <c r="F30" s="4" t="s">
        <v>23</v>
      </c>
      <c r="G30" s="4" t="s">
        <v>24</v>
      </c>
      <c r="L30" s="4" t="s">
        <v>25</v>
      </c>
      <c r="M30" s="4" t="s">
        <v>23</v>
      </c>
      <c r="N30" s="4" t="s">
        <v>24</v>
      </c>
      <c r="S30" s="4" t="s">
        <v>25</v>
      </c>
      <c r="T30" s="4" t="s">
        <v>23</v>
      </c>
      <c r="U30" s="4" t="s">
        <v>24</v>
      </c>
    </row>
    <row r="31" spans="2:21" x14ac:dyDescent="0.25">
      <c r="B31" s="2">
        <v>44582</v>
      </c>
      <c r="C31" s="1" t="s">
        <v>20</v>
      </c>
      <c r="D31" t="s">
        <v>7</v>
      </c>
      <c r="E31" s="3">
        <f>AVERAGE(Water!I2,Water!I4)</f>
        <v>1100</v>
      </c>
      <c r="F31" s="3">
        <f>STDEV(Water!I2,Water!I4)</f>
        <v>1414.2135623730951</v>
      </c>
      <c r="G31" s="3">
        <f>F31/SQRT(2)</f>
        <v>1000</v>
      </c>
      <c r="I31" s="2">
        <v>44609</v>
      </c>
      <c r="J31" s="1" t="s">
        <v>20</v>
      </c>
      <c r="K31" t="s">
        <v>7</v>
      </c>
      <c r="L31" s="3">
        <f>AVERAGE(Water!H17:H19)</f>
        <v>20</v>
      </c>
      <c r="M31" s="3">
        <f>STDEV(Water!H17:H19)</f>
        <v>20</v>
      </c>
      <c r="N31" s="3">
        <f>M31/SQRT(3)</f>
        <v>11.547005383792516</v>
      </c>
      <c r="P31" s="2">
        <v>44609</v>
      </c>
      <c r="Q31" s="1" t="s">
        <v>20</v>
      </c>
      <c r="R31" t="s">
        <v>7</v>
      </c>
      <c r="S31" s="3">
        <f>AVERAGE(Water!I17:I19)</f>
        <v>0</v>
      </c>
      <c r="T31" s="3">
        <f>STDEV(Water!I17:I19)</f>
        <v>0</v>
      </c>
      <c r="U31" s="3">
        <f>T31/SQRT(3)</f>
        <v>0</v>
      </c>
    </row>
    <row r="32" spans="2:21" x14ac:dyDescent="0.25">
      <c r="B32" s="2">
        <v>44582</v>
      </c>
      <c r="C32" s="1" t="s">
        <v>20</v>
      </c>
      <c r="D32" t="s">
        <v>13</v>
      </c>
      <c r="E32" s="3">
        <f>AVERAGE(Water!I3,Water!I5)</f>
        <v>3000</v>
      </c>
      <c r="F32" s="3">
        <f>STDEV(Water!I3,Water!I5)</f>
        <v>2828.4271247461902</v>
      </c>
      <c r="G32" s="3">
        <f t="shared" ref="G32:G36" si="2">F32/SQRT(2)</f>
        <v>2000</v>
      </c>
      <c r="I32" s="2">
        <v>44609</v>
      </c>
      <c r="J32" s="1" t="s">
        <v>20</v>
      </c>
      <c r="K32" t="s">
        <v>13</v>
      </c>
      <c r="L32" s="1">
        <f>AVERAGE(Water!H14:H16)</f>
        <v>0</v>
      </c>
      <c r="M32" s="3">
        <f>STDEV(Water!H14:H16)</f>
        <v>0</v>
      </c>
      <c r="N32" s="3">
        <f t="shared" ref="N32:N36" si="3">M32/SQRT(3)</f>
        <v>0</v>
      </c>
      <c r="P32" s="2">
        <v>44609</v>
      </c>
      <c r="Q32" s="1" t="s">
        <v>20</v>
      </c>
      <c r="R32" t="s">
        <v>13</v>
      </c>
      <c r="S32" s="3">
        <f>AVERAGE(Water!I14:I16)</f>
        <v>6.666666666666667</v>
      </c>
      <c r="T32" s="3">
        <f>STDEV(Water!I14:I16)</f>
        <v>5.7735026918962573</v>
      </c>
      <c r="U32" s="3">
        <f t="shared" ref="U32:U36" si="4">T32/SQRT(3)</f>
        <v>3.3333333333333335</v>
      </c>
    </row>
    <row r="33" spans="2:21" x14ac:dyDescent="0.25">
      <c r="B33" s="2">
        <v>44594</v>
      </c>
      <c r="C33" s="1" t="s">
        <v>21</v>
      </c>
      <c r="D33" t="s">
        <v>7</v>
      </c>
      <c r="E33" s="3">
        <f>AVERAGE(Water!I6,Water!I8)</f>
        <v>2200</v>
      </c>
      <c r="F33" s="3">
        <f>STDEV(Water!I6,Water!I8)</f>
        <v>2828.4271247461902</v>
      </c>
      <c r="G33" s="3">
        <f t="shared" si="2"/>
        <v>2000</v>
      </c>
      <c r="I33" s="2">
        <v>44616</v>
      </c>
      <c r="J33" s="1" t="s">
        <v>21</v>
      </c>
      <c r="K33" t="s">
        <v>7</v>
      </c>
      <c r="L33" s="3">
        <f>AVERAGE(Water!H23:H25)</f>
        <v>3.3333333333333335</v>
      </c>
      <c r="M33" s="3">
        <f>STDEV(Water!H23:H25)</f>
        <v>5.7735026918962573</v>
      </c>
      <c r="N33" s="3">
        <f t="shared" si="3"/>
        <v>3.3333333333333335</v>
      </c>
      <c r="P33" s="2">
        <v>44616</v>
      </c>
      <c r="Q33" s="1" t="s">
        <v>21</v>
      </c>
      <c r="R33" t="s">
        <v>7</v>
      </c>
      <c r="S33" s="3">
        <f>AVERAGE(Water!I23:I25)</f>
        <v>0</v>
      </c>
      <c r="T33" s="3">
        <f>STDEV(Water!I23:IO25)</f>
        <v>0</v>
      </c>
      <c r="U33" s="3">
        <f t="shared" si="4"/>
        <v>0</v>
      </c>
    </row>
    <row r="34" spans="2:21" x14ac:dyDescent="0.25">
      <c r="B34" s="2">
        <v>44594</v>
      </c>
      <c r="C34" s="1" t="s">
        <v>21</v>
      </c>
      <c r="D34" t="s">
        <v>13</v>
      </c>
      <c r="E34" s="3">
        <f>AVERAGE(Water!I7,Water!I9)</f>
        <v>375</v>
      </c>
      <c r="F34" s="3">
        <f>STDEV(Water!I7,Water!I9)</f>
        <v>63.63961030678928</v>
      </c>
      <c r="G34" s="3">
        <f t="shared" si="2"/>
        <v>45</v>
      </c>
      <c r="I34" s="2">
        <v>44616</v>
      </c>
      <c r="J34" s="1" t="s">
        <v>21</v>
      </c>
      <c r="K34" t="s">
        <v>13</v>
      </c>
      <c r="L34" s="1">
        <f>AVERAGE(Water!H20:H22)</f>
        <v>10</v>
      </c>
      <c r="M34" s="3">
        <f>STDEV(Water!H20:H22)</f>
        <v>17.320508075688775</v>
      </c>
      <c r="N34" s="3">
        <f t="shared" si="3"/>
        <v>10.000000000000002</v>
      </c>
      <c r="P34" s="2">
        <v>44616</v>
      </c>
      <c r="Q34" s="1" t="s">
        <v>21</v>
      </c>
      <c r="R34" t="s">
        <v>13</v>
      </c>
      <c r="S34" s="3">
        <f>AVERAGE(Water!I20:I22)</f>
        <v>0</v>
      </c>
      <c r="T34" s="3">
        <f>STDEV(Water!I20:I22)</f>
        <v>0</v>
      </c>
      <c r="U34" s="3">
        <f t="shared" si="4"/>
        <v>0</v>
      </c>
    </row>
    <row r="35" spans="2:21" x14ac:dyDescent="0.25">
      <c r="B35" s="2">
        <v>44608</v>
      </c>
      <c r="C35" s="1" t="s">
        <v>22</v>
      </c>
      <c r="D35" t="s">
        <v>7</v>
      </c>
      <c r="E35" s="3">
        <f>AVERAGE(Water!I10,Water!I12)</f>
        <v>1850</v>
      </c>
      <c r="F35" s="3">
        <f>STDEV(Water!I10,Water!I12)</f>
        <v>70.710678118654755</v>
      </c>
      <c r="G35" s="3">
        <f t="shared" si="2"/>
        <v>50</v>
      </c>
      <c r="I35" s="2">
        <v>44627</v>
      </c>
      <c r="J35" s="1" t="s">
        <v>22</v>
      </c>
      <c r="K35" t="s">
        <v>7</v>
      </c>
      <c r="L35" s="3">
        <f>AVERAGE(Water!H29:H31)</f>
        <v>3.3333333333333335</v>
      </c>
      <c r="M35" s="3">
        <f>STDEV(Water!H29:H31)</f>
        <v>5.7735026918962573</v>
      </c>
      <c r="N35" s="3">
        <f t="shared" si="3"/>
        <v>3.3333333333333335</v>
      </c>
      <c r="P35" s="2">
        <v>44627</v>
      </c>
      <c r="Q35" s="1" t="s">
        <v>22</v>
      </c>
      <c r="R35" t="s">
        <v>7</v>
      </c>
      <c r="S35" s="3">
        <f>AVERAGE(Water!I29:I31)</f>
        <v>0</v>
      </c>
      <c r="T35" s="3">
        <f>STDEV(Water!I29:I31)</f>
        <v>0</v>
      </c>
      <c r="U35" s="3">
        <f t="shared" si="4"/>
        <v>0</v>
      </c>
    </row>
    <row r="36" spans="2:21" x14ac:dyDescent="0.25">
      <c r="B36" s="2">
        <v>44608</v>
      </c>
      <c r="C36" s="1" t="s">
        <v>22</v>
      </c>
      <c r="D36" t="s">
        <v>13</v>
      </c>
      <c r="E36" s="3">
        <f>AVERAGE(Water!I11,Water!I13)</f>
        <v>2310</v>
      </c>
      <c r="F36" s="3">
        <f>STDEV(Water!I11,Water!I13)</f>
        <v>862.67027304758801</v>
      </c>
      <c r="G36" s="3">
        <f t="shared" si="2"/>
        <v>610</v>
      </c>
      <c r="I36" s="2">
        <v>44627</v>
      </c>
      <c r="J36" s="1" t="s">
        <v>22</v>
      </c>
      <c r="K36" t="s">
        <v>13</v>
      </c>
      <c r="L36" s="1">
        <f>AVERAGE(Water!H26:H28)</f>
        <v>0</v>
      </c>
      <c r="M36" s="1">
        <f>STDEV(Water!H26:H28)</f>
        <v>0</v>
      </c>
      <c r="N36" s="3">
        <f t="shared" si="3"/>
        <v>0</v>
      </c>
      <c r="P36" s="2">
        <v>44627</v>
      </c>
      <c r="Q36" s="1" t="s">
        <v>22</v>
      </c>
      <c r="R36" t="s">
        <v>13</v>
      </c>
      <c r="S36" s="3">
        <f>AVERAGE(Water!I26:I28)</f>
        <v>0</v>
      </c>
      <c r="T36" s="3">
        <f>STDEV(Water!I26:I28)</f>
        <v>0</v>
      </c>
      <c r="U36" s="3">
        <f t="shared" si="4"/>
        <v>0</v>
      </c>
    </row>
  </sheetData>
  <mergeCells count="10">
    <mergeCell ref="B28:G28"/>
    <mergeCell ref="I28:N28"/>
    <mergeCell ref="P28:U28"/>
    <mergeCell ref="B9:F9"/>
    <mergeCell ref="B2:F2"/>
    <mergeCell ref="I2:N2"/>
    <mergeCell ref="P2:U2"/>
    <mergeCell ref="I20:N20"/>
    <mergeCell ref="P20:U20"/>
    <mergeCell ref="B18:G18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3788A59982044A13D1862132530E0" ma:contentTypeVersion="17" ma:contentTypeDescription="Create a new document." ma:contentTypeScope="" ma:versionID="9107776eceacad5c1ff45ecef4e9a623">
  <xsd:schema xmlns:xsd="http://www.w3.org/2001/XMLSchema" xmlns:xs="http://www.w3.org/2001/XMLSchema" xmlns:p="http://schemas.microsoft.com/office/2006/metadata/properties" xmlns:ns2="651e401a-f88f-490e-a893-603ff757fa9a" xmlns:ns3="fcaf9be7-58d3-492c-bf74-c98ae5d0c53d" targetNamespace="http://schemas.microsoft.com/office/2006/metadata/properties" ma:root="true" ma:fieldsID="027ca6c9fc2805d1efb962ac33dab969" ns2:_="" ns3:_="">
    <xsd:import namespace="651e401a-f88f-490e-a893-603ff757fa9a"/>
    <xsd:import namespace="fcaf9be7-58d3-492c-bf74-c98ae5d0c5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e401a-f88f-490e-a893-603ff757fa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f9be7-58d3-492c-bf74-c98ae5d0c53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f23cac5-ba23-43fb-ba11-e5d0a974f180}" ma:internalName="TaxCatchAll" ma:showField="CatchAllData" ma:web="fcaf9be7-58d3-492c-bf74-c98ae5d0c5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1e401a-f88f-490e-a893-603ff757fa9a">
      <Terms xmlns="http://schemas.microsoft.com/office/infopath/2007/PartnerControls"/>
    </lcf76f155ced4ddcb4097134ff3c332f>
    <TaxCatchAll xmlns="fcaf9be7-58d3-492c-bf74-c98ae5d0c53d" xsi:nil="true"/>
  </documentManagement>
</p:properties>
</file>

<file path=customXml/itemProps1.xml><?xml version="1.0" encoding="utf-8"?>
<ds:datastoreItem xmlns:ds="http://schemas.openxmlformats.org/officeDocument/2006/customXml" ds:itemID="{ECBDD4BA-0589-42C2-BB16-C42452B051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A4243-D53D-4B78-8BC7-B54602545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e401a-f88f-490e-a893-603ff757fa9a"/>
    <ds:schemaRef ds:uri="fcaf9be7-58d3-492c-bf74-c98ae5d0c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570609-0CA7-4969-B336-4C6DD8B0DC47}">
  <ds:schemaRefs>
    <ds:schemaRef ds:uri="http://schemas.microsoft.com/office/2006/metadata/properties"/>
    <ds:schemaRef ds:uri="http://schemas.microsoft.com/office/infopath/2007/PartnerControls"/>
    <ds:schemaRef ds:uri="651e401a-f88f-490e-a893-603ff757fa9a"/>
    <ds:schemaRef ds:uri="fcaf9be7-58d3-492c-bf74-c98ae5d0c5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Soup</vt:lpstr>
      <vt:lpstr>Water</vt:lpstr>
      <vt:lpstr>Exploration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Fletcher</dc:creator>
  <cp:lastModifiedBy>Lauren Fletcher</cp:lastModifiedBy>
  <dcterms:created xsi:type="dcterms:W3CDTF">2023-04-04T02:16:04Z</dcterms:created>
  <dcterms:modified xsi:type="dcterms:W3CDTF">2023-11-20T23:46:46Z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0x01010000B3788A59982044A13D1862132530E0</vt:lpwstr>
  </property>
  <property fmtid="{D5CDD505-2E9C-101B-9397-08002B2CF9AE}" pid="3" name="MediaServiceImageTags">
    <vt:lpwstr/>
  </property>
</Properties>
</file>